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105" windowWidth="9720" windowHeight="8805" tabRatio="938" activeTab="1"/>
  </bookViews>
  <sheets>
    <sheet name="portada" sheetId="9" r:id="rId1"/>
    <sheet name="bce" sheetId="6" r:id="rId2"/>
    <sheet name="pyg" sheetId="5" r:id="rId3"/>
    <sheet name="notas" sheetId="3" r:id="rId4"/>
    <sheet name="notas bce prueba1" sheetId="1" state="hidden" r:id="rId5"/>
    <sheet name="pyg y notas" sheetId="4" state="hidden" r:id="rId6"/>
    <sheet name="CUADRO" sheetId="26" state="hidden" r:id="rId7"/>
    <sheet name="Validaciones" sheetId="34" state="hidden" r:id="rId8"/>
    <sheet name="res bce" sheetId="10" r:id="rId9"/>
    <sheet name="resumen pyg" sheetId="11" r:id="rId10"/>
    <sheet name="Graficos Indicadores" sheetId="25" r:id="rId11"/>
  </sheets>
  <externalReferences>
    <externalReference r:id="rId12"/>
  </externalReferences>
  <definedNames>
    <definedName name="_xlnm._FilterDatabase" localSheetId="1" hidden="1">bce!$A$4:$W$4</definedName>
    <definedName name="_xlnm._FilterDatabase" localSheetId="3" hidden="1">notas!$A$4:$G$310</definedName>
    <definedName name="_xlnm._FilterDatabase" localSheetId="4" hidden="1">'notas bce prueba1'!$A$2:$X$2</definedName>
    <definedName name="_xlnm._FilterDatabase" localSheetId="2" hidden="1">pyg!$A$8:$G$41</definedName>
    <definedName name="_xlnm.Print_Area" localSheetId="1">bce!$A$1:$W$52</definedName>
    <definedName name="_xlnm.Print_Area" localSheetId="2">pyg!$A$1:$J$50</definedName>
    <definedName name="_xlnm.Print_Titles" localSheetId="10">'Graficos Indicadores'!$1:$1</definedName>
  </definedNames>
  <calcPr calcId="145621"/>
</workbook>
</file>

<file path=xl/calcChain.xml><?xml version="1.0" encoding="utf-8"?>
<calcChain xmlns="http://schemas.openxmlformats.org/spreadsheetml/2006/main">
  <c r="R9" i="1" l="1"/>
  <c r="R10" i="1"/>
  <c r="Q9" i="1"/>
  <c r="K11" i="1"/>
  <c r="E182" i="3"/>
  <c r="G182" i="3"/>
  <c r="I182" i="3"/>
  <c r="F178" i="3"/>
  <c r="F179" i="3"/>
  <c r="F180" i="3"/>
  <c r="F177" i="3"/>
  <c r="D178" i="3"/>
  <c r="H178" i="3" s="1"/>
  <c r="J178" i="3" s="1"/>
  <c r="D179" i="3"/>
  <c r="D180" i="3"/>
  <c r="D177" i="3"/>
  <c r="H177" i="3" s="1"/>
  <c r="A177" i="3"/>
  <c r="A178" i="3"/>
  <c r="A179" i="3"/>
  <c r="A180" i="3"/>
  <c r="A182" i="3"/>
  <c r="A175" i="3"/>
  <c r="H179" i="3" l="1"/>
  <c r="J179" i="3" s="1"/>
  <c r="F182" i="3"/>
  <c r="J177" i="3"/>
  <c r="H180" i="3"/>
  <c r="D182" i="3"/>
  <c r="A222" i="3"/>
  <c r="A221" i="3"/>
  <c r="A219" i="3"/>
  <c r="F215" i="3"/>
  <c r="F216" i="3"/>
  <c r="F217" i="3"/>
  <c r="F214" i="3"/>
  <c r="D215" i="3"/>
  <c r="D216" i="3"/>
  <c r="D217" i="3"/>
  <c r="D214" i="3"/>
  <c r="B215" i="3"/>
  <c r="B216" i="3"/>
  <c r="B217" i="3"/>
  <c r="A213" i="3"/>
  <c r="B214" i="3"/>
  <c r="F313" i="3"/>
  <c r="F314" i="3" s="1"/>
  <c r="J314" i="3" s="1"/>
  <c r="D313" i="3"/>
  <c r="A312" i="3"/>
  <c r="A313" i="3"/>
  <c r="A314" i="3"/>
  <c r="A316" i="3"/>
  <c r="A304" i="3"/>
  <c r="H182" i="3" l="1"/>
  <c r="J180" i="3"/>
  <c r="J182" i="3" s="1"/>
  <c r="D219" i="3"/>
  <c r="F219" i="3"/>
  <c r="H313" i="3"/>
  <c r="J313" i="3"/>
  <c r="H214" i="3"/>
  <c r="D314" i="3"/>
  <c r="A412" i="3" l="1"/>
  <c r="A411" i="3"/>
  <c r="D329" i="3"/>
  <c r="C10" i="11" s="1"/>
  <c r="D330" i="3"/>
  <c r="D333" i="3"/>
  <c r="D334" i="3"/>
  <c r="D335" i="3"/>
  <c r="D336" i="3"/>
  <c r="D337" i="3"/>
  <c r="D338" i="3"/>
  <c r="D339" i="3"/>
  <c r="D340" i="3"/>
  <c r="D34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75" i="3"/>
  <c r="D376" i="3"/>
  <c r="D377" i="3"/>
  <c r="D378" i="3"/>
  <c r="D379" i="3"/>
  <c r="D380" i="3"/>
  <c r="D381" i="3"/>
  <c r="D382" i="3"/>
  <c r="D393" i="3"/>
  <c r="D394" i="3"/>
  <c r="D397" i="3"/>
  <c r="D396" i="3" s="1"/>
  <c r="D398" i="3"/>
  <c r="D407" i="3"/>
  <c r="D408" i="3"/>
  <c r="D409" i="3"/>
  <c r="D410" i="3"/>
  <c r="D412" i="3"/>
  <c r="D413" i="3"/>
  <c r="D414" i="3"/>
  <c r="D415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65" i="3"/>
  <c r="D466" i="3"/>
  <c r="D467" i="3"/>
  <c r="D468" i="3"/>
  <c r="D469" i="3"/>
  <c r="D470" i="3"/>
  <c r="D471" i="3"/>
  <c r="D472" i="3"/>
  <c r="D483" i="3"/>
  <c r="D484" i="3"/>
  <c r="D496" i="3"/>
  <c r="D497" i="3"/>
  <c r="D508" i="3"/>
  <c r="D509" i="3"/>
  <c r="D510" i="3"/>
  <c r="D511" i="3"/>
  <c r="D512" i="3"/>
  <c r="D513" i="3"/>
  <c r="D514" i="3"/>
  <c r="D515" i="3"/>
  <c r="D516" i="3"/>
  <c r="D517" i="3"/>
  <c r="D530" i="3"/>
  <c r="D531" i="3"/>
  <c r="D532" i="3"/>
  <c r="D533" i="3"/>
  <c r="D544" i="3"/>
  <c r="D545" i="3"/>
  <c r="D546" i="3"/>
  <c r="D547" i="3"/>
  <c r="D548" i="3"/>
  <c r="D549" i="3"/>
  <c r="D550" i="3"/>
  <c r="F126" i="3"/>
  <c r="F30" i="5"/>
  <c r="S12" i="6"/>
  <c r="S16" i="6"/>
  <c r="D30" i="5"/>
  <c r="D28" i="5"/>
  <c r="J411" i="3"/>
  <c r="H411" i="3"/>
  <c r="G16" i="6"/>
  <c r="G13" i="11"/>
  <c r="G23" i="11" s="1"/>
  <c r="C260" i="25" s="1"/>
  <c r="G16" i="10"/>
  <c r="D31" i="5"/>
  <c r="Q16" i="6"/>
  <c r="U16" i="6" s="1"/>
  <c r="W16" i="6" s="1"/>
  <c r="J333" i="3"/>
  <c r="J397" i="3"/>
  <c r="Q35" i="6"/>
  <c r="C26" i="10" s="1"/>
  <c r="D269" i="3"/>
  <c r="F269" i="3"/>
  <c r="A269" i="3"/>
  <c r="A539" i="3"/>
  <c r="B40" i="34"/>
  <c r="C40" i="34"/>
  <c r="C11" i="34"/>
  <c r="C35" i="34" s="1"/>
  <c r="B11" i="34"/>
  <c r="B35" i="34" s="1"/>
  <c r="C132" i="34"/>
  <c r="A84" i="3"/>
  <c r="F573" i="3"/>
  <c r="F575" i="3" s="1"/>
  <c r="C128" i="34" s="1"/>
  <c r="D573" i="3"/>
  <c r="A575" i="3"/>
  <c r="B573" i="3"/>
  <c r="B571" i="3"/>
  <c r="A569" i="3"/>
  <c r="A567" i="3"/>
  <c r="F565" i="3"/>
  <c r="D565" i="3"/>
  <c r="F564" i="3"/>
  <c r="D564" i="3"/>
  <c r="B565" i="3"/>
  <c r="B564" i="3"/>
  <c r="A562" i="3"/>
  <c r="A557" i="3"/>
  <c r="D306" i="3"/>
  <c r="F306" i="3"/>
  <c r="D307" i="3"/>
  <c r="F307" i="3"/>
  <c r="D308" i="3"/>
  <c r="F308" i="3"/>
  <c r="F305" i="3"/>
  <c r="D305" i="3"/>
  <c r="A310" i="3"/>
  <c r="A306" i="3"/>
  <c r="A307" i="3"/>
  <c r="A308" i="3"/>
  <c r="A305" i="3"/>
  <c r="A299" i="3"/>
  <c r="F283" i="3"/>
  <c r="F284" i="3"/>
  <c r="F285" i="3"/>
  <c r="F286" i="3"/>
  <c r="F287" i="3"/>
  <c r="F288" i="3"/>
  <c r="F289" i="3"/>
  <c r="F290" i="3"/>
  <c r="F291" i="3"/>
  <c r="D283" i="3"/>
  <c r="D284" i="3"/>
  <c r="D285" i="3"/>
  <c r="D286" i="3"/>
  <c r="D287" i="3"/>
  <c r="D288" i="3"/>
  <c r="D289" i="3"/>
  <c r="D290" i="3"/>
  <c r="D291" i="3"/>
  <c r="F282" i="3"/>
  <c r="D282" i="3"/>
  <c r="A293" i="3"/>
  <c r="A283" i="3"/>
  <c r="A284" i="3"/>
  <c r="A285" i="3"/>
  <c r="A286" i="3"/>
  <c r="A287" i="3"/>
  <c r="A288" i="3"/>
  <c r="A289" i="3"/>
  <c r="A290" i="3"/>
  <c r="A291" i="3"/>
  <c r="A282" i="3"/>
  <c r="A277" i="3"/>
  <c r="A271" i="3"/>
  <c r="F267" i="3"/>
  <c r="F268" i="3"/>
  <c r="D267" i="3"/>
  <c r="D268" i="3"/>
  <c r="F266" i="3"/>
  <c r="D266" i="3"/>
  <c r="A267" i="3"/>
  <c r="A268" i="3"/>
  <c r="A266" i="3"/>
  <c r="A261" i="3"/>
  <c r="F253" i="3"/>
  <c r="F254" i="3"/>
  <c r="F255" i="3"/>
  <c r="D253" i="3"/>
  <c r="D254" i="3"/>
  <c r="D255" i="3"/>
  <c r="F252" i="3"/>
  <c r="D252" i="3"/>
  <c r="A257" i="3"/>
  <c r="A253" i="3"/>
  <c r="A254" i="3"/>
  <c r="A255" i="3"/>
  <c r="A252" i="3"/>
  <c r="A247" i="3"/>
  <c r="F241" i="3"/>
  <c r="F242" i="3"/>
  <c r="F243" i="3"/>
  <c r="F240" i="3"/>
  <c r="D241" i="3"/>
  <c r="H241" i="3" s="1"/>
  <c r="J241" i="3" s="1"/>
  <c r="D242" i="3"/>
  <c r="H242" i="3" s="1"/>
  <c r="D243" i="3"/>
  <c r="H243" i="3" s="1"/>
  <c r="J243" i="3" s="1"/>
  <c r="D240" i="3"/>
  <c r="H240" i="3" s="1"/>
  <c r="A245" i="3"/>
  <c r="A241" i="3"/>
  <c r="A242" i="3"/>
  <c r="A243" i="3"/>
  <c r="A240" i="3"/>
  <c r="A234" i="3"/>
  <c r="A232" i="3"/>
  <c r="A230" i="3"/>
  <c r="F228" i="3"/>
  <c r="D228" i="3"/>
  <c r="B228" i="3"/>
  <c r="A227" i="3"/>
  <c r="F515" i="3"/>
  <c r="F517" i="3"/>
  <c r="F513" i="3"/>
  <c r="J513" i="3" s="1"/>
  <c r="A513" i="3"/>
  <c r="F407" i="3"/>
  <c r="F412" i="3"/>
  <c r="F469" i="3"/>
  <c r="D29" i="5"/>
  <c r="F329" i="3"/>
  <c r="E10" i="11" s="1"/>
  <c r="F330" i="3"/>
  <c r="E11" i="11" s="1"/>
  <c r="F332" i="3"/>
  <c r="F334" i="3"/>
  <c r="F335" i="3"/>
  <c r="F336" i="3"/>
  <c r="F337" i="3"/>
  <c r="F338" i="3"/>
  <c r="F339" i="3"/>
  <c r="F340" i="3"/>
  <c r="F341" i="3"/>
  <c r="F352" i="3"/>
  <c r="F353" i="3"/>
  <c r="E17" i="11" s="1"/>
  <c r="F354" i="3"/>
  <c r="F355" i="3"/>
  <c r="F356" i="3"/>
  <c r="F357" i="3"/>
  <c r="F358" i="3"/>
  <c r="F359" i="3"/>
  <c r="F360" i="3"/>
  <c r="F361" i="3"/>
  <c r="F362" i="3"/>
  <c r="F363" i="3"/>
  <c r="F375" i="3"/>
  <c r="F376" i="3"/>
  <c r="F377" i="3"/>
  <c r="F378" i="3"/>
  <c r="F379" i="3"/>
  <c r="F380" i="3"/>
  <c r="F381" i="3"/>
  <c r="F382" i="3"/>
  <c r="F393" i="3"/>
  <c r="F394" i="3"/>
  <c r="F396" i="3"/>
  <c r="F398" i="3"/>
  <c r="F408" i="3"/>
  <c r="F409" i="3"/>
  <c r="F410" i="3"/>
  <c r="F413" i="3"/>
  <c r="F414" i="3"/>
  <c r="F415" i="3"/>
  <c r="H415" i="3" s="1"/>
  <c r="J415" i="3" s="1"/>
  <c r="F465" i="3"/>
  <c r="F466" i="3"/>
  <c r="F467" i="3"/>
  <c r="F468" i="3"/>
  <c r="H468" i="3" s="1"/>
  <c r="J468" i="3" s="1"/>
  <c r="F470" i="3"/>
  <c r="F471" i="3"/>
  <c r="F472" i="3"/>
  <c r="F483" i="3"/>
  <c r="F484" i="3"/>
  <c r="F496" i="3"/>
  <c r="F497" i="3"/>
  <c r="F28" i="5"/>
  <c r="F29" i="5"/>
  <c r="F31" i="5"/>
  <c r="F508" i="3"/>
  <c r="F509" i="3"/>
  <c r="F510" i="3"/>
  <c r="F511" i="3"/>
  <c r="H511" i="3" s="1"/>
  <c r="F512" i="3"/>
  <c r="F514" i="3"/>
  <c r="F516" i="3"/>
  <c r="F424" i="3"/>
  <c r="F425" i="3"/>
  <c r="E28" i="11" s="1"/>
  <c r="F426" i="3"/>
  <c r="E29" i="11" s="1"/>
  <c r="F427" i="3"/>
  <c r="E30" i="11" s="1"/>
  <c r="F428" i="3"/>
  <c r="E31" i="11" s="1"/>
  <c r="F429" i="3"/>
  <c r="E32" i="11" s="1"/>
  <c r="F430" i="3"/>
  <c r="F431" i="3"/>
  <c r="E34" i="11" s="1"/>
  <c r="F432" i="3"/>
  <c r="E35" i="11" s="1"/>
  <c r="F433" i="3"/>
  <c r="E36" i="11" s="1"/>
  <c r="F434" i="3"/>
  <c r="E37" i="11" s="1"/>
  <c r="F435" i="3"/>
  <c r="E38" i="11" s="1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530" i="3"/>
  <c r="F531" i="3"/>
  <c r="F532" i="3"/>
  <c r="F533" i="3"/>
  <c r="F544" i="3"/>
  <c r="F545" i="3"/>
  <c r="F546" i="3"/>
  <c r="F547" i="3"/>
  <c r="F548" i="3"/>
  <c r="F549" i="3"/>
  <c r="F550" i="3"/>
  <c r="D223" i="3"/>
  <c r="F223" i="3"/>
  <c r="F224" i="3"/>
  <c r="F225" i="3"/>
  <c r="J225" i="3" s="1"/>
  <c r="D224" i="3"/>
  <c r="D225" i="3"/>
  <c r="S14" i="6"/>
  <c r="S11" i="6"/>
  <c r="F199" i="3"/>
  <c r="F200" i="3"/>
  <c r="F201" i="3"/>
  <c r="F194" i="3"/>
  <c r="F196" i="3" s="1"/>
  <c r="S34" i="6"/>
  <c r="S35" i="6"/>
  <c r="S36" i="6"/>
  <c r="S37" i="6"/>
  <c r="D125" i="3"/>
  <c r="D126" i="3"/>
  <c r="D127" i="3"/>
  <c r="D128" i="3"/>
  <c r="A415" i="3"/>
  <c r="A545" i="3"/>
  <c r="A546" i="3"/>
  <c r="A547" i="3"/>
  <c r="A548" i="3"/>
  <c r="A549" i="3"/>
  <c r="A550" i="3"/>
  <c r="A544" i="3"/>
  <c r="A376" i="3"/>
  <c r="A377" i="3"/>
  <c r="A378" i="3"/>
  <c r="A379" i="3"/>
  <c r="A380" i="3"/>
  <c r="A381" i="3"/>
  <c r="A382" i="3"/>
  <c r="A552" i="3"/>
  <c r="A535" i="3"/>
  <c r="A531" i="3"/>
  <c r="A532" i="3"/>
  <c r="A533" i="3"/>
  <c r="A530" i="3"/>
  <c r="A525" i="3"/>
  <c r="A519" i="3"/>
  <c r="A517" i="3"/>
  <c r="A460" i="3"/>
  <c r="A466" i="3"/>
  <c r="A467" i="3"/>
  <c r="A468" i="3"/>
  <c r="A469" i="3"/>
  <c r="A470" i="3"/>
  <c r="A471" i="3"/>
  <c r="A472" i="3"/>
  <c r="A465" i="3"/>
  <c r="A457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24" i="3"/>
  <c r="A419" i="3"/>
  <c r="A417" i="3"/>
  <c r="A408" i="3"/>
  <c r="A409" i="3"/>
  <c r="A410" i="3"/>
  <c r="A413" i="3"/>
  <c r="A414" i="3"/>
  <c r="A407" i="3"/>
  <c r="A402" i="3"/>
  <c r="A400" i="3"/>
  <c r="A394" i="3"/>
  <c r="A395" i="3"/>
  <c r="A398" i="3"/>
  <c r="A393" i="3"/>
  <c r="A388" i="3"/>
  <c r="A384" i="3"/>
  <c r="B224" i="3"/>
  <c r="B225" i="3"/>
  <c r="B223" i="3"/>
  <c r="A212" i="3"/>
  <c r="A207" i="3"/>
  <c r="D200" i="3"/>
  <c r="D201" i="3"/>
  <c r="D199" i="3"/>
  <c r="D194" i="3"/>
  <c r="A205" i="3"/>
  <c r="A203" i="3"/>
  <c r="B200" i="3"/>
  <c r="B201" i="3"/>
  <c r="B199" i="3"/>
  <c r="A198" i="3"/>
  <c r="A196" i="3"/>
  <c r="B194" i="3"/>
  <c r="A193" i="3"/>
  <c r="A188" i="3"/>
  <c r="D162" i="3"/>
  <c r="D163" i="3"/>
  <c r="D164" i="3"/>
  <c r="D165" i="3"/>
  <c r="D166" i="3"/>
  <c r="H166" i="3" s="1"/>
  <c r="D167" i="3"/>
  <c r="D168" i="3"/>
  <c r="D169" i="3"/>
  <c r="D170" i="3"/>
  <c r="F162" i="3"/>
  <c r="F163" i="3"/>
  <c r="F164" i="3"/>
  <c r="F165" i="3"/>
  <c r="F167" i="3"/>
  <c r="J167" i="3" s="1"/>
  <c r="F168" i="3"/>
  <c r="F169" i="3"/>
  <c r="F170" i="3"/>
  <c r="F161" i="3"/>
  <c r="D161" i="3"/>
  <c r="A172" i="3"/>
  <c r="A170" i="3"/>
  <c r="A169" i="3"/>
  <c r="A162" i="3"/>
  <c r="A163" i="3"/>
  <c r="A164" i="3"/>
  <c r="A165" i="3"/>
  <c r="A166" i="3"/>
  <c r="A167" i="3"/>
  <c r="A168" i="3"/>
  <c r="A509" i="3"/>
  <c r="A510" i="3"/>
  <c r="A511" i="3"/>
  <c r="A512" i="3"/>
  <c r="A514" i="3"/>
  <c r="A515" i="3"/>
  <c r="A516" i="3"/>
  <c r="A508" i="3"/>
  <c r="A503" i="3"/>
  <c r="A499" i="3"/>
  <c r="A497" i="3"/>
  <c r="A496" i="3"/>
  <c r="A491" i="3"/>
  <c r="A486" i="3"/>
  <c r="A484" i="3"/>
  <c r="A483" i="3"/>
  <c r="A478" i="3"/>
  <c r="A474" i="3"/>
  <c r="A375" i="3"/>
  <c r="A370" i="3"/>
  <c r="A365" i="3"/>
  <c r="A353" i="3"/>
  <c r="A354" i="3"/>
  <c r="A355" i="3"/>
  <c r="A356" i="3"/>
  <c r="A357" i="3"/>
  <c r="A358" i="3"/>
  <c r="A359" i="3"/>
  <c r="A360" i="3"/>
  <c r="A361" i="3"/>
  <c r="A362" i="3"/>
  <c r="A363" i="3"/>
  <c r="A352" i="3"/>
  <c r="A347" i="3"/>
  <c r="A343" i="3"/>
  <c r="D9" i="3"/>
  <c r="D138" i="3"/>
  <c r="D139" i="3"/>
  <c r="D140" i="3"/>
  <c r="D141" i="3"/>
  <c r="D142" i="3"/>
  <c r="D143" i="3"/>
  <c r="D144" i="3"/>
  <c r="D145" i="3"/>
  <c r="D137" i="3"/>
  <c r="I82" i="26"/>
  <c r="I81" i="26"/>
  <c r="I77" i="26"/>
  <c r="C77" i="26"/>
  <c r="J77" i="26" s="1"/>
  <c r="J76" i="26"/>
  <c r="I76" i="26"/>
  <c r="J72" i="26"/>
  <c r="J71" i="26"/>
  <c r="J70" i="26"/>
  <c r="J69" i="26"/>
  <c r="I68" i="26"/>
  <c r="J68" i="26" s="1"/>
  <c r="J83" i="26" s="1"/>
  <c r="C63" i="26"/>
  <c r="J62" i="26"/>
  <c r="I62" i="26"/>
  <c r="J61" i="26"/>
  <c r="J63" i="26" s="1"/>
  <c r="I61" i="26"/>
  <c r="F49" i="26"/>
  <c r="E49" i="26"/>
  <c r="G45" i="26"/>
  <c r="F44" i="26"/>
  <c r="E44" i="26"/>
  <c r="E46" i="26" s="1"/>
  <c r="G43" i="26"/>
  <c r="G42" i="26"/>
  <c r="G41" i="26"/>
  <c r="G36" i="26"/>
  <c r="E35" i="26"/>
  <c r="E37" i="26" s="1"/>
  <c r="F34" i="26"/>
  <c r="F35" i="26" s="1"/>
  <c r="G33" i="26"/>
  <c r="G27" i="26"/>
  <c r="G26" i="26"/>
  <c r="G25" i="26"/>
  <c r="E24" i="26"/>
  <c r="G24" i="26" s="1"/>
  <c r="E23" i="26"/>
  <c r="G23" i="26" s="1"/>
  <c r="E22" i="26"/>
  <c r="G22" i="26" s="1"/>
  <c r="E21" i="26"/>
  <c r="G21" i="26" s="1"/>
  <c r="E20" i="26"/>
  <c r="G20" i="26" s="1"/>
  <c r="G19" i="26"/>
  <c r="F18" i="26"/>
  <c r="G18" i="26" s="1"/>
  <c r="F17" i="26"/>
  <c r="G17" i="26" s="1"/>
  <c r="E16" i="26"/>
  <c r="F15" i="26"/>
  <c r="G15" i="26" s="1"/>
  <c r="G14" i="26"/>
  <c r="G13" i="26"/>
  <c r="G12" i="26"/>
  <c r="G11" i="26"/>
  <c r="G10" i="26"/>
  <c r="G9" i="26"/>
  <c r="G8" i="26"/>
  <c r="F16" i="26"/>
  <c r="A337" i="3"/>
  <c r="A338" i="3"/>
  <c r="A339" i="3"/>
  <c r="A340" i="3"/>
  <c r="A341" i="3"/>
  <c r="G28" i="6"/>
  <c r="G14" i="6" s="1"/>
  <c r="E28" i="6"/>
  <c r="A2" i="6"/>
  <c r="A44" i="6"/>
  <c r="A42" i="6"/>
  <c r="A35" i="6"/>
  <c r="Q37" i="6"/>
  <c r="Q38" i="6"/>
  <c r="C27" i="10" s="1"/>
  <c r="Q34" i="6"/>
  <c r="M44" i="6"/>
  <c r="M42" i="6"/>
  <c r="M40" i="6"/>
  <c r="N35" i="6"/>
  <c r="N36" i="6"/>
  <c r="N37" i="6"/>
  <c r="N38" i="6"/>
  <c r="N34" i="6"/>
  <c r="M29" i="6"/>
  <c r="M27" i="6"/>
  <c r="Q24" i="6"/>
  <c r="N25" i="6"/>
  <c r="N24" i="6"/>
  <c r="M22" i="6"/>
  <c r="M19" i="6"/>
  <c r="Q12" i="6"/>
  <c r="Q11" i="6"/>
  <c r="N12" i="6"/>
  <c r="N13" i="6"/>
  <c r="N14" i="6"/>
  <c r="N15" i="6"/>
  <c r="N16" i="6"/>
  <c r="N11" i="6"/>
  <c r="M9" i="6"/>
  <c r="G31" i="6"/>
  <c r="E12" i="10" s="1"/>
  <c r="G32" i="6"/>
  <c r="E13" i="10" s="1"/>
  <c r="A161" i="3"/>
  <c r="A156" i="3"/>
  <c r="D150" i="3"/>
  <c r="D149" i="3"/>
  <c r="F150" i="3"/>
  <c r="F149" i="3"/>
  <c r="F138" i="3"/>
  <c r="H138" i="3" s="1"/>
  <c r="J138" i="3" s="1"/>
  <c r="F139" i="3"/>
  <c r="F140" i="3"/>
  <c r="H140" i="3" s="1"/>
  <c r="J140" i="3" s="1"/>
  <c r="F141" i="3"/>
  <c r="F142" i="3"/>
  <c r="H142" i="3" s="1"/>
  <c r="J142" i="3" s="1"/>
  <c r="F143" i="3"/>
  <c r="F144" i="3"/>
  <c r="F145" i="3"/>
  <c r="F137" i="3"/>
  <c r="A152" i="3"/>
  <c r="B150" i="3"/>
  <c r="B149" i="3"/>
  <c r="A147" i="3"/>
  <c r="A138" i="3"/>
  <c r="A139" i="3"/>
  <c r="A140" i="3"/>
  <c r="A141" i="3"/>
  <c r="A142" i="3"/>
  <c r="A143" i="3"/>
  <c r="A144" i="3"/>
  <c r="A145" i="3"/>
  <c r="A137" i="3"/>
  <c r="A132" i="3"/>
  <c r="F127" i="3"/>
  <c r="F128" i="3"/>
  <c r="F125" i="3"/>
  <c r="A130" i="3"/>
  <c r="A120" i="3"/>
  <c r="A118" i="3"/>
  <c r="F113" i="3"/>
  <c r="F114" i="3"/>
  <c r="F115" i="3"/>
  <c r="F116" i="3"/>
  <c r="J116" i="3" s="1"/>
  <c r="F112" i="3"/>
  <c r="A107" i="3"/>
  <c r="A104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85" i="3"/>
  <c r="F10" i="3"/>
  <c r="F11" i="3"/>
  <c r="F12" i="3"/>
  <c r="F9" i="3"/>
  <c r="A93" i="3"/>
  <c r="A127" i="3"/>
  <c r="E32" i="6"/>
  <c r="C13" i="10" s="1"/>
  <c r="E31" i="6"/>
  <c r="I9" i="11"/>
  <c r="I23" i="11"/>
  <c r="L29" i="10"/>
  <c r="L54" i="10" s="1"/>
  <c r="I26" i="11"/>
  <c r="I45" i="11"/>
  <c r="L8" i="10"/>
  <c r="L16" i="10" s="1"/>
  <c r="M2" i="6"/>
  <c r="A20" i="3"/>
  <c r="A42" i="5"/>
  <c r="M45" i="6"/>
  <c r="A125" i="3"/>
  <c r="A335" i="3"/>
  <c r="A3" i="11"/>
  <c r="N16" i="10"/>
  <c r="N55" i="10" s="1"/>
  <c r="L39" i="10"/>
  <c r="N18" i="10"/>
  <c r="N19" i="10"/>
  <c r="C120" i="25"/>
  <c r="N29" i="10"/>
  <c r="C35" i="10"/>
  <c r="E35" i="10"/>
  <c r="G35" i="10"/>
  <c r="N45" i="10"/>
  <c r="N46" i="10"/>
  <c r="N48" i="10"/>
  <c r="N53" i="10"/>
  <c r="N54" i="10"/>
  <c r="A4" i="3"/>
  <c r="A9" i="3"/>
  <c r="A10" i="3"/>
  <c r="D10" i="3"/>
  <c r="A11" i="3"/>
  <c r="D11" i="3"/>
  <c r="A12" i="3"/>
  <c r="D12" i="3"/>
  <c r="A14" i="3"/>
  <c r="A79" i="3"/>
  <c r="D81" i="3"/>
  <c r="F81" i="3"/>
  <c r="H81" i="3"/>
  <c r="J81" i="3"/>
  <c r="H82" i="3"/>
  <c r="J82" i="3"/>
  <c r="B85" i="3"/>
  <c r="D85" i="3"/>
  <c r="B86" i="3"/>
  <c r="D86" i="3"/>
  <c r="B87" i="3"/>
  <c r="D87" i="3"/>
  <c r="B88" i="3"/>
  <c r="D88" i="3"/>
  <c r="B89" i="3"/>
  <c r="D89" i="3"/>
  <c r="B90" i="3"/>
  <c r="D90" i="3"/>
  <c r="B91" i="3"/>
  <c r="D91" i="3"/>
  <c r="B92" i="3"/>
  <c r="D92" i="3"/>
  <c r="D93" i="3"/>
  <c r="A94" i="3"/>
  <c r="D94" i="3"/>
  <c r="A95" i="3"/>
  <c r="D95" i="3"/>
  <c r="A96" i="3"/>
  <c r="D96" i="3"/>
  <c r="A97" i="3"/>
  <c r="D97" i="3"/>
  <c r="A98" i="3"/>
  <c r="D98" i="3"/>
  <c r="A99" i="3"/>
  <c r="D99" i="3"/>
  <c r="A100" i="3"/>
  <c r="D100" i="3"/>
  <c r="A101" i="3"/>
  <c r="D101" i="3"/>
  <c r="A102" i="3"/>
  <c r="D102" i="3"/>
  <c r="D109" i="3"/>
  <c r="F109" i="3"/>
  <c r="H109" i="3"/>
  <c r="J109" i="3"/>
  <c r="H110" i="3"/>
  <c r="J110" i="3"/>
  <c r="A112" i="3"/>
  <c r="D112" i="3"/>
  <c r="A113" i="3"/>
  <c r="D113" i="3"/>
  <c r="A114" i="3"/>
  <c r="D114" i="3"/>
  <c r="A115" i="3"/>
  <c r="D115" i="3"/>
  <c r="A116" i="3"/>
  <c r="D116" i="3"/>
  <c r="D122" i="3"/>
  <c r="F122" i="3"/>
  <c r="H122" i="3"/>
  <c r="J122" i="3"/>
  <c r="H123" i="3"/>
  <c r="J123" i="3"/>
  <c r="A126" i="3"/>
  <c r="A128" i="3"/>
  <c r="D134" i="3"/>
  <c r="F134" i="3"/>
  <c r="H134" i="3"/>
  <c r="J134" i="3"/>
  <c r="H135" i="3"/>
  <c r="J135" i="3"/>
  <c r="D158" i="3"/>
  <c r="F158" i="3"/>
  <c r="H158" i="3"/>
  <c r="J158" i="3"/>
  <c r="H159" i="3"/>
  <c r="J159" i="3"/>
  <c r="D190" i="3"/>
  <c r="F190" i="3"/>
  <c r="H190" i="3"/>
  <c r="J190" i="3"/>
  <c r="H191" i="3"/>
  <c r="J191" i="3"/>
  <c r="D209" i="3"/>
  <c r="F209" i="3"/>
  <c r="H209" i="3"/>
  <c r="J209" i="3"/>
  <c r="H210" i="3"/>
  <c r="J210" i="3"/>
  <c r="D236" i="3"/>
  <c r="F236" i="3"/>
  <c r="H236" i="3"/>
  <c r="J236" i="3"/>
  <c r="H237" i="3"/>
  <c r="J237" i="3"/>
  <c r="D249" i="3"/>
  <c r="F249" i="3"/>
  <c r="H249" i="3"/>
  <c r="J249" i="3"/>
  <c r="H250" i="3"/>
  <c r="J250" i="3"/>
  <c r="D263" i="3"/>
  <c r="F263" i="3"/>
  <c r="H263" i="3"/>
  <c r="J263" i="3"/>
  <c r="H264" i="3"/>
  <c r="J264" i="3"/>
  <c r="D279" i="3"/>
  <c r="F279" i="3"/>
  <c r="H279" i="3"/>
  <c r="J279" i="3"/>
  <c r="H280" i="3"/>
  <c r="J280" i="3"/>
  <c r="D301" i="3"/>
  <c r="F301" i="3"/>
  <c r="H301" i="3"/>
  <c r="J301" i="3"/>
  <c r="H302" i="3"/>
  <c r="J302" i="3"/>
  <c r="A324" i="3"/>
  <c r="D326" i="3"/>
  <c r="F326" i="3"/>
  <c r="H326" i="3"/>
  <c r="J326" i="3"/>
  <c r="H327" i="3"/>
  <c r="J327" i="3"/>
  <c r="A329" i="3"/>
  <c r="A330" i="3"/>
  <c r="A331" i="3"/>
  <c r="A334" i="3"/>
  <c r="A336" i="3"/>
  <c r="D349" i="3"/>
  <c r="F349" i="3"/>
  <c r="H349" i="3"/>
  <c r="J349" i="3"/>
  <c r="H350" i="3"/>
  <c r="J350" i="3"/>
  <c r="D372" i="3"/>
  <c r="F372" i="3"/>
  <c r="H372" i="3"/>
  <c r="J372" i="3"/>
  <c r="H373" i="3"/>
  <c r="J373" i="3"/>
  <c r="D390" i="3"/>
  <c r="F390" i="3"/>
  <c r="H390" i="3"/>
  <c r="J390" i="3"/>
  <c r="H391" i="3"/>
  <c r="J391" i="3"/>
  <c r="D404" i="3"/>
  <c r="F404" i="3"/>
  <c r="H404" i="3"/>
  <c r="J404" i="3"/>
  <c r="H405" i="3"/>
  <c r="J405" i="3"/>
  <c r="D421" i="3"/>
  <c r="F421" i="3"/>
  <c r="H421" i="3"/>
  <c r="J421" i="3"/>
  <c r="H422" i="3"/>
  <c r="J422" i="3"/>
  <c r="D462" i="3"/>
  <c r="F462" i="3"/>
  <c r="H462" i="3"/>
  <c r="J462" i="3"/>
  <c r="H463" i="3"/>
  <c r="J463" i="3"/>
  <c r="D480" i="3"/>
  <c r="F480" i="3"/>
  <c r="H480" i="3"/>
  <c r="J480" i="3"/>
  <c r="H481" i="3"/>
  <c r="J481" i="3"/>
  <c r="D493" i="3"/>
  <c r="F493" i="3"/>
  <c r="H493" i="3"/>
  <c r="J493" i="3"/>
  <c r="H494" i="3"/>
  <c r="J494" i="3"/>
  <c r="D505" i="3"/>
  <c r="F505" i="3"/>
  <c r="H505" i="3"/>
  <c r="J505" i="3"/>
  <c r="H506" i="3"/>
  <c r="J506" i="3"/>
  <c r="D527" i="3"/>
  <c r="F527" i="3"/>
  <c r="H527" i="3"/>
  <c r="J527" i="3"/>
  <c r="H528" i="3"/>
  <c r="J528" i="3"/>
  <c r="D541" i="3"/>
  <c r="F541" i="3"/>
  <c r="H541" i="3"/>
  <c r="J541" i="3"/>
  <c r="H542" i="3"/>
  <c r="J542" i="3"/>
  <c r="D559" i="3"/>
  <c r="F559" i="3"/>
  <c r="H559" i="3"/>
  <c r="J559" i="3"/>
  <c r="H560" i="3"/>
  <c r="J560" i="3"/>
  <c r="A8" i="5"/>
  <c r="B9" i="5"/>
  <c r="B10" i="5"/>
  <c r="A14" i="5"/>
  <c r="A21" i="34" s="1"/>
  <c r="A16" i="5"/>
  <c r="B17" i="5"/>
  <c r="A18" i="5"/>
  <c r="A22" i="34" s="1"/>
  <c r="A21" i="5"/>
  <c r="A23" i="34" s="1"/>
  <c r="A23" i="5"/>
  <c r="B24" i="5"/>
  <c r="B25" i="5"/>
  <c r="B26" i="5"/>
  <c r="B27" i="5"/>
  <c r="B28" i="5"/>
  <c r="B29" i="5"/>
  <c r="B30" i="5"/>
  <c r="B31" i="5"/>
  <c r="B32" i="5"/>
  <c r="A33" i="5"/>
  <c r="A26" i="34" s="1"/>
  <c r="A35" i="5"/>
  <c r="B36" i="5"/>
  <c r="B37" i="5"/>
  <c r="A38" i="5"/>
  <c r="A27" i="34" s="1"/>
  <c r="A41" i="5"/>
  <c r="A31" i="34" s="1"/>
  <c r="D46" i="5"/>
  <c r="F46" i="5"/>
  <c r="Q5" i="6"/>
  <c r="S5" i="6"/>
  <c r="A9" i="6"/>
  <c r="B13" i="6"/>
  <c r="B14" i="6"/>
  <c r="B15" i="6"/>
  <c r="B16" i="6"/>
  <c r="B17" i="6"/>
  <c r="A19" i="6"/>
  <c r="A24" i="6"/>
  <c r="B27" i="6"/>
  <c r="B28" i="6"/>
  <c r="B29" i="6"/>
  <c r="B30" i="6"/>
  <c r="A11" i="10" s="1"/>
  <c r="B31" i="6"/>
  <c r="A12" i="10" s="1"/>
  <c r="Q31" i="6"/>
  <c r="S31" i="6"/>
  <c r="B32" i="6"/>
  <c r="A13" i="10" s="1"/>
  <c r="B33" i="6"/>
  <c r="A14" i="10" s="1"/>
  <c r="C102" i="25"/>
  <c r="L21" i="10"/>
  <c r="L46" i="10" s="1"/>
  <c r="L47" i="10" s="1"/>
  <c r="L61" i="10"/>
  <c r="C31" i="25"/>
  <c r="G26" i="11"/>
  <c r="G45" i="11"/>
  <c r="G29" i="10"/>
  <c r="C144" i="25"/>
  <c r="C216" i="25"/>
  <c r="C166" i="25"/>
  <c r="G21" i="10"/>
  <c r="C237" i="25" s="1"/>
  <c r="C11" i="25"/>
  <c r="C371" i="25"/>
  <c r="C340" i="25"/>
  <c r="C49" i="25"/>
  <c r="C186" i="25"/>
  <c r="C395" i="25"/>
  <c r="C78" i="25"/>
  <c r="J166" i="3"/>
  <c r="C12" i="10" l="1"/>
  <c r="G9" i="11"/>
  <c r="L31" i="10"/>
  <c r="E23" i="10"/>
  <c r="E43" i="11"/>
  <c r="E26" i="10"/>
  <c r="F28" i="26"/>
  <c r="F30" i="26" s="1"/>
  <c r="G49" i="26"/>
  <c r="E24" i="10"/>
  <c r="B19" i="34"/>
  <c r="H91" i="3"/>
  <c r="J91" i="3" s="1"/>
  <c r="H87" i="3"/>
  <c r="J87" i="3" s="1"/>
  <c r="H85" i="3"/>
  <c r="J85" i="3" s="1"/>
  <c r="H549" i="3"/>
  <c r="J549" i="3" s="1"/>
  <c r="H545" i="3"/>
  <c r="J545" i="3" s="1"/>
  <c r="H531" i="3"/>
  <c r="J531" i="3" s="1"/>
  <c r="H451" i="3"/>
  <c r="J451" i="3" s="1"/>
  <c r="H447" i="3"/>
  <c r="J447" i="3" s="1"/>
  <c r="H443" i="3"/>
  <c r="J443" i="3" s="1"/>
  <c r="H439" i="3"/>
  <c r="J439" i="3" s="1"/>
  <c r="H497" i="3"/>
  <c r="J497" i="3" s="1"/>
  <c r="H472" i="3"/>
  <c r="J472" i="3" s="1"/>
  <c r="U11" i="6"/>
  <c r="W11" i="6" s="1"/>
  <c r="H306" i="3"/>
  <c r="J306" i="3" s="1"/>
  <c r="D567" i="3"/>
  <c r="B125" i="34" s="1"/>
  <c r="H255" i="3"/>
  <c r="J255" i="3" s="1"/>
  <c r="H452" i="3"/>
  <c r="J452" i="3" s="1"/>
  <c r="H448" i="3"/>
  <c r="J448" i="3" s="1"/>
  <c r="H440" i="3"/>
  <c r="J440" i="3" s="1"/>
  <c r="C27" i="11"/>
  <c r="H469" i="3"/>
  <c r="J469" i="3" s="1"/>
  <c r="D486" i="3"/>
  <c r="H144" i="3"/>
  <c r="J144" i="3" s="1"/>
  <c r="H10" i="3"/>
  <c r="J10" i="3" s="1"/>
  <c r="F486" i="3"/>
  <c r="F25" i="5" s="1"/>
  <c r="C109" i="34" s="1"/>
  <c r="C110" i="34" s="1"/>
  <c r="H483" i="3"/>
  <c r="J483" i="3" s="1"/>
  <c r="H143" i="3"/>
  <c r="J143" i="3" s="1"/>
  <c r="H224" i="3"/>
  <c r="J224" i="3" s="1"/>
  <c r="C39" i="11"/>
  <c r="H512" i="3"/>
  <c r="J512" i="3" s="1"/>
  <c r="H508" i="3"/>
  <c r="J508" i="3" s="1"/>
  <c r="H375" i="3"/>
  <c r="J375" i="3" s="1"/>
  <c r="H356" i="3"/>
  <c r="J356" i="3" s="1"/>
  <c r="F147" i="3"/>
  <c r="F152" i="3" s="1"/>
  <c r="C53" i="34" s="1"/>
  <c r="H126" i="3"/>
  <c r="J126" i="3" s="1"/>
  <c r="E16" i="11"/>
  <c r="H565" i="3"/>
  <c r="J565" i="3" s="1"/>
  <c r="C16" i="11"/>
  <c r="H363" i="3"/>
  <c r="J363" i="3" s="1"/>
  <c r="C31" i="11"/>
  <c r="E13" i="11"/>
  <c r="H407" i="3"/>
  <c r="J407" i="3" s="1"/>
  <c r="H290" i="3"/>
  <c r="J290" i="3" s="1"/>
  <c r="H510" i="3"/>
  <c r="J510" i="3" s="1"/>
  <c r="H496" i="3"/>
  <c r="J496" i="3" s="1"/>
  <c r="H90" i="3"/>
  <c r="J90" i="3" s="1"/>
  <c r="H550" i="3"/>
  <c r="J550" i="3" s="1"/>
  <c r="H532" i="3"/>
  <c r="J532" i="3" s="1"/>
  <c r="C35" i="11"/>
  <c r="H516" i="3"/>
  <c r="J516" i="3" s="1"/>
  <c r="H465" i="3"/>
  <c r="J465" i="3" s="1"/>
  <c r="H167" i="3"/>
  <c r="H379" i="3"/>
  <c r="J379" i="3" s="1"/>
  <c r="H334" i="3"/>
  <c r="J334" i="3" s="1"/>
  <c r="C33" i="11"/>
  <c r="F519" i="3"/>
  <c r="F32" i="5" s="1"/>
  <c r="C115" i="34" s="1"/>
  <c r="C116" i="34" s="1"/>
  <c r="H137" i="3"/>
  <c r="J137" i="3" s="1"/>
  <c r="H139" i="3"/>
  <c r="J139" i="3" s="1"/>
  <c r="H168" i="3"/>
  <c r="J168" i="3" s="1"/>
  <c r="H113" i="3"/>
  <c r="J113" i="3" s="1"/>
  <c r="H99" i="3"/>
  <c r="J99" i="3" s="1"/>
  <c r="H95" i="3"/>
  <c r="J95" i="3" s="1"/>
  <c r="F257" i="3"/>
  <c r="C76" i="34" s="1"/>
  <c r="C77" i="34" s="1"/>
  <c r="H11" i="3"/>
  <c r="J11" i="3" s="1"/>
  <c r="H89" i="3"/>
  <c r="J89" i="3" s="1"/>
  <c r="H115" i="3"/>
  <c r="J115" i="3" s="1"/>
  <c r="H149" i="3"/>
  <c r="J149" i="3" s="1"/>
  <c r="D14" i="3"/>
  <c r="B37" i="34" s="1"/>
  <c r="H162" i="3"/>
  <c r="J162" i="3" s="1"/>
  <c r="D271" i="3"/>
  <c r="Q15" i="6" s="1"/>
  <c r="H308" i="3"/>
  <c r="J308" i="3" s="1"/>
  <c r="H382" i="3"/>
  <c r="J382" i="3" s="1"/>
  <c r="C40" i="11"/>
  <c r="H254" i="3"/>
  <c r="J254" i="3" s="1"/>
  <c r="H286" i="3"/>
  <c r="J286" i="3" s="1"/>
  <c r="S44" i="6"/>
  <c r="C129" i="34" s="1"/>
  <c r="E12" i="11"/>
  <c r="H112" i="3"/>
  <c r="J112" i="3" s="1"/>
  <c r="H102" i="3"/>
  <c r="J102" i="3" s="1"/>
  <c r="H94" i="3"/>
  <c r="J94" i="3" s="1"/>
  <c r="H150" i="3"/>
  <c r="J150" i="3" s="1"/>
  <c r="D147" i="3"/>
  <c r="D152" i="3" s="1"/>
  <c r="B53" i="34" s="1"/>
  <c r="H169" i="3"/>
  <c r="J169" i="3" s="1"/>
  <c r="H201" i="3"/>
  <c r="J201" i="3" s="1"/>
  <c r="H471" i="3"/>
  <c r="J471" i="3" s="1"/>
  <c r="H283" i="3"/>
  <c r="J283" i="3" s="1"/>
  <c r="H307" i="3"/>
  <c r="J307" i="3" s="1"/>
  <c r="H564" i="3"/>
  <c r="J564" i="3" s="1"/>
  <c r="G27" i="6"/>
  <c r="E8" i="10" s="1"/>
  <c r="C36" i="11"/>
  <c r="H352" i="3"/>
  <c r="J352" i="3" s="1"/>
  <c r="H435" i="3"/>
  <c r="J435" i="3" s="1"/>
  <c r="I32" i="6"/>
  <c r="C37" i="11"/>
  <c r="C29" i="11"/>
  <c r="H514" i="3"/>
  <c r="J514" i="3" s="1"/>
  <c r="H228" i="3"/>
  <c r="J228" i="3" s="1"/>
  <c r="D245" i="3"/>
  <c r="B73" i="34" s="1"/>
  <c r="F245" i="3"/>
  <c r="H252" i="3"/>
  <c r="J252" i="3" s="1"/>
  <c r="F271" i="3"/>
  <c r="C79" i="34" s="1"/>
  <c r="H288" i="3"/>
  <c r="J288" i="3" s="1"/>
  <c r="F293" i="3"/>
  <c r="C82" i="34" s="1"/>
  <c r="D310" i="3"/>
  <c r="H397" i="3"/>
  <c r="H145" i="3"/>
  <c r="J145" i="3" s="1"/>
  <c r="H141" i="3"/>
  <c r="J141" i="3" s="1"/>
  <c r="F172" i="3"/>
  <c r="G30" i="6" s="1"/>
  <c r="E11" i="10" s="1"/>
  <c r="H170" i="3"/>
  <c r="J170" i="3" s="1"/>
  <c r="H413" i="3"/>
  <c r="J413" i="3" s="1"/>
  <c r="D118" i="3"/>
  <c r="B47" i="34" s="1"/>
  <c r="H454" i="3"/>
  <c r="J454" i="3" s="1"/>
  <c r="H450" i="3"/>
  <c r="J450" i="3" s="1"/>
  <c r="H446" i="3"/>
  <c r="J446" i="3" s="1"/>
  <c r="H442" i="3"/>
  <c r="J442" i="3" s="1"/>
  <c r="H430" i="3"/>
  <c r="J430" i="3" s="1"/>
  <c r="C14" i="11"/>
  <c r="H438" i="3"/>
  <c r="J438" i="3" s="1"/>
  <c r="H9" i="3"/>
  <c r="J9" i="3" s="1"/>
  <c r="H426" i="3"/>
  <c r="J426" i="3" s="1"/>
  <c r="H128" i="3"/>
  <c r="J128" i="3" s="1"/>
  <c r="D130" i="3"/>
  <c r="B50" i="34" s="1"/>
  <c r="H200" i="3"/>
  <c r="J200" i="3" s="1"/>
  <c r="E33" i="11"/>
  <c r="H225" i="3"/>
  <c r="H217" i="3"/>
  <c r="J217" i="3" s="1"/>
  <c r="C67" i="34"/>
  <c r="C68" i="34" s="1"/>
  <c r="H530" i="3"/>
  <c r="J530" i="3" s="1"/>
  <c r="H409" i="3"/>
  <c r="J409" i="3" s="1"/>
  <c r="H354" i="3"/>
  <c r="J354" i="3" s="1"/>
  <c r="H268" i="3"/>
  <c r="J268" i="3" s="1"/>
  <c r="H269" i="3"/>
  <c r="J269" i="3" s="1"/>
  <c r="H513" i="3"/>
  <c r="H284" i="3"/>
  <c r="J284" i="3" s="1"/>
  <c r="H358" i="3"/>
  <c r="J358" i="3" s="1"/>
  <c r="E9" i="10"/>
  <c r="F365" i="3"/>
  <c r="F10" i="5" s="1"/>
  <c r="C91" i="34" s="1"/>
  <c r="C92" i="34" s="1"/>
  <c r="I28" i="6"/>
  <c r="C13" i="11"/>
  <c r="C32" i="11"/>
  <c r="H533" i="3"/>
  <c r="J533" i="3" s="1"/>
  <c r="H377" i="3"/>
  <c r="J377" i="3" s="1"/>
  <c r="H441" i="3"/>
  <c r="J441" i="3" s="1"/>
  <c r="H305" i="3"/>
  <c r="H161" i="3"/>
  <c r="J161" i="3" s="1"/>
  <c r="H163" i="3"/>
  <c r="J163" i="3" s="1"/>
  <c r="D203" i="3"/>
  <c r="H445" i="3"/>
  <c r="J445" i="3" s="1"/>
  <c r="H517" i="3"/>
  <c r="J517" i="3" s="1"/>
  <c r="D257" i="3"/>
  <c r="B76" i="34" s="1"/>
  <c r="H253" i="3"/>
  <c r="J253" i="3" s="1"/>
  <c r="H266" i="3"/>
  <c r="J266" i="3" s="1"/>
  <c r="H547" i="3"/>
  <c r="J547" i="3" s="1"/>
  <c r="H164" i="3"/>
  <c r="H165" i="3"/>
  <c r="J165" i="3" s="1"/>
  <c r="H291" i="3"/>
  <c r="J291" i="3" s="1"/>
  <c r="C28" i="11"/>
  <c r="H408" i="3"/>
  <c r="J408" i="3" s="1"/>
  <c r="H101" i="3"/>
  <c r="J101" i="3" s="1"/>
  <c r="H470" i="3"/>
  <c r="J470" i="3" s="1"/>
  <c r="H329" i="3"/>
  <c r="J329" i="3" s="1"/>
  <c r="H267" i="3"/>
  <c r="J267" i="3" s="1"/>
  <c r="D417" i="3"/>
  <c r="H355" i="3"/>
  <c r="J355" i="3" s="1"/>
  <c r="H31" i="5"/>
  <c r="J31" i="5" s="1"/>
  <c r="H28" i="5"/>
  <c r="J28" i="5" s="1"/>
  <c r="U12" i="6"/>
  <c r="W12" i="6" s="1"/>
  <c r="H287" i="3"/>
  <c r="J287" i="3" s="1"/>
  <c r="H12" i="3"/>
  <c r="F14" i="3"/>
  <c r="G13" i="6" s="1"/>
  <c r="H98" i="3"/>
  <c r="J98" i="3" s="1"/>
  <c r="H92" i="3"/>
  <c r="J92" i="3" s="1"/>
  <c r="H88" i="3"/>
  <c r="J88" i="3" s="1"/>
  <c r="H86" i="3"/>
  <c r="J86" i="3" s="1"/>
  <c r="H114" i="3"/>
  <c r="J114" i="3" s="1"/>
  <c r="H127" i="3"/>
  <c r="J127" i="3" s="1"/>
  <c r="H125" i="3"/>
  <c r="J125" i="3" s="1"/>
  <c r="H199" i="3"/>
  <c r="D230" i="3"/>
  <c r="B70" i="34" s="1"/>
  <c r="B71" i="34" s="1"/>
  <c r="H216" i="3"/>
  <c r="J216" i="3" s="1"/>
  <c r="E25" i="10"/>
  <c r="F203" i="3"/>
  <c r="F205" i="3" s="1"/>
  <c r="S38" i="6" s="1"/>
  <c r="H223" i="3"/>
  <c r="F400" i="3"/>
  <c r="F474" i="3"/>
  <c r="F24" i="5" s="1"/>
  <c r="E18" i="11" s="1"/>
  <c r="H215" i="3"/>
  <c r="F130" i="3"/>
  <c r="C50" i="34" s="1"/>
  <c r="F104" i="3"/>
  <c r="J164" i="3"/>
  <c r="H340" i="3"/>
  <c r="J340" i="3" s="1"/>
  <c r="F118" i="3"/>
  <c r="H425" i="3"/>
  <c r="J425" i="3" s="1"/>
  <c r="H429" i="3"/>
  <c r="J429" i="3" s="1"/>
  <c r="H433" i="3"/>
  <c r="J433" i="3" s="1"/>
  <c r="H336" i="3"/>
  <c r="J336" i="3" s="1"/>
  <c r="H362" i="3"/>
  <c r="J362" i="3" s="1"/>
  <c r="H431" i="3"/>
  <c r="J431" i="3" s="1"/>
  <c r="H96" i="3"/>
  <c r="J96" i="3" s="1"/>
  <c r="I31" i="6"/>
  <c r="C23" i="10"/>
  <c r="U34" i="6"/>
  <c r="C24" i="10"/>
  <c r="U37" i="6"/>
  <c r="W37" i="6" s="1"/>
  <c r="A2" i="5"/>
  <c r="J242" i="3"/>
  <c r="H282" i="3"/>
  <c r="J282" i="3" s="1"/>
  <c r="H289" i="3"/>
  <c r="J289" i="3" s="1"/>
  <c r="H285" i="3"/>
  <c r="J285" i="3" s="1"/>
  <c r="F310" i="3"/>
  <c r="F567" i="3"/>
  <c r="H30" i="5"/>
  <c r="J30" i="5" s="1"/>
  <c r="H466" i="3"/>
  <c r="J466" i="3" s="1"/>
  <c r="H455" i="3"/>
  <c r="J455" i="3" s="1"/>
  <c r="H449" i="3"/>
  <c r="J449" i="3" s="1"/>
  <c r="H427" i="3"/>
  <c r="J427" i="3" s="1"/>
  <c r="H410" i="3"/>
  <c r="J410" i="3" s="1"/>
  <c r="H361" i="3"/>
  <c r="J361" i="3" s="1"/>
  <c r="H116" i="3"/>
  <c r="H100" i="3"/>
  <c r="J100" i="3" s="1"/>
  <c r="L44" i="10"/>
  <c r="E28" i="26"/>
  <c r="E30" i="26" s="1"/>
  <c r="E48" i="26" s="1"/>
  <c r="E50" i="26" s="1"/>
  <c r="U35" i="6"/>
  <c r="W35" i="6" s="1"/>
  <c r="H93" i="3"/>
  <c r="J93" i="3" s="1"/>
  <c r="D104" i="3"/>
  <c r="D172" i="3"/>
  <c r="D196" i="3"/>
  <c r="H194" i="3"/>
  <c r="H414" i="3"/>
  <c r="J414" i="3" s="1"/>
  <c r="H381" i="3"/>
  <c r="J381" i="3" s="1"/>
  <c r="H338" i="3"/>
  <c r="J338" i="3" s="1"/>
  <c r="D293" i="3"/>
  <c r="D575" i="3"/>
  <c r="H573" i="3"/>
  <c r="E16" i="6"/>
  <c r="I16" i="6" s="1"/>
  <c r="K16" i="6" s="1"/>
  <c r="C43" i="11"/>
  <c r="C34" i="11"/>
  <c r="H357" i="3"/>
  <c r="J357" i="3" s="1"/>
  <c r="C17" i="11"/>
  <c r="H353" i="3"/>
  <c r="J353" i="3" s="1"/>
  <c r="D332" i="3"/>
  <c r="D343" i="3" s="1"/>
  <c r="D9" i="5" s="1"/>
  <c r="H333" i="3"/>
  <c r="N40" i="10"/>
  <c r="N39" i="10"/>
  <c r="N21" i="10"/>
  <c r="E14" i="6"/>
  <c r="I14" i="6" s="1"/>
  <c r="K14" i="6" s="1"/>
  <c r="C9" i="10"/>
  <c r="F46" i="26"/>
  <c r="G46" i="26" s="1"/>
  <c r="G44" i="26"/>
  <c r="C41" i="34"/>
  <c r="H97" i="3"/>
  <c r="J97" i="3" s="1"/>
  <c r="H394" i="3"/>
  <c r="J394" i="3" s="1"/>
  <c r="J240" i="3"/>
  <c r="H245" i="3"/>
  <c r="H396" i="3"/>
  <c r="J396" i="3" s="1"/>
  <c r="I47" i="11"/>
  <c r="G16" i="26"/>
  <c r="C19" i="34"/>
  <c r="B132" i="34"/>
  <c r="D365" i="3"/>
  <c r="G31" i="10"/>
  <c r="G28" i="26"/>
  <c r="G30" i="26" s="1"/>
  <c r="F230" i="3"/>
  <c r="S24" i="6" s="1"/>
  <c r="C290" i="25"/>
  <c r="G47" i="11"/>
  <c r="C316" i="25" s="1"/>
  <c r="F37" i="26"/>
  <c r="G37" i="26" s="1"/>
  <c r="G35" i="26"/>
  <c r="G34" i="26"/>
  <c r="F552" i="3"/>
  <c r="F37" i="5" s="1"/>
  <c r="C121" i="34" s="1"/>
  <c r="C122" i="34" s="1"/>
  <c r="F535" i="3"/>
  <c r="E14" i="11"/>
  <c r="E40" i="11"/>
  <c r="E39" i="11"/>
  <c r="H436" i="3"/>
  <c r="J436" i="3" s="1"/>
  <c r="E27" i="11"/>
  <c r="H424" i="3"/>
  <c r="J424" i="3" s="1"/>
  <c r="H548" i="3"/>
  <c r="J548" i="3" s="1"/>
  <c r="D552" i="3"/>
  <c r="H544" i="3"/>
  <c r="J544" i="3" s="1"/>
  <c r="D400" i="3"/>
  <c r="D12" i="5" s="1"/>
  <c r="H341" i="3"/>
  <c r="J341" i="3" s="1"/>
  <c r="H335" i="3"/>
  <c r="J335" i="3" s="1"/>
  <c r="C11" i="11"/>
  <c r="H330" i="3"/>
  <c r="J330" i="3" s="1"/>
  <c r="F343" i="3"/>
  <c r="F384" i="3"/>
  <c r="F417" i="3"/>
  <c r="F499" i="3"/>
  <c r="F27" i="5" s="1"/>
  <c r="C112" i="34" s="1"/>
  <c r="C113" i="34" s="1"/>
  <c r="F457" i="3"/>
  <c r="F17" i="5" s="1"/>
  <c r="F18" i="5" s="1"/>
  <c r="H360" i="3"/>
  <c r="J360" i="3" s="1"/>
  <c r="H393" i="3"/>
  <c r="H339" i="3"/>
  <c r="J339" i="3" s="1"/>
  <c r="H398" i="3"/>
  <c r="J398" i="3" s="1"/>
  <c r="H484" i="3"/>
  <c r="H29" i="5"/>
  <c r="J29" i="5" s="1"/>
  <c r="H434" i="3"/>
  <c r="J434" i="3" s="1"/>
  <c r="H546" i="3"/>
  <c r="J546" i="3" s="1"/>
  <c r="H428" i="3"/>
  <c r="J428" i="3" s="1"/>
  <c r="H432" i="3"/>
  <c r="J432" i="3" s="1"/>
  <c r="H467" i="3"/>
  <c r="H444" i="3"/>
  <c r="J444" i="3" s="1"/>
  <c r="H337" i="3"/>
  <c r="J337" i="3" s="1"/>
  <c r="H359" i="3"/>
  <c r="J359" i="3" s="1"/>
  <c r="H515" i="3"/>
  <c r="J515" i="3" s="1"/>
  <c r="D519" i="3"/>
  <c r="D32" i="5" s="1"/>
  <c r="H509" i="3"/>
  <c r="J509" i="3" s="1"/>
  <c r="H453" i="3"/>
  <c r="J453" i="3" s="1"/>
  <c r="C38" i="11"/>
  <c r="C30" i="11"/>
  <c r="H412" i="3"/>
  <c r="H380" i="3"/>
  <c r="J380" i="3" s="1"/>
  <c r="H378" i="3"/>
  <c r="J378" i="3" s="1"/>
  <c r="D384" i="3"/>
  <c r="D11" i="5" s="1"/>
  <c r="H376" i="3"/>
  <c r="J376" i="3" s="1"/>
  <c r="H437" i="3"/>
  <c r="J437" i="3" s="1"/>
  <c r="J511" i="3"/>
  <c r="D535" i="3"/>
  <c r="D499" i="3"/>
  <c r="D474" i="3"/>
  <c r="D457" i="3"/>
  <c r="W34" i="6" l="1"/>
  <c r="K32" i="6"/>
  <c r="K28" i="6"/>
  <c r="K31" i="6"/>
  <c r="H219" i="3"/>
  <c r="J219" i="3" s="1"/>
  <c r="E44" i="6"/>
  <c r="B126" i="34" s="1"/>
  <c r="F316" i="3"/>
  <c r="C85" i="34" s="1"/>
  <c r="C86" i="34" s="1"/>
  <c r="D316" i="3"/>
  <c r="B85" i="34" s="1"/>
  <c r="B86" i="34" s="1"/>
  <c r="D25" i="5"/>
  <c r="H25" i="5" s="1"/>
  <c r="J25" i="5" s="1"/>
  <c r="E20" i="11"/>
  <c r="C63" i="34"/>
  <c r="C64" i="34" s="1"/>
  <c r="C12" i="11"/>
  <c r="H499" i="3"/>
  <c r="J499" i="3" s="1"/>
  <c r="H486" i="3"/>
  <c r="J486" i="3" s="1"/>
  <c r="Q13" i="6"/>
  <c r="H310" i="3"/>
  <c r="S13" i="6"/>
  <c r="H567" i="3"/>
  <c r="J567" i="3" s="1"/>
  <c r="E13" i="6"/>
  <c r="D13" i="5"/>
  <c r="J245" i="3"/>
  <c r="D205" i="3"/>
  <c r="B60" i="34" s="1"/>
  <c r="E27" i="6"/>
  <c r="I27" i="6" s="1"/>
  <c r="C73" i="34"/>
  <c r="C74" i="34" s="1"/>
  <c r="C37" i="34"/>
  <c r="C38" i="34" s="1"/>
  <c r="E29" i="6"/>
  <c r="C10" i="10" s="1"/>
  <c r="H535" i="3"/>
  <c r="J535" i="3" s="1"/>
  <c r="S25" i="6"/>
  <c r="C83" i="34" s="1"/>
  <c r="H147" i="3"/>
  <c r="J147" i="3" s="1"/>
  <c r="C54" i="34"/>
  <c r="B79" i="34"/>
  <c r="B80" i="34" s="1"/>
  <c r="C125" i="34"/>
  <c r="J305" i="3"/>
  <c r="C56" i="34"/>
  <c r="C57" i="34" s="1"/>
  <c r="G17" i="6"/>
  <c r="C51" i="34" s="1"/>
  <c r="H271" i="3"/>
  <c r="J271" i="3" s="1"/>
  <c r="D37" i="5"/>
  <c r="H37" i="5" s="1"/>
  <c r="J37" i="5" s="1"/>
  <c r="H332" i="3"/>
  <c r="J332" i="3" s="1"/>
  <c r="C106" i="34"/>
  <c r="C107" i="34" s="1"/>
  <c r="Q14" i="6"/>
  <c r="H130" i="3"/>
  <c r="J130" i="3" s="1"/>
  <c r="B41" i="34"/>
  <c r="S15" i="6"/>
  <c r="C80" i="34" s="1"/>
  <c r="E17" i="6"/>
  <c r="C60" i="34"/>
  <c r="H172" i="3"/>
  <c r="J172" i="3" s="1"/>
  <c r="H417" i="3"/>
  <c r="J417" i="3" s="1"/>
  <c r="H474" i="3"/>
  <c r="J474" i="3" s="1"/>
  <c r="H118" i="3"/>
  <c r="J118" i="3" s="1"/>
  <c r="H293" i="3"/>
  <c r="J293" i="3" s="1"/>
  <c r="G33" i="6"/>
  <c r="H257" i="3"/>
  <c r="J257" i="3" s="1"/>
  <c r="C103" i="34"/>
  <c r="C104" i="34" s="1"/>
  <c r="H104" i="3"/>
  <c r="J104" i="3" s="1"/>
  <c r="J199" i="3"/>
  <c r="H203" i="3"/>
  <c r="J12" i="3"/>
  <c r="H14" i="3"/>
  <c r="J14" i="3" s="1"/>
  <c r="C47" i="34"/>
  <c r="G29" i="6"/>
  <c r="C44" i="34"/>
  <c r="G15" i="6"/>
  <c r="H230" i="3"/>
  <c r="J230" i="3" s="1"/>
  <c r="J223" i="3"/>
  <c r="D10" i="5"/>
  <c r="H10" i="5" s="1"/>
  <c r="J10" i="5" s="1"/>
  <c r="F33" i="5"/>
  <c r="C26" i="34" s="1"/>
  <c r="G44" i="6"/>
  <c r="F232" i="3"/>
  <c r="C70" i="34"/>
  <c r="C71" i="34" s="1"/>
  <c r="G48" i="26"/>
  <c r="G50" i="26" s="1"/>
  <c r="B67" i="34"/>
  <c r="B68" i="34" s="1"/>
  <c r="D232" i="3"/>
  <c r="F12" i="5"/>
  <c r="C97" i="34" s="1"/>
  <c r="C98" i="34" s="1"/>
  <c r="J573" i="3"/>
  <c r="H575" i="3"/>
  <c r="J575" i="3" s="1"/>
  <c r="Q25" i="6"/>
  <c r="Q27" i="6" s="1"/>
  <c r="B82" i="34"/>
  <c r="B44" i="34"/>
  <c r="E15" i="6"/>
  <c r="N61" i="10"/>
  <c r="N44" i="10"/>
  <c r="N31" i="10"/>
  <c r="B128" i="34"/>
  <c r="Q44" i="6"/>
  <c r="U44" i="6" s="1"/>
  <c r="W44" i="6" s="1"/>
  <c r="H196" i="3"/>
  <c r="J194" i="3"/>
  <c r="E30" i="6"/>
  <c r="B56" i="34"/>
  <c r="D36" i="5"/>
  <c r="E42" i="11"/>
  <c r="E26" i="11" s="1"/>
  <c r="F36" i="5"/>
  <c r="H457" i="3"/>
  <c r="J457" i="3" s="1"/>
  <c r="J467" i="3"/>
  <c r="S40" i="6"/>
  <c r="U38" i="6"/>
  <c r="W38" i="6" s="1"/>
  <c r="E27" i="10"/>
  <c r="E29" i="10" s="1"/>
  <c r="U24" i="6"/>
  <c r="F48" i="26"/>
  <c r="F50" i="26" s="1"/>
  <c r="F13" i="5"/>
  <c r="C100" i="34" s="1"/>
  <c r="C101" i="34" s="1"/>
  <c r="E15" i="11"/>
  <c r="F9" i="5"/>
  <c r="C15" i="11"/>
  <c r="H384" i="3"/>
  <c r="J384" i="3" s="1"/>
  <c r="H519" i="3"/>
  <c r="J519" i="3" s="1"/>
  <c r="H552" i="3"/>
  <c r="J552" i="3" s="1"/>
  <c r="J393" i="3"/>
  <c r="H400" i="3"/>
  <c r="J400" i="3" s="1"/>
  <c r="F11" i="5"/>
  <c r="C94" i="34" s="1"/>
  <c r="C95" i="34" s="1"/>
  <c r="H365" i="3"/>
  <c r="J365" i="3" s="1"/>
  <c r="J484" i="3"/>
  <c r="J412" i="3"/>
  <c r="C42" i="11"/>
  <c r="C26" i="11" s="1"/>
  <c r="C22" i="34"/>
  <c r="B115" i="34"/>
  <c r="B116" i="34" s="1"/>
  <c r="H32" i="5"/>
  <c r="J32" i="5" s="1"/>
  <c r="D24" i="5"/>
  <c r="B88" i="34"/>
  <c r="B89" i="34" s="1"/>
  <c r="B94" i="34"/>
  <c r="B95" i="34" s="1"/>
  <c r="B97" i="34"/>
  <c r="B98" i="34" s="1"/>
  <c r="D17" i="5"/>
  <c r="D27" i="5"/>
  <c r="U14" i="6" l="1"/>
  <c r="W14" i="6" s="1"/>
  <c r="B74" i="34"/>
  <c r="B38" i="34"/>
  <c r="K27" i="6"/>
  <c r="J310" i="3"/>
  <c r="H314" i="3"/>
  <c r="U13" i="6"/>
  <c r="W13" i="6" s="1"/>
  <c r="B109" i="34"/>
  <c r="B110" i="34" s="1"/>
  <c r="C20" i="11"/>
  <c r="E9" i="11"/>
  <c r="I13" i="6"/>
  <c r="K13" i="6" s="1"/>
  <c r="B54" i="34"/>
  <c r="B57" i="34"/>
  <c r="E33" i="6"/>
  <c r="C14" i="10" s="1"/>
  <c r="H11" i="5"/>
  <c r="J11" i="5" s="1"/>
  <c r="H152" i="3"/>
  <c r="J152" i="3" s="1"/>
  <c r="B121" i="34"/>
  <c r="B122" i="34" s="1"/>
  <c r="B63" i="34"/>
  <c r="B64" i="34" s="1"/>
  <c r="E19" i="6"/>
  <c r="H232" i="3"/>
  <c r="J232" i="3" s="1"/>
  <c r="B100" i="34"/>
  <c r="B101" i="34" s="1"/>
  <c r="D38" i="5"/>
  <c r="C41" i="11" s="1"/>
  <c r="C45" i="11" s="1"/>
  <c r="C126" i="34"/>
  <c r="C8" i="10"/>
  <c r="B91" i="34"/>
  <c r="B92" i="34" s="1"/>
  <c r="S27" i="6"/>
  <c r="E19" i="10" s="1"/>
  <c r="U25" i="6"/>
  <c r="G19" i="6"/>
  <c r="B48" i="34"/>
  <c r="Q19" i="6"/>
  <c r="C18" i="10" s="1"/>
  <c r="I44" i="6"/>
  <c r="K44" i="6" s="1"/>
  <c r="B77" i="34"/>
  <c r="C61" i="34"/>
  <c r="B51" i="34"/>
  <c r="I17" i="6"/>
  <c r="K17" i="6" s="1"/>
  <c r="H343" i="3"/>
  <c r="J343" i="3" s="1"/>
  <c r="E14" i="10"/>
  <c r="U15" i="6"/>
  <c r="S19" i="6"/>
  <c r="D14" i="5"/>
  <c r="B118" i="34"/>
  <c r="B119" i="34" s="1"/>
  <c r="E10" i="10"/>
  <c r="I29" i="6"/>
  <c r="H12" i="5"/>
  <c r="J12" i="5" s="1"/>
  <c r="G35" i="6"/>
  <c r="B129" i="34"/>
  <c r="B83" i="34"/>
  <c r="C45" i="34"/>
  <c r="C48" i="34"/>
  <c r="C19" i="10"/>
  <c r="I30" i="6"/>
  <c r="C11" i="10"/>
  <c r="J196" i="3"/>
  <c r="H205" i="3"/>
  <c r="J205" i="3" s="1"/>
  <c r="B45" i="34"/>
  <c r="I15" i="6"/>
  <c r="W24" i="6"/>
  <c r="C141" i="34"/>
  <c r="C142" i="34" s="1"/>
  <c r="E54" i="10"/>
  <c r="C145" i="25" s="1"/>
  <c r="C15" i="34"/>
  <c r="C118" i="34"/>
  <c r="C119" i="34" s="1"/>
  <c r="F38" i="5"/>
  <c r="H36" i="5"/>
  <c r="H38" i="5" s="1"/>
  <c r="E48" i="10"/>
  <c r="C103" i="25" s="1"/>
  <c r="C88" i="34"/>
  <c r="C89" i="34" s="1"/>
  <c r="F14" i="5"/>
  <c r="H9" i="5"/>
  <c r="J9" i="5" s="1"/>
  <c r="H13" i="5"/>
  <c r="J13" i="5" s="1"/>
  <c r="D18" i="5"/>
  <c r="H17" i="5"/>
  <c r="B103" i="34"/>
  <c r="B104" i="34" s="1"/>
  <c r="D33" i="5"/>
  <c r="B106" i="34"/>
  <c r="B107" i="34" s="1"/>
  <c r="C18" i="11"/>
  <c r="H24" i="5"/>
  <c r="B112" i="34"/>
  <c r="B113" i="34" s="1"/>
  <c r="H27" i="5"/>
  <c r="J27" i="5" s="1"/>
  <c r="K29" i="6" l="1"/>
  <c r="K30" i="6"/>
  <c r="W25" i="6"/>
  <c r="I33" i="6"/>
  <c r="K33" i="6" s="1"/>
  <c r="Q29" i="6"/>
  <c r="B14" i="34" s="1"/>
  <c r="H316" i="3"/>
  <c r="J316" i="3" s="1"/>
  <c r="C21" i="10"/>
  <c r="C46" i="10" s="1"/>
  <c r="E35" i="6"/>
  <c r="E42" i="6" s="1"/>
  <c r="B13" i="34" s="1"/>
  <c r="B61" i="34"/>
  <c r="D21" i="5"/>
  <c r="C56" i="10" s="1"/>
  <c r="E45" i="10"/>
  <c r="U27" i="6"/>
  <c r="W27" i="6" s="1"/>
  <c r="C45" i="10"/>
  <c r="C7" i="10"/>
  <c r="C39" i="10" s="1"/>
  <c r="C13" i="25" s="1"/>
  <c r="E7" i="10"/>
  <c r="E16" i="10" s="1"/>
  <c r="B27" i="34"/>
  <c r="G42" i="6"/>
  <c r="C13" i="34" s="1"/>
  <c r="B21" i="34"/>
  <c r="S29" i="6"/>
  <c r="E18" i="10"/>
  <c r="W15" i="6"/>
  <c r="U19" i="6"/>
  <c r="J36" i="5"/>
  <c r="H14" i="5"/>
  <c r="J14" i="5" s="1"/>
  <c r="K15" i="6"/>
  <c r="I19" i="6"/>
  <c r="J38" i="5"/>
  <c r="C27" i="34"/>
  <c r="C28" i="34" s="1"/>
  <c r="E41" i="11"/>
  <c r="E45" i="11" s="1"/>
  <c r="C21" i="34"/>
  <c r="C23" i="34" s="1"/>
  <c r="E53" i="10"/>
  <c r="C121" i="25" s="1"/>
  <c r="E19" i="11"/>
  <c r="E23" i="11" s="1"/>
  <c r="F21" i="5"/>
  <c r="C9" i="11"/>
  <c r="C19" i="11" s="1"/>
  <c r="C23" i="11" s="1"/>
  <c r="H18" i="5"/>
  <c r="J18" i="5" s="1"/>
  <c r="J17" i="5"/>
  <c r="H33" i="5"/>
  <c r="J33" i="5" s="1"/>
  <c r="J24" i="5"/>
  <c r="B152" i="34"/>
  <c r="C292" i="25"/>
  <c r="B22" i="34"/>
  <c r="B26" i="34"/>
  <c r="K19" i="6" l="1"/>
  <c r="I35" i="6"/>
  <c r="K35" i="6" s="1"/>
  <c r="C239" i="25"/>
  <c r="B138" i="34"/>
  <c r="B139" i="34" s="1"/>
  <c r="C16" i="10"/>
  <c r="C47" i="10" s="1"/>
  <c r="C80" i="25" s="1"/>
  <c r="D41" i="5"/>
  <c r="B28" i="34"/>
  <c r="C40" i="10"/>
  <c r="C33" i="25" s="1"/>
  <c r="C135" i="34"/>
  <c r="C136" i="34" s="1"/>
  <c r="E55" i="10"/>
  <c r="C167" i="25" s="1"/>
  <c r="C217" i="25"/>
  <c r="C14" i="34"/>
  <c r="C16" i="34" s="1"/>
  <c r="S42" i="6"/>
  <c r="B23" i="34"/>
  <c r="E39" i="10"/>
  <c r="C12" i="25" s="1"/>
  <c r="E40" i="10"/>
  <c r="C32" i="25" s="1"/>
  <c r="W19" i="6"/>
  <c r="U29" i="6"/>
  <c r="W29" i="6" s="1"/>
  <c r="E21" i="10"/>
  <c r="C31" i="34"/>
  <c r="B153" i="34"/>
  <c r="C291" i="25"/>
  <c r="C152" i="34"/>
  <c r="C153" i="34" s="1"/>
  <c r="F41" i="5"/>
  <c r="E56" i="10"/>
  <c r="C261" i="25"/>
  <c r="E47" i="11"/>
  <c r="C149" i="34"/>
  <c r="C150" i="34" s="1"/>
  <c r="C47" i="11"/>
  <c r="B149" i="34"/>
  <c r="B150" i="34" s="1"/>
  <c r="C262" i="25"/>
  <c r="H21" i="5"/>
  <c r="J21" i="5" s="1"/>
  <c r="C57" i="10"/>
  <c r="C397" i="25" s="1"/>
  <c r="C49" i="10"/>
  <c r="C342" i="25" s="1"/>
  <c r="C373" i="25"/>
  <c r="Q36" i="6" l="1"/>
  <c r="Q40" i="6" s="1"/>
  <c r="B15" i="34" s="1"/>
  <c r="I42" i="6"/>
  <c r="K42" i="6" s="1"/>
  <c r="B31" i="34"/>
  <c r="B32" i="34" s="1"/>
  <c r="C44" i="10"/>
  <c r="C51" i="25" s="1"/>
  <c r="B135" i="34"/>
  <c r="B136" i="34" s="1"/>
  <c r="C61" i="10"/>
  <c r="C188" i="25" s="1"/>
  <c r="C218" i="25"/>
  <c r="E31" i="10"/>
  <c r="C144" i="34" s="1"/>
  <c r="E44" i="10"/>
  <c r="C50" i="25" s="1"/>
  <c r="C138" i="34"/>
  <c r="C139" i="34" s="1"/>
  <c r="C238" i="25"/>
  <c r="E61" i="10"/>
  <c r="C187" i="25" s="1"/>
  <c r="E46" i="10"/>
  <c r="E47" i="10" s="1"/>
  <c r="C79" i="25" s="1"/>
  <c r="H41" i="5"/>
  <c r="J41" i="5" s="1"/>
  <c r="Q42" i="6"/>
  <c r="C32" i="34"/>
  <c r="C317" i="25"/>
  <c r="C155" i="34"/>
  <c r="C156" i="34" s="1"/>
  <c r="C372" i="25"/>
  <c r="E57" i="10"/>
  <c r="C396" i="25" s="1"/>
  <c r="E49" i="10"/>
  <c r="C341" i="25" s="1"/>
  <c r="C318" i="25"/>
  <c r="B155" i="34"/>
  <c r="C48" i="10" l="1"/>
  <c r="C104" i="25" s="1"/>
  <c r="U36" i="6"/>
  <c r="U40" i="6" s="1"/>
  <c r="U42" i="6" s="1"/>
  <c r="W42" i="6" s="1"/>
  <c r="C25" i="10"/>
  <c r="C55" i="10" s="1"/>
  <c r="C168" i="25" s="1"/>
  <c r="W36" i="6"/>
  <c r="B156" i="34"/>
  <c r="C145" i="34"/>
  <c r="C158" i="34" s="1"/>
  <c r="W40" i="6"/>
  <c r="B16" i="34"/>
  <c r="C53" i="10" l="1"/>
  <c r="C122" i="25" s="1"/>
  <c r="C29" i="10"/>
  <c r="C54" i="10" s="1"/>
  <c r="C146" i="25" s="1"/>
  <c r="B141" i="34" l="1"/>
  <c r="B142" i="34" s="1"/>
  <c r="C31" i="10"/>
  <c r="B144" i="34" s="1"/>
  <c r="B145" i="34" l="1"/>
  <c r="B158" i="34" s="1"/>
</calcChain>
</file>

<file path=xl/comments1.xml><?xml version="1.0" encoding="utf-8"?>
<comments xmlns="http://schemas.openxmlformats.org/spreadsheetml/2006/main">
  <authors>
    <author>zpulgar</author>
    <author>Patricia Eugenia Munoz Arango</author>
  </authors>
  <commentList>
    <comment ref="B14" authorId="0">
      <text>
        <r>
          <rPr>
            <b/>
            <sz val="9"/>
            <color indexed="81"/>
            <rFont val="Tahoma"/>
            <family val="2"/>
          </rPr>
          <t>zpulgar:</t>
        </r>
        <r>
          <rPr>
            <sz val="9"/>
            <color indexed="81"/>
            <rFont val="Tahoma"/>
            <family val="2"/>
          </rPr>
          <t xml:space="preserve">
Fondo Dinero</t>
        </r>
      </text>
    </comment>
    <comment ref="E16" authorId="1">
      <text>
        <r>
          <rPr>
            <b/>
            <sz val="9"/>
            <color indexed="81"/>
            <rFont val="Tahoma"/>
            <family val="2"/>
          </rPr>
          <t>Patricia Eugenia Munoz Arango:</t>
        </r>
        <r>
          <rPr>
            <sz val="9"/>
            <color indexed="81"/>
            <rFont val="Tahoma"/>
            <family val="2"/>
          </rPr>
          <t xml:space="preserve">
Recuperacion de la provision por garantia recibida en febrero de 2013 en acciones fabricato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zpulgar:</t>
        </r>
        <r>
          <rPr>
            <sz val="9"/>
            <color indexed="81"/>
            <rFont val="Tahoma"/>
            <family val="2"/>
          </rPr>
          <t xml:space="preserve">
Recibido 18 enero/2013</t>
        </r>
      </text>
    </comment>
    <comment ref="B60" authorId="0">
      <text>
        <r>
          <rPr>
            <sz val="9"/>
            <color indexed="81"/>
            <rFont val="Tahoma"/>
            <family val="2"/>
          </rPr>
          <t xml:space="preserve">F. Capillatón
</t>
        </r>
      </text>
    </comment>
    <comment ref="B67" authorId="0">
      <text>
        <r>
          <rPr>
            <sz val="9"/>
            <color indexed="81"/>
            <rFont val="Tahoma"/>
            <family val="2"/>
          </rPr>
          <t xml:space="preserve">F. Capillatón
</t>
        </r>
      </text>
    </comment>
  </commentList>
</comments>
</file>

<file path=xl/sharedStrings.xml><?xml version="1.0" encoding="utf-8"?>
<sst xmlns="http://schemas.openxmlformats.org/spreadsheetml/2006/main" count="797" uniqueCount="537">
  <si>
    <t>3. DISPONIBLE</t>
  </si>
  <si>
    <t>Caja</t>
  </si>
  <si>
    <t>Bancos</t>
  </si>
  <si>
    <t>TOTAL</t>
  </si>
  <si>
    <t>4. INVERSIONES</t>
  </si>
  <si>
    <t>Bancolombia</t>
  </si>
  <si>
    <t>NO CORRIENTES</t>
  </si>
  <si>
    <t>Icetex</t>
  </si>
  <si>
    <t>Trabajadores</t>
  </si>
  <si>
    <t>Arrendamientos</t>
  </si>
  <si>
    <t>Honorarios</t>
  </si>
  <si>
    <t>Seguros</t>
  </si>
  <si>
    <t>Suscripciones</t>
  </si>
  <si>
    <t>Otros</t>
  </si>
  <si>
    <t>Terrenos</t>
  </si>
  <si>
    <t>Maquinaria y Equipo</t>
  </si>
  <si>
    <t>Subtotal</t>
  </si>
  <si>
    <t>Edificios</t>
  </si>
  <si>
    <t>CORRIENTES</t>
  </si>
  <si>
    <t>DIFERENCIA</t>
  </si>
  <si>
    <t>EN $</t>
  </si>
  <si>
    <t>EN %</t>
  </si>
  <si>
    <t>Inversiones</t>
  </si>
  <si>
    <t>Provisión</t>
  </si>
  <si>
    <t>Financieros</t>
  </si>
  <si>
    <t>Donaciones</t>
  </si>
  <si>
    <t>Diversos:</t>
  </si>
  <si>
    <t>Servicios</t>
  </si>
  <si>
    <t>Recuperaciones</t>
  </si>
  <si>
    <t>EXCEDENTE NETO</t>
  </si>
  <si>
    <t>Convenios</t>
  </si>
  <si>
    <t>Otros Ingresos</t>
  </si>
  <si>
    <t>Becas</t>
  </si>
  <si>
    <t>Devoluciones</t>
  </si>
  <si>
    <t>Descuentos</t>
  </si>
  <si>
    <t xml:space="preserve">Impuestos </t>
  </si>
  <si>
    <t>Gastos Legales</t>
  </si>
  <si>
    <t>Adecuación e Instalación</t>
  </si>
  <si>
    <t>Depreciaciones</t>
  </si>
  <si>
    <t>Amortizaciones</t>
  </si>
  <si>
    <t>Diversos</t>
  </si>
  <si>
    <t>Comisiones</t>
  </si>
  <si>
    <t>Viviana Escudero Monsalve</t>
  </si>
  <si>
    <t>Luis Oscar Herrera Velásquez</t>
  </si>
  <si>
    <t xml:space="preserve"> Representante Legal</t>
  </si>
  <si>
    <t xml:space="preserve">           Contadora</t>
  </si>
  <si>
    <t xml:space="preserve">           Revisor Fiscal</t>
  </si>
  <si>
    <t xml:space="preserve">             T.P. 31410-T</t>
  </si>
  <si>
    <t xml:space="preserve">            T.P. 2011-T</t>
  </si>
  <si>
    <t>ACTIVO</t>
  </si>
  <si>
    <t>PASIVO</t>
  </si>
  <si>
    <t>PATRIMONIO</t>
  </si>
  <si>
    <t>DEUDORAS</t>
  </si>
  <si>
    <t>ACREEDORAS</t>
  </si>
  <si>
    <t>ESTADOS FINANCIEROS</t>
  </si>
  <si>
    <t xml:space="preserve"> </t>
  </si>
  <si>
    <t>Total Propiedad</t>
  </si>
  <si>
    <t>9. VALORIZACIONES</t>
  </si>
  <si>
    <t>Propiedad</t>
  </si>
  <si>
    <t>CONCEPTO</t>
  </si>
  <si>
    <t>Activos Corrientes</t>
  </si>
  <si>
    <t>Propiedad, planta y equipo, neto</t>
  </si>
  <si>
    <t>Inversiones a Largo Plazo</t>
  </si>
  <si>
    <t>Cuentas por Cobrar a Largo Plazo</t>
  </si>
  <si>
    <t>TOTAL ACTIVOS</t>
  </si>
  <si>
    <t>Total Pasivo Corriente</t>
  </si>
  <si>
    <t>Total Pasivo Mediano y Largo Plazo</t>
  </si>
  <si>
    <t>TOTAL PASIVOS</t>
  </si>
  <si>
    <t>Resultado Ejercicios Anteriores</t>
  </si>
  <si>
    <t>Resultado del Ejercicio</t>
  </si>
  <si>
    <t>Revalorización del Patrimonio</t>
  </si>
  <si>
    <t>TOTAL PATRIMONIO</t>
  </si>
  <si>
    <t>TOTAL PASIVO Y PATRIMONIO</t>
  </si>
  <si>
    <t>Liquidez</t>
  </si>
  <si>
    <t>Solidez</t>
  </si>
  <si>
    <t>Endeudamiento</t>
  </si>
  <si>
    <t>Endeudamiento a corto plazo</t>
  </si>
  <si>
    <t>Rendimiento</t>
  </si>
  <si>
    <t>Capital</t>
  </si>
  <si>
    <t>INGRESOS</t>
  </si>
  <si>
    <t>TOTAL INGRESOS</t>
  </si>
  <si>
    <t>EGRESOS</t>
  </si>
  <si>
    <t>Impuestos</t>
  </si>
  <si>
    <t>Depreciación</t>
  </si>
  <si>
    <t>TOTAL EGRESOS</t>
  </si>
  <si>
    <t>RESULTADO DEL EJERCICIO</t>
  </si>
  <si>
    <t>(Total Activos/Total Pasivos)</t>
  </si>
  <si>
    <t>(Total Pasivos/Total Activos)</t>
  </si>
  <si>
    <t>Margen Neto de Utilidad</t>
  </si>
  <si>
    <t>(Excedente Neto/Total Ingr. Operacionales)</t>
  </si>
  <si>
    <t>(Resultado ejercicio/Total Patrimonio)</t>
  </si>
  <si>
    <t>(Resultado ejercicio/Total Activos)</t>
  </si>
  <si>
    <t>(Activo corriente-Pasivo corriente)</t>
  </si>
  <si>
    <t>(Oblig.Financieras a corto y largo plazo/Patrimonio)</t>
  </si>
  <si>
    <t>Total Activos</t>
  </si>
  <si>
    <t>Menos : becas, devoluciones y descuentos</t>
  </si>
  <si>
    <t>Total Gastos Operacionales</t>
  </si>
  <si>
    <t>Con particulares</t>
  </si>
  <si>
    <t>10. OBLIGACIONES FINANCIERAS</t>
  </si>
  <si>
    <t>11. CUENTAS POR PAGAR</t>
  </si>
  <si>
    <t>12. OBLIGACIONES LABORALES</t>
  </si>
  <si>
    <t>13. DIFERIDOS</t>
  </si>
  <si>
    <t>Juan Luis Mejía Arango</t>
  </si>
  <si>
    <t>4.1. CORRIENTES</t>
  </si>
  <si>
    <t>Superávit Donado</t>
  </si>
  <si>
    <t>Superávit Valorización del Activo</t>
  </si>
  <si>
    <t>(Activo corriente/Pasivo corriente)</t>
  </si>
  <si>
    <t xml:space="preserve">ACTIVO </t>
  </si>
  <si>
    <t xml:space="preserve">PASIVO </t>
  </si>
  <si>
    <t xml:space="preserve">Disponible </t>
  </si>
  <si>
    <t xml:space="preserve">Inversiones </t>
  </si>
  <si>
    <t xml:space="preserve">Deudores </t>
  </si>
  <si>
    <t xml:space="preserve">Inventarios </t>
  </si>
  <si>
    <t xml:space="preserve">Diferidos </t>
  </si>
  <si>
    <t xml:space="preserve">Valorizaciones </t>
  </si>
  <si>
    <t xml:space="preserve">PATRIMONIO </t>
  </si>
  <si>
    <t>Otros clientes</t>
  </si>
  <si>
    <t>DEUDORES NO CORRIENTES</t>
  </si>
  <si>
    <t>6. GASTOS PAGADO POR ANTICIPADO</t>
  </si>
  <si>
    <t>7. PROPIEDAD PLANTA Y EQUIPO</t>
  </si>
  <si>
    <t>5. DEUDORES</t>
  </si>
  <si>
    <t>NOTAS A LOS ESTADOS FINANCIEROS</t>
  </si>
  <si>
    <t>Últimos Tres Años e Indicadores Financieros (Cifras expresadas en miles de pesos)</t>
  </si>
  <si>
    <t>Margen EBITDA</t>
  </si>
  <si>
    <t>Herramientas</t>
  </si>
  <si>
    <t>Ferretería</t>
  </si>
  <si>
    <t>TIPO DE TÍTULO</t>
  </si>
  <si>
    <t>EMISOR</t>
  </si>
  <si>
    <t>VISTA</t>
  </si>
  <si>
    <t>INVERSIONES CORRIENTES</t>
  </si>
  <si>
    <t>INVERSIONES NO CORRIENTES</t>
  </si>
  <si>
    <t>OTROS FONDOS</t>
  </si>
  <si>
    <t>FONDO FUNCIONAMIENTO</t>
  </si>
  <si>
    <t>TOTAL FONDO FUNCIONAMIENTO</t>
  </si>
  <si>
    <t>COINOVAR</t>
  </si>
  <si>
    <t>DERECHOS EN CLUBES SOCIALES</t>
  </si>
  <si>
    <t>Pregrado</t>
  </si>
  <si>
    <t xml:space="preserve">TASA
A LA FECHA </t>
  </si>
  <si>
    <t>Valores Bancolombia</t>
  </si>
  <si>
    <t>Fiduciaria Popular</t>
  </si>
  <si>
    <t>Corredores Asociados</t>
  </si>
  <si>
    <t>Asesores en Valores</t>
  </si>
  <si>
    <t>(+) 
AXI</t>
  </si>
  <si>
    <r>
      <t>E</t>
    </r>
    <r>
      <rPr>
        <b/>
        <sz val="18"/>
        <color indexed="9"/>
        <rFont val="Garamond"/>
        <family val="1"/>
      </rPr>
      <t xml:space="preserve">STADO DE RESULTADOS </t>
    </r>
  </si>
  <si>
    <t>Para dar cumplimiento al Decreto 2649 de 1993 "POR EL CUAL SE REGLAMENTA LA CONTABILIDAD EN GENERAL Y SE EXPIDEN LOS PRINCIPIOS O NORMAS DE CONTABILIDAD GENERALMENTE ACEPTADOS EN COLOMBIA"; en su artículo 48 "CONTABILIDAD DE CAUSACIÓN O POR ACUMULACIÓN, los hechos económicos deben ser reconocidos en el período en el cual se realicen y no solamente cuando sea recibido o pagado el efectivo o su equivalente", se adoptó para las fuentes de ingresos de Formación Universitaria, Avanzada e Idiomas la norma de causación.</t>
  </si>
  <si>
    <t>Cartera Colectiva</t>
  </si>
  <si>
    <t xml:space="preserve">Cartera Colectiva </t>
  </si>
  <si>
    <t>BALANCE GENERAL</t>
  </si>
  <si>
    <t>Sislenguas</t>
  </si>
  <si>
    <t>Para dar cumplimiento al Decreto 2649 de 1993 "POR EL CUAL SE REGLAMENTA LA CONTABILIDAD EN GENERAL Y SE EXPIDEN LOS PRINCIPIOS O NORMAS DE CONTABILIDAD GENERALMENTE ACEPTADOS EN COLOMBIA"; en su artículo 48 "CONTABILIDAD DE CAUSACIÓN O POR ACUMULACIÓN, los hechos económicos deben ser reconocidos en el período en el cual se realicen y no solamente cuando sea recibido o pagado el efectivo o su equivalente", se adoptó para las fuentes de ingresos de Formación Universitaria, Avanzada e Idiomas, la norma de causación.</t>
  </si>
  <si>
    <t>Interbolsa</t>
  </si>
  <si>
    <t>EBITDA</t>
  </si>
  <si>
    <t>(EBITDA/Gastos Financieros)</t>
  </si>
  <si>
    <t>GRÁFICOS PRINCIPALES INDICADORES FINANCIEROS</t>
  </si>
  <si>
    <t>14. OTROS PASIVOS</t>
  </si>
  <si>
    <t>15. SUPERAVIT DE CAPITAL</t>
  </si>
  <si>
    <t>16. SERVICIOS DE ENSEÑANZA</t>
  </si>
  <si>
    <t>17. OTROS SERVICIOS OPERACIONALES</t>
  </si>
  <si>
    <t>18. DEVOLUCIONES</t>
  </si>
  <si>
    <t>19. BECAS</t>
  </si>
  <si>
    <t>20. DESCUENTOS</t>
  </si>
  <si>
    <t>21. GASTOS DE ADMINISTRACIÓN</t>
  </si>
  <si>
    <t>22. INGRESOS FINANCIEROS</t>
  </si>
  <si>
    <t>23. DONACIONES</t>
  </si>
  <si>
    <t>25. OTROS INGRESOS</t>
  </si>
  <si>
    <t>26. GASTOS FINANCIEROS</t>
  </si>
  <si>
    <t>27. GASTOS DIVERSOS</t>
  </si>
  <si>
    <t>NOTA:</t>
  </si>
  <si>
    <t>(-)
AXI PROVISIÓN</t>
  </si>
  <si>
    <t>TOTAL FONDO ESTABILIZACIÓN</t>
  </si>
  <si>
    <t>ASESORES EN VALORES</t>
  </si>
  <si>
    <t>Dirección de Idiomas</t>
  </si>
  <si>
    <t>Souvenirs</t>
  </si>
  <si>
    <t>GRUPO SURA</t>
  </si>
  <si>
    <t>VALORACIÓN DE LA INVERSIÓN AL CIERRE CONTABLE</t>
  </si>
  <si>
    <t>(+)
VALORIZACIÓN</t>
  </si>
  <si>
    <t>(-) 
PROVISIÓN</t>
  </si>
  <si>
    <t>VALORACIÓN AL CIERRE CONTABLE</t>
  </si>
  <si>
    <t>PROMOTORA PROYECTOS</t>
  </si>
  <si>
    <t>CDT</t>
  </si>
  <si>
    <t>Cartera Colectiva (F.Becas)</t>
  </si>
  <si>
    <t>incluye semovientes en el 2008</t>
  </si>
  <si>
    <t>FONDO DE ESTABILIZACIÓN</t>
  </si>
  <si>
    <t>TOTAL GENERAL RENTA FIJA</t>
  </si>
  <si>
    <t>VALOR
INTRÍNSECO</t>
  </si>
  <si>
    <t>Repo</t>
  </si>
  <si>
    <t>TOTAL  OTROS FONDOS</t>
  </si>
  <si>
    <t xml:space="preserve">(=)
VALOR  CONTABLE                                                                                                                                                                                                                                               </t>
  </si>
  <si>
    <t>39200</t>
  </si>
  <si>
    <t>INTERMEDIARIO</t>
  </si>
  <si>
    <t>ACCIONES EN BOLSA</t>
  </si>
  <si>
    <t>VALOR COMPRA</t>
  </si>
  <si>
    <t>NÚMERO ACCIONES</t>
  </si>
  <si>
    <t>TOTAL FONDO CAPILLATÓN</t>
  </si>
  <si>
    <t>CUOTAS O PARTES DE INTERES SOCIAL</t>
  </si>
  <si>
    <t>VALOR
LIBROS</t>
  </si>
  <si>
    <t xml:space="preserve">Repo </t>
  </si>
  <si>
    <t>Sudameris</t>
  </si>
  <si>
    <t>VALOR COMPRA $</t>
  </si>
  <si>
    <t>FONDO CAPILLATON</t>
  </si>
  <si>
    <t>ACCIONES NO TRANSAN EN BOLSA</t>
  </si>
  <si>
    <t>VALOR
MERCADO</t>
  </si>
  <si>
    <t xml:space="preserve">
VALORIZACIÓN</t>
  </si>
  <si>
    <t xml:space="preserve">
PROVISIÓN</t>
  </si>
  <si>
    <t xml:space="preserve">
AXI PROVISIÓN</t>
  </si>
  <si>
    <t>Fondo Dinero</t>
  </si>
  <si>
    <t>(-) PROVISIÓN</t>
  </si>
  <si>
    <t>(=) VALOR CONTABLE</t>
  </si>
  <si>
    <t>PERIODO
PAGO INTERÉS</t>
  </si>
  <si>
    <t>VENCIMIENTO</t>
  </si>
  <si>
    <t>Fiduciaria Corpbanca</t>
  </si>
  <si>
    <t>Valores Bancolomb</t>
  </si>
  <si>
    <t>Factoring</t>
  </si>
  <si>
    <t>Corpbanca</t>
  </si>
  <si>
    <t>Bogotá</t>
  </si>
  <si>
    <t>Banco Bogotá</t>
  </si>
  <si>
    <t>Findeter</t>
  </si>
  <si>
    <t>Cartera Colectiva (EAFIT-ANDES)</t>
  </si>
  <si>
    <t>TOTAL INVERSIONES CTES</t>
  </si>
  <si>
    <t>TOTAL INVERSIONES NO CTES</t>
  </si>
  <si>
    <t>Fondos</t>
  </si>
  <si>
    <t>4.1.1 RENTA FIJA</t>
  </si>
  <si>
    <t>Total Patrimonio</t>
  </si>
  <si>
    <t>TOTAL PASIVO + PATRIMONIO</t>
  </si>
  <si>
    <t>Periodo</t>
  </si>
  <si>
    <t>Actual</t>
  </si>
  <si>
    <t>Anterior</t>
  </si>
  <si>
    <t>MES</t>
  </si>
  <si>
    <t>Servicios de enseñanza</t>
  </si>
  <si>
    <t>Otros servicios operacionales</t>
  </si>
  <si>
    <t>Administración y docencia</t>
  </si>
  <si>
    <t>Otras ventas</t>
  </si>
  <si>
    <t>24.  OTRAS VENTAS</t>
  </si>
  <si>
    <t>Propaganda</t>
  </si>
  <si>
    <t>Otros gastos</t>
  </si>
  <si>
    <t>Acentos</t>
  </si>
  <si>
    <t>Vivo</t>
  </si>
  <si>
    <t>Inversiones largo plazo</t>
  </si>
  <si>
    <t>DIRECCIÓN ADMINISTRATIVA Y FINANCIERA</t>
  </si>
  <si>
    <t>DEPARTAMENTO DE TESORERÍA Y CARTERA</t>
  </si>
  <si>
    <t>PORTAFOLIO DE INVERSIONES RENTA VARIABLE FEBRERO 2013</t>
  </si>
  <si>
    <t>Cifras en miles</t>
  </si>
  <si>
    <t>39140</t>
  </si>
  <si>
    <t>FABRICATO</t>
  </si>
  <si>
    <t>EMPRESA ENERGIA DE BOGOTA</t>
  </si>
  <si>
    <t>GRUPO AVAL</t>
  </si>
  <si>
    <t>VALORACIÓN DE ACCIONES EN BOLSA AL 28/02/2013</t>
  </si>
  <si>
    <t>VALORACIÓN ACCIONES NO TRANSAN EN BOLSA AL 30/11/2012</t>
  </si>
  <si>
    <t>PORTAFOLIO DE INVERSIONES RENTA FIJA FEBRERO 2013</t>
  </si>
  <si>
    <t>Leasing Bancolomb</t>
  </si>
  <si>
    <t>8. CARGOS DIFERIDOS</t>
  </si>
  <si>
    <t>Deportes</t>
  </si>
  <si>
    <t>PORTAFOLIO DE INVERSIONES RENTA FIJA</t>
  </si>
  <si>
    <t>PORTAFOLIO DE INVERSIONES RENTA VARIABLE</t>
  </si>
  <si>
    <t>(EBITDA/Ingreso Operacional)</t>
  </si>
  <si>
    <t>Subtotal no Corrientes</t>
  </si>
  <si>
    <t>TOTAL ACTIVO</t>
  </si>
  <si>
    <t>LAS NOTAS DE LA 1 A LA 28 QUE SE ACOMPAÑAN HACEN PARTE INTEGRAL DE LOS ESTADOS FINANCIEROS</t>
  </si>
  <si>
    <t>Clientes:</t>
  </si>
  <si>
    <t>Subtotal Corriente</t>
  </si>
  <si>
    <t>28. CUENTAS DE ORDEN</t>
  </si>
  <si>
    <t>De Personal</t>
  </si>
  <si>
    <t>Regalías</t>
  </si>
  <si>
    <t>Otros servicios de enseñanza</t>
  </si>
  <si>
    <t>VALIDACIONES</t>
  </si>
  <si>
    <t>Activos</t>
  </si>
  <si>
    <t>Patrimonio</t>
  </si>
  <si>
    <t>Pasivos</t>
  </si>
  <si>
    <t>Diferencia</t>
  </si>
  <si>
    <t>BALANCE:</t>
  </si>
  <si>
    <t>PYG:</t>
  </si>
  <si>
    <t>Excedente no Operacional</t>
  </si>
  <si>
    <t>NOTAS:</t>
  </si>
  <si>
    <t>Deudores corrientes</t>
  </si>
  <si>
    <t>Deudores no corrientes</t>
  </si>
  <si>
    <t>Obligaciones financieras corto plazo</t>
  </si>
  <si>
    <t>Obligaciones financieras largo plazo</t>
  </si>
  <si>
    <t>Valorizaciones de activos</t>
  </si>
  <si>
    <t>Valorizaciones de patrimonio</t>
  </si>
  <si>
    <t>Cuentas de orden deudoras</t>
  </si>
  <si>
    <t>Cuentas de orden acreedoras</t>
  </si>
  <si>
    <t>RESUMEN:</t>
  </si>
  <si>
    <t>Balance:</t>
  </si>
  <si>
    <t>Total Pasivoss</t>
  </si>
  <si>
    <t>Total pasivos y patrimonio</t>
  </si>
  <si>
    <t>Total ingresos</t>
  </si>
  <si>
    <t>Total egresos</t>
  </si>
  <si>
    <t>Resultado del ejercicio</t>
  </si>
  <si>
    <t>Tienda</t>
  </si>
  <si>
    <t>gran total</t>
  </si>
  <si>
    <t>Cuentas de ahorros</t>
  </si>
  <si>
    <t xml:space="preserve">Activo corriente: </t>
  </si>
  <si>
    <t xml:space="preserve">Pasivo corriente: </t>
  </si>
  <si>
    <t xml:space="preserve">Obligaciones financieras </t>
  </si>
  <si>
    <t xml:space="preserve">Proveedores nacionales </t>
  </si>
  <si>
    <t xml:space="preserve">Cuentas por pagar </t>
  </si>
  <si>
    <t xml:space="preserve">Obligaciones laborales </t>
  </si>
  <si>
    <t xml:space="preserve">Gastos pagados por anticipado </t>
  </si>
  <si>
    <t xml:space="preserve">Pasivos estimados y provisiones </t>
  </si>
  <si>
    <t xml:space="preserve">Total activo corriente </t>
  </si>
  <si>
    <t xml:space="preserve">Activo no corriente: </t>
  </si>
  <si>
    <t>Total pasivo corriente</t>
  </si>
  <si>
    <t>Propiedad, planta y equipo</t>
  </si>
  <si>
    <t xml:space="preserve">Pasivo no corriente </t>
  </si>
  <si>
    <t xml:space="preserve">Deudores varios </t>
  </si>
  <si>
    <t xml:space="preserve">Cargos diferidos </t>
  </si>
  <si>
    <t xml:space="preserve">Otros pasivos </t>
  </si>
  <si>
    <t>Formación universitaria</t>
  </si>
  <si>
    <t>Formación avanzada</t>
  </si>
  <si>
    <t xml:space="preserve">Obras de arte </t>
  </si>
  <si>
    <t>Educación continua</t>
  </si>
  <si>
    <t>Centro de idiomas</t>
  </si>
  <si>
    <t>Servicios de asesorías y consultorías</t>
  </si>
  <si>
    <t>Servicios de laboratorio</t>
  </si>
  <si>
    <t>Total activo no corriente</t>
  </si>
  <si>
    <t>Total pasivo</t>
  </si>
  <si>
    <t>Anticipos y avances</t>
  </si>
  <si>
    <t xml:space="preserve">Cuentas de orden- deudoras </t>
  </si>
  <si>
    <t>Multas y recargos por cobrar a estudiantes</t>
  </si>
  <si>
    <t>Reclamaciones de seguros</t>
  </si>
  <si>
    <t>Anticipo impuesto de industria y comercio</t>
  </si>
  <si>
    <t>Superávit de capital</t>
  </si>
  <si>
    <t>Revalorización del patrimonio</t>
  </si>
  <si>
    <t>Otros deudores corto plazo</t>
  </si>
  <si>
    <t>Resultados del ejercicio</t>
  </si>
  <si>
    <t>Otros ingresos por cobrar</t>
  </si>
  <si>
    <t>Resultados de ejercicios anteriores</t>
  </si>
  <si>
    <t>Provisión de cartera de corto plazo</t>
  </si>
  <si>
    <t>Superávit por valorizaciones</t>
  </si>
  <si>
    <t>Total patrimonio</t>
  </si>
  <si>
    <t>Otros deudores varios</t>
  </si>
  <si>
    <t>Deudas difícil cobro estudiantil</t>
  </si>
  <si>
    <t>Otros prestamos con garantia personal</t>
  </si>
  <si>
    <t>Provisión de cartera</t>
  </si>
  <si>
    <t>Impuesto predial</t>
  </si>
  <si>
    <t>Construcciones en curso</t>
  </si>
  <si>
    <t>Maquinaria y equipo en montaje</t>
  </si>
  <si>
    <t>Construcciones y edificaciones</t>
  </si>
  <si>
    <t>Equipo de oficina</t>
  </si>
  <si>
    <t>Equipo de computación y comunicación</t>
  </si>
  <si>
    <t>Flota y equipo de transporte y fluvial</t>
  </si>
  <si>
    <t>Equipo en tránsito</t>
  </si>
  <si>
    <t>Depreciación acumulada</t>
  </si>
  <si>
    <t>Programas para computadores</t>
  </si>
  <si>
    <t>Útiles y papelería</t>
  </si>
  <si>
    <t>Mejoras en propiedad ajena</t>
  </si>
  <si>
    <t>Contribuciones y afiliaciones</t>
  </si>
  <si>
    <t>Revistas diferidas</t>
  </si>
  <si>
    <t>Licencias diferidas</t>
  </si>
  <si>
    <t>Publicidad y promoción diferida</t>
  </si>
  <si>
    <t>Elementos de aseo y cafetería</t>
  </si>
  <si>
    <t>Otros diferidos</t>
  </si>
  <si>
    <t>Acciones - propias</t>
  </si>
  <si>
    <t>Total inversiones</t>
  </si>
  <si>
    <t>Maquinaria y equipo</t>
  </si>
  <si>
    <t>Banco popular</t>
  </si>
  <si>
    <t>Leasing bancolombia</t>
  </si>
  <si>
    <t>Otras obligaciones</t>
  </si>
  <si>
    <t>Costos y gastos por pagar</t>
  </si>
  <si>
    <t>Retenciones y aportes de nómina</t>
  </si>
  <si>
    <t>Acreedores varios</t>
  </si>
  <si>
    <t>Retención en la fuente por pagar</t>
  </si>
  <si>
    <t>Salarios por pagar</t>
  </si>
  <si>
    <t>Cesantías consolidadas</t>
  </si>
  <si>
    <t>Intereses sobre las cesantías por pagar</t>
  </si>
  <si>
    <t>Vacaciones consolidadas</t>
  </si>
  <si>
    <t>Desarrollo artístico</t>
  </si>
  <si>
    <t>Ingresos rec. por anticipado contratos cofinanciados</t>
  </si>
  <si>
    <t>Ingresos rec. por anticipado asesorias y consultorias</t>
  </si>
  <si>
    <t>Matrículas de formación universitaria</t>
  </si>
  <si>
    <t>Matrículas  de formación avanzada</t>
  </si>
  <si>
    <t>Saldo a favor cancelación materia</t>
  </si>
  <si>
    <t>Saldo a favor ICETEX</t>
  </si>
  <si>
    <t>Otros saldos a favor de estudiantes</t>
  </si>
  <si>
    <t>Anticipos intersemestrales</t>
  </si>
  <si>
    <t>Ant. y avances recibidos sobre contratos</t>
  </si>
  <si>
    <t>Becas recibidas para terceros</t>
  </si>
  <si>
    <t>Otros valores recibidos para terceros</t>
  </si>
  <si>
    <t>Donaciones en dinero</t>
  </si>
  <si>
    <t>Donaciones en valores mobiliarios</t>
  </si>
  <si>
    <t>Donaciones en bienes muebles</t>
  </si>
  <si>
    <t>Donaciones en bienes inmuebles</t>
  </si>
  <si>
    <t>Derechos contingentes</t>
  </si>
  <si>
    <t>Responsabilidades contingentes</t>
  </si>
  <si>
    <t>En consignación negocios</t>
  </si>
  <si>
    <t>Ingresos operacionales</t>
  </si>
  <si>
    <t>Total Ingresos operacionales</t>
  </si>
  <si>
    <t>Gastos operacionales</t>
  </si>
  <si>
    <t>Excedente operacionales</t>
  </si>
  <si>
    <t>Ingresos no operacionales</t>
  </si>
  <si>
    <t>Concesión de espacios</t>
  </si>
  <si>
    <t>Total ingresos no operacionales</t>
  </si>
  <si>
    <t>Gastos no operacionales</t>
  </si>
  <si>
    <t>Gastos diversos</t>
  </si>
  <si>
    <t>Total gastos no operacionales</t>
  </si>
  <si>
    <t>Centro de educación continua</t>
  </si>
  <si>
    <t>Departamento de deportes</t>
  </si>
  <si>
    <t>Derechos académicos</t>
  </si>
  <si>
    <t>Promoción cultural</t>
  </si>
  <si>
    <t>Eventos departamentos académicos</t>
  </si>
  <si>
    <t>Orquesta sinfónica</t>
  </si>
  <si>
    <t>Asesorías y consultorías</t>
  </si>
  <si>
    <t>Proyectos de investigación</t>
  </si>
  <si>
    <t>Centro de estudios asia pacífico</t>
  </si>
  <si>
    <t>Fondo editorial</t>
  </si>
  <si>
    <t>Sol y melón</t>
  </si>
  <si>
    <t>Máquinas snack</t>
  </si>
  <si>
    <t>Ingresos por arrendamiento de lockers</t>
  </si>
  <si>
    <t>Otros ingresos actividades varias</t>
  </si>
  <si>
    <t>Otros ingresos operacionales</t>
  </si>
  <si>
    <t>Gastos legales</t>
  </si>
  <si>
    <t>Mantenimiento y reparación</t>
  </si>
  <si>
    <t>Adecuación e instalación</t>
  </si>
  <si>
    <t>Gastos de viaje</t>
  </si>
  <si>
    <t>Libros y revistas</t>
  </si>
  <si>
    <t>Publicidad material promocional</t>
  </si>
  <si>
    <t>Anuncios medios masivos</t>
  </si>
  <si>
    <t>Relaciones públicas cortesías</t>
  </si>
  <si>
    <t>Gastos de representación y otros</t>
  </si>
  <si>
    <t>Papelería útiles y fotocopias</t>
  </si>
  <si>
    <t>Material y recurso docente</t>
  </si>
  <si>
    <t>Reintegro gastos</t>
  </si>
  <si>
    <t>Otros apoyos</t>
  </si>
  <si>
    <t>Regalos de protocolo</t>
  </si>
  <si>
    <t>Gastos asociados a asesorías y consultorías</t>
  </si>
  <si>
    <t>Taxis y buses</t>
  </si>
  <si>
    <t>Casino y restaurante</t>
  </si>
  <si>
    <t>Implementos deportivos y culturales</t>
  </si>
  <si>
    <t>Rendimientos de inversiones</t>
  </si>
  <si>
    <t>Financiación matrículas</t>
  </si>
  <si>
    <t>Otros intereses</t>
  </si>
  <si>
    <t>Diferencia en cambio</t>
  </si>
  <si>
    <t>Descuentos financieros</t>
  </si>
  <si>
    <t>Otros ingresos financieros</t>
  </si>
  <si>
    <t>Otras donaciones</t>
  </si>
  <si>
    <t>Materiales varios</t>
  </si>
  <si>
    <t>Dividendos y/o participaciones en sociedades anónimas y asimiladas</t>
  </si>
  <si>
    <t>Utilidad en venta de acciones</t>
  </si>
  <si>
    <t>Utilidad en venta de propiedad planta y equipo</t>
  </si>
  <si>
    <t>Ingresos de ejercicios anteriores</t>
  </si>
  <si>
    <t>Ingresos por aprovechamientos</t>
  </si>
  <si>
    <t>Transferencias intrauniversitarias</t>
  </si>
  <si>
    <t>Elementos perdidos</t>
  </si>
  <si>
    <t>Multas y recargos</t>
  </si>
  <si>
    <t>Ajuste al peso</t>
  </si>
  <si>
    <t>Intereses por préstamos</t>
  </si>
  <si>
    <t>Otros gastos financieros</t>
  </si>
  <si>
    <t>Costos y gastos de ejercicios anteriores</t>
  </si>
  <si>
    <t>Retención en la fuente asumida</t>
  </si>
  <si>
    <t>Gravamen a los impuestos financieros</t>
  </si>
  <si>
    <t>Provisión de gastos</t>
  </si>
  <si>
    <r>
      <t>C</t>
    </r>
    <r>
      <rPr>
        <sz val="18"/>
        <color indexed="9"/>
        <rFont val="Garamond"/>
        <family val="1"/>
      </rPr>
      <t>UADRO ESTADÍSTICO BALANCE GENERAL</t>
    </r>
  </si>
  <si>
    <r>
      <t>C</t>
    </r>
    <r>
      <rPr>
        <sz val="18"/>
        <color indexed="9"/>
        <rFont val="Garamond"/>
        <family val="1"/>
      </rPr>
      <t>OMPORTAMIENTO DE INDICADORES</t>
    </r>
  </si>
  <si>
    <r>
      <t>C</t>
    </r>
    <r>
      <rPr>
        <sz val="18"/>
        <color indexed="9"/>
        <rFont val="Garamond"/>
        <family val="1"/>
      </rPr>
      <t>UADRO ESTADISTICO ESTADO DE RESULTADOS</t>
    </r>
  </si>
  <si>
    <t>Intereses por préstamos a empleados</t>
  </si>
  <si>
    <t>Otros intereses Municipio de Medellín</t>
  </si>
  <si>
    <t>Endeudamiento total</t>
  </si>
  <si>
    <t>Índice corriente</t>
  </si>
  <si>
    <t>Capital de trabajo</t>
  </si>
  <si>
    <t xml:space="preserve">Endeudamiento total sin diferidos </t>
  </si>
  <si>
    <t>Endeudamiento total sin diferidos  %</t>
  </si>
  <si>
    <t>Apalancamiento financiero</t>
  </si>
  <si>
    <t>Margen neto de utilidad</t>
  </si>
  <si>
    <t>Rentabilidad del patrimonio</t>
  </si>
  <si>
    <t xml:space="preserve">Rendimiento del activo </t>
  </si>
  <si>
    <t>Cobertura de intereses --veces--</t>
  </si>
  <si>
    <t>Gastos de personal</t>
  </si>
  <si>
    <t>Mantenimiento y reparaciones</t>
  </si>
  <si>
    <t>Gastos de promoción y publicidad</t>
  </si>
  <si>
    <t>Gastos generales</t>
  </si>
  <si>
    <t>Gastos financieros</t>
  </si>
  <si>
    <t>Gasto diversos</t>
  </si>
  <si>
    <t>Aportes y donaciones</t>
  </si>
  <si>
    <t>Rendimientos financieros</t>
  </si>
  <si>
    <t>Centro de laboratorio</t>
  </si>
  <si>
    <t>Centro de asesorías y consultorías</t>
  </si>
  <si>
    <t>Matrículas formación universitaria</t>
  </si>
  <si>
    <t>Endeudamiento total sin diferidos</t>
  </si>
  <si>
    <t>Rendimiento del patrimonio</t>
  </si>
  <si>
    <t>Rendimiento del activo</t>
  </si>
  <si>
    <t>Total activos</t>
  </si>
  <si>
    <t>Pasivo total</t>
  </si>
  <si>
    <t>Ingresos totales</t>
  </si>
  <si>
    <t>Gastos totales</t>
  </si>
  <si>
    <t>Excedente neto</t>
  </si>
  <si>
    <t>Cobertura de intereses --Veces--</t>
  </si>
  <si>
    <t xml:space="preserve">                                     Ingresos Eafit -Social</t>
  </si>
  <si>
    <t xml:space="preserve">                                     Ingresos CEC</t>
  </si>
  <si>
    <t>Otros prestamos con garantía persona</t>
  </si>
  <si>
    <t>Cuentas de orden - acreedoras</t>
  </si>
  <si>
    <t>Preoperativos CAPF</t>
  </si>
  <si>
    <t>Pérdida en venta y retiro de bienes</t>
  </si>
  <si>
    <t>Eafit social - ingresos</t>
  </si>
  <si>
    <t>Eafit social - becas</t>
  </si>
  <si>
    <t>BAJO NORMAS COLOMBIANAS</t>
  </si>
  <si>
    <t>Derechos academicos</t>
  </si>
  <si>
    <t>DICIEMBRE 2013</t>
  </si>
  <si>
    <t>diciembre</t>
  </si>
  <si>
    <t>A 31 de diciembre (Cifras expresadas en miles de pesos)</t>
  </si>
  <si>
    <t xml:space="preserve">Total pasivo no corriente </t>
  </si>
  <si>
    <t>Deudoras de control</t>
  </si>
  <si>
    <t>Intereses por cobrar a estudiantes</t>
  </si>
  <si>
    <t>Banco Bogota</t>
  </si>
  <si>
    <t>DONACIONES</t>
  </si>
  <si>
    <t>Intangibles</t>
  </si>
  <si>
    <t>9. INTANGIBLES</t>
  </si>
  <si>
    <t>Marcas</t>
  </si>
  <si>
    <t>Patentes</t>
  </si>
  <si>
    <t>Derechos</t>
  </si>
  <si>
    <t>10. VALORIZACIONES</t>
  </si>
  <si>
    <t>11. OBLIGACIONES FINANCIERAS</t>
  </si>
  <si>
    <t>12. CUENTAS POR PAGAR</t>
  </si>
  <si>
    <t>13. OBLIGACIONES LABORALES</t>
  </si>
  <si>
    <t>14. DIFERIDOS</t>
  </si>
  <si>
    <t>15. OTROS PASIVOS</t>
  </si>
  <si>
    <t>16. SUPERAVIT DE CAPITAL</t>
  </si>
  <si>
    <t>29. CUENTAS DE ORDEN</t>
  </si>
  <si>
    <t>17. SERVICIOS DE ENSEÑANZA</t>
  </si>
  <si>
    <t>18. OTROS SERVICIOS OPERACIONALES</t>
  </si>
  <si>
    <t>19. DEVOLUCIONES</t>
  </si>
  <si>
    <t>20. BECAS</t>
  </si>
  <si>
    <t>21. DESCUENTOS</t>
  </si>
  <si>
    <t>22. GASTOS DE ADMINISTRACIÓN</t>
  </si>
  <si>
    <t>23. INGRESOS FINANCIEROS</t>
  </si>
  <si>
    <t>24. DONACIONES</t>
  </si>
  <si>
    <t>25.  OTRAS VENTAS</t>
  </si>
  <si>
    <t>26. OTROS INGRESOS NO OPERACIONALES</t>
  </si>
  <si>
    <t>27. GASTOS FINANCIEROS</t>
  </si>
  <si>
    <t>28. GASTOS DIVERSOS NO OPERACIONALES</t>
  </si>
  <si>
    <t>INTANGIBLES</t>
  </si>
  <si>
    <t>Otros intangibles</t>
  </si>
  <si>
    <t>El activo disponible incluye:</t>
  </si>
  <si>
    <t xml:space="preserve"> - La reciprocidad en cuenta corriente por exoneración en la comisión de  con la entidad bancaria.  </t>
  </si>
  <si>
    <t xml:space="preserve"> - El incremento en cuentas de ahorro se debe a las políticas adoptadas por parte del comité de Recursos Financieros, a los $5.000 millones aprobados para la conformacion del fondo patrimonial y del fondo de estabilizacion quedaron al cierre 1.2 millones.</t>
  </si>
  <si>
    <t xml:space="preserve"> -  Los $5.000 millones aprobados para la conformación del fondo patrimonial para el fortalecimiento aún se encuentran en el disponible en  cuentas de ahorro  y del fondo de estabilización quedaron al cierre 1.2 millones en cuentas de ahorro.</t>
  </si>
  <si>
    <t>Parqueaderos</t>
  </si>
  <si>
    <t>(Utilidad Operacional + Depreciación + Amortizaciones + Seguro)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</si>
</sst>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€_-;\-* #,##0.00\ _€_-;_-* &quot;-&quot;??\ _€_-;_-@_-"/>
    <numFmt numFmtId="164" formatCode="_(* #,##0_);_(* \(#,##0\);_(* &quot;-&quot;_);_(@_)"/>
    <numFmt numFmtId="165" formatCode="_(&quot;$&quot;\ * #,##0.00_);_(&quot;$&quot;\ * \(#,##0.00\);_(&quot;$&quot;\ * &quot;-&quot;??_);_(@_)"/>
    <numFmt numFmtId="166" formatCode="#,##0.0000"/>
    <numFmt numFmtId="167" formatCode="_(* #,##0_);_(* \(#,##0\);_(* &quot;-&quot;??_);_(@_)"/>
    <numFmt numFmtId="168" formatCode="#,##0_ ;[Red]\-#,##0\ "/>
    <numFmt numFmtId="169" formatCode="_ * #,##0_ ;_ * \-#,##0_ ;_ * &quot;-&quot;??_ ;_ @_ "/>
    <numFmt numFmtId="170" formatCode="#,##0;[Red]\-#,##0;&quot;-&quot;"/>
    <numFmt numFmtId="171" formatCode="_ * #,##0.00_ ;_ * \-#,##0.00_ ;_ * &quot;-&quot;??_ ;_ @_ "/>
    <numFmt numFmtId="172" formatCode="#,##0;[Red]#,##0"/>
  </numFmts>
  <fonts count="7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Century Gothic"/>
      <family val="2"/>
    </font>
    <font>
      <sz val="10"/>
      <color indexed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22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name val="Arial Narrow"/>
      <family val="2"/>
    </font>
    <font>
      <sz val="14"/>
      <name val="Arial"/>
      <family val="2"/>
    </font>
    <font>
      <b/>
      <sz val="12"/>
      <color indexed="10"/>
      <name val="Arial"/>
      <family val="2"/>
    </font>
    <font>
      <sz val="12"/>
      <color indexed="9"/>
      <name val="Arial"/>
      <family val="2"/>
    </font>
    <font>
      <sz val="12"/>
      <name val="Garamond"/>
      <family val="1"/>
    </font>
    <font>
      <sz val="28"/>
      <name val="Arial"/>
      <family val="2"/>
    </font>
    <font>
      <sz val="18"/>
      <name val="Arial"/>
      <family val="2"/>
    </font>
    <font>
      <b/>
      <sz val="28"/>
      <color indexed="9"/>
      <name val="Garamond"/>
      <family val="1"/>
    </font>
    <font>
      <b/>
      <sz val="18"/>
      <color indexed="9"/>
      <name val="Garamond"/>
      <family val="1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sz val="18"/>
      <color indexed="9"/>
      <name val="Arial"/>
      <family val="2"/>
    </font>
    <font>
      <sz val="29"/>
      <name val="Arial"/>
      <family val="2"/>
    </font>
    <font>
      <sz val="9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24"/>
      <color indexed="9"/>
      <name val="Garamond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</font>
    <font>
      <b/>
      <sz val="11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9"/>
      <color theme="0"/>
      <name val="Arial"/>
      <family val="2"/>
    </font>
    <font>
      <sz val="10"/>
      <color theme="0"/>
      <name val="Arial"/>
      <family val="2"/>
    </font>
    <font>
      <b/>
      <i/>
      <sz val="10"/>
      <name val="Calibri"/>
      <family val="2"/>
    </font>
    <font>
      <b/>
      <sz val="13"/>
      <color theme="3"/>
      <name val="Calibri"/>
      <family val="2"/>
      <scheme val="minor"/>
    </font>
    <font>
      <sz val="10"/>
      <color rgb="FFFF0000"/>
      <name val="Calibri"/>
      <family val="2"/>
    </font>
    <font>
      <b/>
      <i/>
      <sz val="9"/>
      <name val="Calibri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b/>
      <sz val="18"/>
      <color theme="3"/>
      <name val="Cambria"/>
      <family val="2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sz val="14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sz val="28"/>
      <color indexed="9"/>
      <name val="Garamond"/>
      <family val="1"/>
    </font>
    <font>
      <sz val="18"/>
      <color indexed="9"/>
      <name val="Garamond"/>
      <family val="1"/>
    </font>
    <font>
      <sz val="18"/>
      <name val="Garamond"/>
      <family val="1"/>
    </font>
    <font>
      <b/>
      <sz val="12"/>
      <name val="Garamond"/>
      <family val="1"/>
    </font>
    <font>
      <b/>
      <u/>
      <sz val="12"/>
      <name val="Arial"/>
      <family val="2"/>
    </font>
    <font>
      <b/>
      <sz val="10"/>
      <color indexed="1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2">
    <xf numFmtId="0" fontId="0" fillId="0" borderId="0"/>
    <xf numFmtId="0" fontId="41" fillId="5" borderId="16" applyNumberForma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0" fillId="0" borderId="15" applyNumberFormat="0" applyFill="0" applyAlignment="0" applyProtection="0"/>
    <xf numFmtId="0" fontId="39" fillId="0" borderId="14" applyNumberFormat="0" applyFill="0" applyAlignment="0" applyProtection="0"/>
    <xf numFmtId="0" fontId="42" fillId="8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46" fillId="0" borderId="22" applyNumberFormat="0" applyFill="0" applyAlignment="0" applyProtection="0"/>
    <xf numFmtId="0" fontId="6" fillId="9" borderId="0" applyNumberFormat="0" applyBorder="0" applyAlignment="0" applyProtection="0"/>
    <xf numFmtId="0" fontId="5" fillId="9" borderId="0" applyNumberFormat="0" applyBorder="0" applyAlignment="0" applyProtection="0"/>
    <xf numFmtId="171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52" fillId="11" borderId="0" applyNumberFormat="0" applyBorder="0" applyAlignment="0" applyProtection="0"/>
    <xf numFmtId="0" fontId="53" fillId="12" borderId="0" applyNumberFormat="0" applyBorder="0" applyAlignment="0" applyProtection="0"/>
    <xf numFmtId="0" fontId="54" fillId="13" borderId="0" applyNumberFormat="0" applyBorder="0" applyAlignment="0" applyProtection="0"/>
    <xf numFmtId="0" fontId="55" fillId="14" borderId="16" applyNumberFormat="0" applyAlignment="0" applyProtection="0"/>
    <xf numFmtId="0" fontId="56" fillId="5" borderId="23" applyNumberFormat="0" applyAlignment="0" applyProtection="0"/>
    <xf numFmtId="0" fontId="57" fillId="0" borderId="24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6" applyNumberFormat="0" applyFill="0" applyAlignment="0" applyProtection="0"/>
    <xf numFmtId="0" fontId="61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61" fillId="19" borderId="0" applyNumberFormat="0" applyBorder="0" applyAlignment="0" applyProtection="0"/>
    <xf numFmtId="0" fontId="61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61" fillId="23" borderId="0" applyNumberFormat="0" applyBorder="0" applyAlignment="0" applyProtection="0"/>
    <xf numFmtId="0" fontId="61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61" fillId="27" borderId="0" applyNumberFormat="0" applyBorder="0" applyAlignment="0" applyProtection="0"/>
    <xf numFmtId="0" fontId="61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0" borderId="0" applyNumberFormat="0" applyBorder="0" applyAlignment="0" applyProtection="0"/>
    <xf numFmtId="0" fontId="61" fillId="31" borderId="0" applyNumberFormat="0" applyBorder="0" applyAlignment="0" applyProtection="0"/>
    <xf numFmtId="0" fontId="61" fillId="32" borderId="0" applyNumberFormat="0" applyBorder="0" applyAlignment="0" applyProtection="0"/>
    <xf numFmtId="0" fontId="4" fillId="33" borderId="0" applyNumberFormat="0" applyBorder="0" applyAlignment="0" applyProtection="0"/>
    <xf numFmtId="0" fontId="61" fillId="34" borderId="0" applyNumberFormat="0" applyBorder="0" applyAlignment="0" applyProtection="0"/>
    <xf numFmtId="0" fontId="61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61" fillId="38" borderId="0" applyNumberFormat="0" applyBorder="0" applyAlignment="0" applyProtection="0"/>
    <xf numFmtId="0" fontId="4" fillId="0" borderId="0"/>
    <xf numFmtId="0" fontId="4" fillId="15" borderId="25" applyNumberFormat="0" applyFont="0" applyAlignment="0" applyProtection="0"/>
    <xf numFmtId="0" fontId="4" fillId="9" borderId="0" applyNumberFormat="0" applyBorder="0" applyAlignment="0" applyProtection="0"/>
    <xf numFmtId="0" fontId="3" fillId="0" borderId="0"/>
    <xf numFmtId="0" fontId="3" fillId="15" borderId="25" applyNumberFormat="0" applyFont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9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9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9" borderId="0" applyNumberFormat="0" applyBorder="0" applyAlignment="0" applyProtection="0"/>
    <xf numFmtId="0" fontId="1" fillId="0" borderId="0"/>
    <xf numFmtId="0" fontId="1" fillId="15" borderId="25" applyNumberFormat="0" applyFont="0" applyAlignment="0" applyProtection="0"/>
    <xf numFmtId="0" fontId="1" fillId="9" borderId="0" applyNumberFormat="0" applyBorder="0" applyAlignment="0" applyProtection="0"/>
    <xf numFmtId="0" fontId="1" fillId="0" borderId="0"/>
    <xf numFmtId="0" fontId="1" fillId="15" borderId="25" applyNumberFormat="0" applyFont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9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9" borderId="0" applyNumberFormat="0" applyBorder="0" applyAlignment="0" applyProtection="0"/>
    <xf numFmtId="43" fontId="7" fillId="0" borderId="0" applyFont="0" applyFill="0" applyBorder="0" applyAlignment="0" applyProtection="0"/>
  </cellStyleXfs>
  <cellXfs count="489">
    <xf numFmtId="0" fontId="0" fillId="0" borderId="0" xfId="0"/>
    <xf numFmtId="3" fontId="0" fillId="0" borderId="0" xfId="0" applyNumberFormat="1"/>
    <xf numFmtId="3" fontId="10" fillId="0" borderId="1" xfId="0" applyNumberFormat="1" applyFont="1" applyBorder="1"/>
    <xf numFmtId="0" fontId="10" fillId="0" borderId="1" xfId="0" applyFont="1" applyBorder="1"/>
    <xf numFmtId="17" fontId="10" fillId="0" borderId="0" xfId="0" applyNumberFormat="1" applyFont="1"/>
    <xf numFmtId="0" fontId="10" fillId="0" borderId="3" xfId="0" applyFont="1" applyBorder="1"/>
    <xf numFmtId="0" fontId="10" fillId="0" borderId="0" xfId="0" applyFont="1"/>
    <xf numFmtId="17" fontId="10" fillId="0" borderId="0" xfId="0" applyNumberFormat="1" applyFont="1" applyBorder="1"/>
    <xf numFmtId="0" fontId="0" fillId="0" borderId="0" xfId="0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 applyBorder="1"/>
    <xf numFmtId="3" fontId="10" fillId="0" borderId="0" xfId="0" applyNumberFormat="1" applyFont="1" applyBorder="1"/>
    <xf numFmtId="10" fontId="10" fillId="0" borderId="1" xfId="3" applyNumberFormat="1" applyFont="1" applyBorder="1"/>
    <xf numFmtId="10" fontId="0" fillId="0" borderId="0" xfId="3" applyNumberFormat="1" applyFont="1"/>
    <xf numFmtId="10" fontId="10" fillId="0" borderId="3" xfId="3" applyNumberFormat="1" applyFont="1" applyBorder="1"/>
    <xf numFmtId="10" fontId="10" fillId="0" borderId="0" xfId="3" applyNumberFormat="1" applyFont="1" applyBorder="1"/>
    <xf numFmtId="10" fontId="11" fillId="0" borderId="0" xfId="3" applyNumberFormat="1" applyFont="1" applyAlignment="1">
      <alignment horizontal="center"/>
    </xf>
    <xf numFmtId="3" fontId="12" fillId="0" borderId="0" xfId="0" applyNumberFormat="1" applyFont="1" applyFill="1"/>
    <xf numFmtId="0" fontId="12" fillId="0" borderId="0" xfId="0" applyFont="1" applyFill="1"/>
    <xf numFmtId="164" fontId="10" fillId="0" borderId="0" xfId="0" applyNumberFormat="1" applyFont="1" applyBorder="1"/>
    <xf numFmtId="0" fontId="0" fillId="3" borderId="6" xfId="0" applyFill="1" applyBorder="1"/>
    <xf numFmtId="0" fontId="0" fillId="3" borderId="0" xfId="0" applyFill="1"/>
    <xf numFmtId="3" fontId="12" fillId="0" borderId="0" xfId="0" applyNumberFormat="1" applyFont="1"/>
    <xf numFmtId="0" fontId="0" fillId="3" borderId="0" xfId="0" applyFill="1" applyBorder="1"/>
    <xf numFmtId="0" fontId="14" fillId="3" borderId="0" xfId="0" applyFont="1" applyFill="1" applyAlignment="1">
      <alignment horizontal="center"/>
    </xf>
    <xf numFmtId="0" fontId="18" fillId="3" borderId="0" xfId="0" applyFont="1" applyFill="1"/>
    <xf numFmtId="0" fontId="18" fillId="3" borderId="0" xfId="0" applyFont="1" applyFill="1" applyBorder="1"/>
    <xf numFmtId="0" fontId="18" fillId="3" borderId="0" xfId="0" applyFont="1" applyFill="1" applyAlignment="1"/>
    <xf numFmtId="0" fontId="19" fillId="3" borderId="0" xfId="0" applyFont="1" applyFill="1"/>
    <xf numFmtId="39" fontId="18" fillId="3" borderId="0" xfId="0" applyNumberFormat="1" applyFont="1" applyFill="1" applyBorder="1"/>
    <xf numFmtId="9" fontId="18" fillId="3" borderId="0" xfId="3" applyFont="1" applyFill="1"/>
    <xf numFmtId="3" fontId="17" fillId="0" borderId="0" xfId="0" applyNumberFormat="1" applyFont="1" applyFill="1"/>
    <xf numFmtId="0" fontId="10" fillId="0" borderId="7" xfId="0" applyFont="1" applyBorder="1"/>
    <xf numFmtId="3" fontId="10" fillId="0" borderId="7" xfId="0" applyNumberFormat="1" applyFont="1" applyBorder="1"/>
    <xf numFmtId="0" fontId="7" fillId="0" borderId="2" xfId="0" applyFont="1" applyBorder="1"/>
    <xf numFmtId="17" fontId="16" fillId="0" borderId="0" xfId="0" applyNumberFormat="1" applyFont="1"/>
    <xf numFmtId="0" fontId="13" fillId="0" borderId="0" xfId="0" applyFont="1"/>
    <xf numFmtId="17" fontId="20" fillId="0" borderId="0" xfId="0" applyNumberFormat="1" applyFont="1"/>
    <xf numFmtId="17" fontId="14" fillId="0" borderId="0" xfId="0" applyNumberFormat="1" applyFont="1"/>
    <xf numFmtId="17" fontId="16" fillId="0" borderId="0" xfId="0" applyNumberFormat="1" applyFont="1" applyBorder="1"/>
    <xf numFmtId="0" fontId="16" fillId="0" borderId="0" xfId="0" applyFont="1"/>
    <xf numFmtId="0" fontId="16" fillId="0" borderId="0" xfId="0" applyFont="1" applyBorder="1"/>
    <xf numFmtId="0" fontId="14" fillId="0" borderId="0" xfId="0" applyFont="1"/>
    <xf numFmtId="3" fontId="14" fillId="0" borderId="0" xfId="0" applyNumberFormat="1" applyFont="1" applyBorder="1"/>
    <xf numFmtId="10" fontId="14" fillId="0" borderId="0" xfId="3" applyNumberFormat="1" applyFont="1" applyBorder="1"/>
    <xf numFmtId="0" fontId="10" fillId="0" borderId="0" xfId="0" applyFont="1" applyBorder="1" applyAlignment="1">
      <alignment horizontal="center"/>
    </xf>
    <xf numFmtId="3" fontId="7" fillId="0" borderId="0" xfId="0" applyNumberFormat="1" applyFont="1"/>
    <xf numFmtId="10" fontId="7" fillId="0" borderId="0" xfId="3" applyNumberFormat="1" applyFont="1"/>
    <xf numFmtId="10" fontId="7" fillId="0" borderId="0" xfId="3" applyNumberFormat="1" applyFont="1" applyBorder="1"/>
    <xf numFmtId="0" fontId="12" fillId="0" borderId="0" xfId="0" applyFont="1"/>
    <xf numFmtId="10" fontId="7" fillId="0" borderId="2" xfId="3" applyNumberFormat="1" applyFont="1" applyBorder="1"/>
    <xf numFmtId="10" fontId="7" fillId="0" borderId="5" xfId="3" applyNumberFormat="1" applyFont="1" applyBorder="1"/>
    <xf numFmtId="0" fontId="7" fillId="0" borderId="2" xfId="0" applyFont="1" applyBorder="1" applyAlignment="1">
      <alignment horizontal="center"/>
    </xf>
    <xf numFmtId="10" fontId="7" fillId="0" borderId="2" xfId="3" applyNumberFormat="1" applyFont="1" applyBorder="1" applyAlignment="1">
      <alignment horizontal="center"/>
    </xf>
    <xf numFmtId="17" fontId="25" fillId="2" borderId="0" xfId="0" applyNumberFormat="1" applyFont="1" applyFill="1" applyAlignment="1">
      <alignment vertical="center"/>
    </xf>
    <xf numFmtId="0" fontId="13" fillId="0" borderId="0" xfId="0" applyFont="1" applyAlignment="1">
      <alignment horizontal="centerContinuous"/>
    </xf>
    <xf numFmtId="3" fontId="13" fillId="0" borderId="0" xfId="0" applyNumberFormat="1" applyFont="1"/>
    <xf numFmtId="0" fontId="13" fillId="0" borderId="0" xfId="0" applyFont="1" applyAlignment="1">
      <alignment horizontal="left"/>
    </xf>
    <xf numFmtId="3" fontId="13" fillId="0" borderId="0" xfId="0" applyNumberFormat="1" applyFont="1" applyBorder="1"/>
    <xf numFmtId="17" fontId="24" fillId="0" borderId="0" xfId="0" applyNumberFormat="1" applyFont="1" applyFill="1" applyAlignment="1">
      <alignment vertical="center"/>
    </xf>
    <xf numFmtId="0" fontId="13" fillId="0" borderId="0" xfId="0" applyFont="1" applyFill="1"/>
    <xf numFmtId="17" fontId="26" fillId="4" borderId="0" xfId="0" applyNumberFormat="1" applyFont="1" applyFill="1" applyAlignment="1">
      <alignment vertical="center"/>
    </xf>
    <xf numFmtId="17" fontId="27" fillId="4" borderId="0" xfId="0" applyNumberFormat="1" applyFont="1" applyFill="1" applyAlignment="1">
      <alignment vertical="center"/>
    </xf>
    <xf numFmtId="17" fontId="28" fillId="4" borderId="0" xfId="0" applyNumberFormat="1" applyFont="1" applyFill="1" applyAlignment="1">
      <alignment horizontal="center" vertical="center"/>
    </xf>
    <xf numFmtId="1" fontId="29" fillId="4" borderId="0" xfId="0" applyNumberFormat="1" applyFont="1" applyFill="1" applyAlignment="1">
      <alignment horizontal="center"/>
    </xf>
    <xf numFmtId="3" fontId="29" fillId="4" borderId="0" xfId="0" applyNumberFormat="1" applyFont="1" applyFill="1"/>
    <xf numFmtId="3" fontId="29" fillId="4" borderId="0" xfId="0" applyNumberFormat="1" applyFont="1" applyFill="1" applyAlignment="1">
      <alignment horizontal="center"/>
    </xf>
    <xf numFmtId="17" fontId="12" fillId="4" borderId="0" xfId="0" applyNumberFormat="1" applyFont="1" applyFill="1"/>
    <xf numFmtId="17" fontId="22" fillId="4" borderId="0" xfId="0" applyNumberFormat="1" applyFont="1" applyFill="1"/>
    <xf numFmtId="17" fontId="30" fillId="4" borderId="0" xfId="0" applyNumberFormat="1" applyFont="1" applyFill="1" applyAlignment="1">
      <alignment vertical="center"/>
    </xf>
    <xf numFmtId="0" fontId="7" fillId="0" borderId="0" xfId="0" applyFont="1"/>
    <xf numFmtId="0" fontId="31" fillId="0" borderId="0" xfId="0" applyFont="1"/>
    <xf numFmtId="17" fontId="28" fillId="4" borderId="0" xfId="0" applyNumberFormat="1" applyFont="1" applyFill="1"/>
    <xf numFmtId="1" fontId="28" fillId="4" borderId="0" xfId="0" applyNumberFormat="1" applyFont="1" applyFill="1" applyAlignment="1">
      <alignment horizontal="center"/>
    </xf>
    <xf numFmtId="3" fontId="28" fillId="4" borderId="0" xfId="0" applyNumberFormat="1" applyFont="1" applyFill="1"/>
    <xf numFmtId="1" fontId="28" fillId="4" borderId="0" xfId="0" applyNumberFormat="1" applyFont="1" applyFill="1" applyAlignment="1"/>
    <xf numFmtId="4" fontId="28" fillId="4" borderId="0" xfId="0" applyNumberFormat="1" applyFont="1" applyFill="1" applyAlignment="1">
      <alignment horizontal="center"/>
    </xf>
    <xf numFmtId="10" fontId="28" fillId="4" borderId="0" xfId="3" applyNumberFormat="1" applyFont="1" applyFill="1" applyAlignment="1">
      <alignment horizontal="center"/>
    </xf>
    <xf numFmtId="17" fontId="28" fillId="4" borderId="0" xfId="0" applyNumberFormat="1" applyFont="1" applyFill="1" applyAlignment="1">
      <alignment horizontal="center"/>
    </xf>
    <xf numFmtId="10" fontId="13" fillId="0" borderId="0" xfId="3" applyNumberFormat="1" applyFont="1"/>
    <xf numFmtId="10" fontId="18" fillId="0" borderId="0" xfId="3" applyNumberFormat="1" applyFont="1"/>
    <xf numFmtId="17" fontId="18" fillId="0" borderId="2" xfId="0" applyNumberFormat="1" applyFont="1" applyBorder="1"/>
    <xf numFmtId="0" fontId="18" fillId="0" borderId="2" xfId="0" applyFont="1" applyBorder="1"/>
    <xf numFmtId="10" fontId="18" fillId="0" borderId="2" xfId="3" applyNumberFormat="1" applyFont="1" applyBorder="1"/>
    <xf numFmtId="3" fontId="20" fillId="0" borderId="0" xfId="0" applyNumberFormat="1" applyFont="1"/>
    <xf numFmtId="0" fontId="20" fillId="0" borderId="0" xfId="0" applyFont="1"/>
    <xf numFmtId="10" fontId="18" fillId="0" borderId="0" xfId="3" applyNumberFormat="1" applyFont="1" applyBorder="1"/>
    <xf numFmtId="0" fontId="18" fillId="0" borderId="0" xfId="0" applyFont="1" applyBorder="1"/>
    <xf numFmtId="164" fontId="21" fillId="0" borderId="0" xfId="0" applyNumberFormat="1" applyFont="1" applyBorder="1" applyAlignment="1">
      <alignment horizontal="center"/>
    </xf>
    <xf numFmtId="10" fontId="20" fillId="0" borderId="0" xfId="3" applyNumberFormat="1" applyFont="1"/>
    <xf numFmtId="3" fontId="18" fillId="0" borderId="0" xfId="0" applyNumberFormat="1" applyFont="1" applyFill="1"/>
    <xf numFmtId="164" fontId="14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3" fontId="10" fillId="0" borderId="0" xfId="0" applyNumberFormat="1" applyFont="1"/>
    <xf numFmtId="164" fontId="10" fillId="0" borderId="0" xfId="0" applyNumberFormat="1" applyFont="1" applyBorder="1" applyAlignment="1">
      <alignment horizontal="center"/>
    </xf>
    <xf numFmtId="1" fontId="29" fillId="4" borderId="0" xfId="0" applyNumberFormat="1" applyFont="1" applyFill="1" applyAlignment="1">
      <alignment horizontal="center" vertical="center"/>
    </xf>
    <xf numFmtId="3" fontId="29" fillId="4" borderId="0" xfId="0" applyNumberFormat="1" applyFont="1" applyFill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/>
    </xf>
    <xf numFmtId="0" fontId="34" fillId="0" borderId="0" xfId="0" applyFont="1" applyFill="1"/>
    <xf numFmtId="0" fontId="34" fillId="0" borderId="0" xfId="0" applyFont="1" applyFill="1" applyBorder="1"/>
    <xf numFmtId="0" fontId="33" fillId="0" borderId="0" xfId="0" applyFont="1" applyFill="1" applyBorder="1" applyAlignment="1">
      <alignment horizontal="center"/>
    </xf>
    <xf numFmtId="0" fontId="34" fillId="0" borderId="0" xfId="0" applyFont="1" applyFill="1" applyBorder="1" applyAlignment="1"/>
    <xf numFmtId="0" fontId="33" fillId="0" borderId="0" xfId="0" applyFont="1" applyFill="1" applyBorder="1" applyAlignment="1">
      <alignment horizontal="left"/>
    </xf>
    <xf numFmtId="3" fontId="33" fillId="0" borderId="0" xfId="0" applyNumberFormat="1" applyFont="1" applyFill="1" applyBorder="1"/>
    <xf numFmtId="3" fontId="34" fillId="0" borderId="0" xfId="0" applyNumberFormat="1" applyFont="1" applyFill="1" applyBorder="1" applyAlignment="1">
      <alignment horizontal="center"/>
    </xf>
    <xf numFmtId="3" fontId="34" fillId="0" borderId="0" xfId="0" applyNumberFormat="1" applyFont="1" applyFill="1" applyBorder="1"/>
    <xf numFmtId="49" fontId="33" fillId="0" borderId="0" xfId="0" applyNumberFormat="1" applyFont="1" applyFill="1" applyBorder="1" applyAlignment="1">
      <alignment horizontal="left"/>
    </xf>
    <xf numFmtId="49" fontId="33" fillId="7" borderId="0" xfId="0" applyNumberFormat="1" applyFont="1" applyFill="1" applyBorder="1" applyAlignment="1">
      <alignment horizontal="center"/>
    </xf>
    <xf numFmtId="17" fontId="26" fillId="4" borderId="0" xfId="0" applyNumberFormat="1" applyFont="1" applyFill="1" applyAlignment="1">
      <alignment horizontal="left" vertical="center"/>
    </xf>
    <xf numFmtId="3" fontId="34" fillId="7" borderId="0" xfId="2" applyNumberFormat="1" applyFont="1" applyFill="1" applyBorder="1" applyAlignment="1">
      <alignment horizontal="center"/>
    </xf>
    <xf numFmtId="0" fontId="34" fillId="7" borderId="0" xfId="0" applyFont="1" applyFill="1" applyBorder="1" applyAlignment="1">
      <alignment wrapText="1"/>
    </xf>
    <xf numFmtId="3" fontId="12" fillId="4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18" fillId="3" borderId="0" xfId="0" applyFont="1" applyFill="1" applyAlignment="1">
      <alignment horizontal="center"/>
    </xf>
    <xf numFmtId="0" fontId="18" fillId="3" borderId="0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9" fontId="18" fillId="3" borderId="0" xfId="3" applyFont="1" applyFill="1" applyAlignment="1">
      <alignment horizontal="center"/>
    </xf>
    <xf numFmtId="43" fontId="18" fillId="3" borderId="0" xfId="2" applyFont="1" applyFill="1" applyAlignment="1">
      <alignment horizontal="center"/>
    </xf>
    <xf numFmtId="0" fontId="44" fillId="0" borderId="0" xfId="0" applyFont="1"/>
    <xf numFmtId="0" fontId="43" fillId="0" borderId="0" xfId="0" applyFont="1"/>
    <xf numFmtId="0" fontId="34" fillId="0" borderId="0" xfId="0" applyFont="1" applyFill="1" applyBorder="1" applyAlignment="1">
      <alignment horizontal="center"/>
    </xf>
    <xf numFmtId="3" fontId="33" fillId="7" borderId="0" xfId="0" applyNumberFormat="1" applyFont="1" applyFill="1" applyBorder="1" applyAlignment="1">
      <alignment horizontal="center"/>
    </xf>
    <xf numFmtId="0" fontId="33" fillId="0" borderId="0" xfId="0" applyFont="1" applyFill="1" applyBorder="1"/>
    <xf numFmtId="169" fontId="34" fillId="0" borderId="0" xfId="2" applyNumberFormat="1" applyFont="1" applyFill="1" applyBorder="1" applyAlignment="1">
      <alignment horizontal="right"/>
    </xf>
    <xf numFmtId="10" fontId="34" fillId="0" borderId="0" xfId="0" applyNumberFormat="1" applyFont="1" applyFill="1" applyBorder="1"/>
    <xf numFmtId="169" fontId="34" fillId="0" borderId="0" xfId="2" applyNumberFormat="1" applyFont="1" applyFill="1" applyBorder="1"/>
    <xf numFmtId="0" fontId="34" fillId="0" borderId="11" xfId="0" applyFont="1" applyFill="1" applyBorder="1"/>
    <xf numFmtId="169" fontId="34" fillId="0" borderId="10" xfId="2" applyNumberFormat="1" applyFont="1" applyFill="1" applyBorder="1" applyAlignment="1">
      <alignment horizontal="right"/>
    </xf>
    <xf numFmtId="169" fontId="33" fillId="0" borderId="10" xfId="2" applyNumberFormat="1" applyFont="1" applyFill="1" applyBorder="1" applyAlignment="1">
      <alignment horizontal="right"/>
    </xf>
    <xf numFmtId="169" fontId="33" fillId="0" borderId="0" xfId="2" applyNumberFormat="1" applyFont="1" applyFill="1" applyBorder="1" applyAlignment="1">
      <alignment horizontal="right"/>
    </xf>
    <xf numFmtId="10" fontId="34" fillId="0" borderId="0" xfId="3" applyNumberFormat="1" applyFont="1" applyFill="1" applyBorder="1" applyAlignment="1">
      <alignment horizontal="center"/>
    </xf>
    <xf numFmtId="0" fontId="34" fillId="0" borderId="11" xfId="0" applyFont="1" applyFill="1" applyBorder="1" applyAlignment="1">
      <alignment horizontal="center"/>
    </xf>
    <xf numFmtId="0" fontId="34" fillId="0" borderId="3" xfId="0" applyFont="1" applyFill="1" applyBorder="1" applyAlignment="1"/>
    <xf numFmtId="0" fontId="34" fillId="0" borderId="3" xfId="0" applyFont="1" applyFill="1" applyBorder="1" applyAlignment="1">
      <alignment horizontal="center"/>
    </xf>
    <xf numFmtId="3" fontId="34" fillId="0" borderId="0" xfId="0" applyNumberFormat="1" applyFont="1" applyFill="1"/>
    <xf numFmtId="49" fontId="34" fillId="7" borderId="10" xfId="0" applyNumberFormat="1" applyFont="1" applyFill="1" applyBorder="1" applyAlignment="1">
      <alignment horizontal="left"/>
    </xf>
    <xf numFmtId="3" fontId="34" fillId="7" borderId="10" xfId="2" applyNumberFormat="1" applyFont="1" applyFill="1" applyBorder="1" applyAlignment="1">
      <alignment horizontal="center"/>
    </xf>
    <xf numFmtId="3" fontId="34" fillId="7" borderId="10" xfId="0" applyNumberFormat="1" applyFont="1" applyFill="1" applyBorder="1" applyAlignment="1">
      <alignment horizontal="center"/>
    </xf>
    <xf numFmtId="3" fontId="34" fillId="7" borderId="13" xfId="2" applyNumberFormat="1" applyFont="1" applyFill="1" applyBorder="1" applyAlignment="1">
      <alignment horizontal="center"/>
    </xf>
    <xf numFmtId="49" fontId="33" fillId="7" borderId="0" xfId="0" applyNumberFormat="1" applyFont="1" applyFill="1" applyBorder="1" applyAlignment="1">
      <alignment horizontal="left"/>
    </xf>
    <xf numFmtId="49" fontId="33" fillId="7" borderId="10" xfId="0" applyNumberFormat="1" applyFont="1" applyFill="1" applyBorder="1" applyAlignment="1">
      <alignment horizontal="center"/>
    </xf>
    <xf numFmtId="0" fontId="34" fillId="7" borderId="10" xfId="0" applyFont="1" applyFill="1" applyBorder="1" applyAlignment="1">
      <alignment wrapText="1"/>
    </xf>
    <xf numFmtId="167" fontId="34" fillId="7" borderId="10" xfId="2" applyNumberFormat="1" applyFont="1" applyFill="1" applyBorder="1" applyAlignment="1">
      <alignment horizontal="center"/>
    </xf>
    <xf numFmtId="0" fontId="34" fillId="7" borderId="0" xfId="0" applyFont="1" applyFill="1"/>
    <xf numFmtId="167" fontId="34" fillId="7" borderId="0" xfId="2" applyNumberFormat="1" applyFont="1" applyFill="1"/>
    <xf numFmtId="0" fontId="34" fillId="7" borderId="0" xfId="0" applyFont="1" applyFill="1" applyAlignment="1">
      <alignment horizontal="center"/>
    </xf>
    <xf numFmtId="0" fontId="34" fillId="7" borderId="13" xfId="0" applyFont="1" applyFill="1" applyBorder="1" applyAlignment="1">
      <alignment horizontal="left" wrapText="1"/>
    </xf>
    <xf numFmtId="17" fontId="44" fillId="0" borderId="0" xfId="0" applyNumberFormat="1" applyFont="1" applyFill="1"/>
    <xf numFmtId="0" fontId="44" fillId="0" borderId="0" xfId="0" applyFont="1" applyFill="1"/>
    <xf numFmtId="0" fontId="34" fillId="0" borderId="10" xfId="0" applyFont="1" applyFill="1" applyBorder="1" applyAlignment="1">
      <alignment horizontal="left"/>
    </xf>
    <xf numFmtId="0" fontId="0" fillId="0" borderId="0" xfId="0"/>
    <xf numFmtId="3" fontId="34" fillId="7" borderId="10" xfId="2" applyNumberFormat="1" applyFont="1" applyFill="1" applyBorder="1" applyAlignment="1">
      <alignment horizontal="right"/>
    </xf>
    <xf numFmtId="169" fontId="34" fillId="7" borderId="10" xfId="2" applyNumberFormat="1" applyFont="1" applyFill="1" applyBorder="1" applyAlignment="1">
      <alignment horizontal="right"/>
    </xf>
    <xf numFmtId="10" fontId="34" fillId="7" borderId="10" xfId="3" applyNumberFormat="1" applyFont="1" applyFill="1" applyBorder="1" applyAlignment="1">
      <alignment horizontal="center"/>
    </xf>
    <xf numFmtId="0" fontId="33" fillId="7" borderId="10" xfId="0" applyFont="1" applyFill="1" applyBorder="1" applyAlignment="1">
      <alignment horizontal="left"/>
    </xf>
    <xf numFmtId="169" fontId="33" fillId="7" borderId="10" xfId="2" applyNumberFormat="1" applyFont="1" applyFill="1" applyBorder="1" applyAlignment="1">
      <alignment horizontal="right"/>
    </xf>
    <xf numFmtId="169" fontId="34" fillId="7" borderId="10" xfId="2" applyNumberFormat="1" applyFont="1" applyFill="1" applyBorder="1" applyAlignment="1">
      <alignment horizontal="center"/>
    </xf>
    <xf numFmtId="49" fontId="45" fillId="0" borderId="0" xfId="0" applyNumberFormat="1" applyFont="1" applyFill="1" applyBorder="1" applyAlignment="1">
      <alignment horizontal="left"/>
    </xf>
    <xf numFmtId="49" fontId="33" fillId="7" borderId="18" xfId="0" applyNumberFormat="1" applyFont="1" applyFill="1" applyBorder="1" applyAlignment="1">
      <alignment horizontal="left"/>
    </xf>
    <xf numFmtId="3" fontId="33" fillId="7" borderId="19" xfId="0" applyNumberFormat="1" applyFont="1" applyFill="1" applyBorder="1" applyAlignment="1">
      <alignment horizontal="center"/>
    </xf>
    <xf numFmtId="49" fontId="33" fillId="7" borderId="20" xfId="0" applyNumberFormat="1" applyFont="1" applyFill="1" applyBorder="1" applyAlignment="1">
      <alignment horizontal="center"/>
    </xf>
    <xf numFmtId="49" fontId="33" fillId="7" borderId="21" xfId="0" applyNumberFormat="1" applyFont="1" applyFill="1" applyBorder="1" applyAlignment="1">
      <alignment horizontal="center"/>
    </xf>
    <xf numFmtId="0" fontId="34" fillId="7" borderId="10" xfId="0" applyFont="1" applyFill="1" applyBorder="1" applyAlignment="1">
      <alignment horizontal="left" wrapText="1"/>
    </xf>
    <xf numFmtId="3" fontId="33" fillId="0" borderId="20" xfId="2" applyNumberFormat="1" applyFont="1" applyFill="1" applyBorder="1" applyAlignment="1">
      <alignment horizontal="center"/>
    </xf>
    <xf numFmtId="3" fontId="33" fillId="0" borderId="21" xfId="2" applyNumberFormat="1" applyFont="1" applyFill="1" applyBorder="1" applyAlignment="1">
      <alignment horizontal="center"/>
    </xf>
    <xf numFmtId="3" fontId="33" fillId="0" borderId="19" xfId="2" applyNumberFormat="1" applyFont="1" applyFill="1" applyBorder="1" applyAlignment="1">
      <alignment horizontal="center"/>
    </xf>
    <xf numFmtId="0" fontId="33" fillId="3" borderId="18" xfId="0" applyFont="1" applyFill="1" applyBorder="1" applyAlignment="1">
      <alignment horizontal="left" wrapText="1"/>
    </xf>
    <xf numFmtId="0" fontId="34" fillId="0" borderId="10" xfId="0" applyFont="1" applyFill="1" applyBorder="1" applyAlignment="1"/>
    <xf numFmtId="0" fontId="33" fillId="0" borderId="12" xfId="0" applyFont="1" applyFill="1" applyBorder="1" applyAlignment="1">
      <alignment horizontal="left"/>
    </xf>
    <xf numFmtId="0" fontId="34" fillId="7" borderId="10" xfId="0" applyFont="1" applyFill="1" applyBorder="1" applyAlignment="1">
      <alignment horizontal="center"/>
    </xf>
    <xf numFmtId="0" fontId="34" fillId="0" borderId="10" xfId="0" applyFont="1" applyFill="1" applyBorder="1"/>
    <xf numFmtId="0" fontId="33" fillId="0" borderId="10" xfId="0" applyFont="1" applyFill="1" applyBorder="1" applyAlignment="1">
      <alignment horizontal="left"/>
    </xf>
    <xf numFmtId="0" fontId="34" fillId="7" borderId="10" xfId="0" applyFont="1" applyFill="1" applyBorder="1" applyAlignment="1"/>
    <xf numFmtId="0" fontId="34" fillId="0" borderId="10" xfId="0" applyFont="1" applyFill="1" applyBorder="1" applyAlignment="1">
      <alignment horizontal="left" wrapText="1"/>
    </xf>
    <xf numFmtId="0" fontId="33" fillId="8" borderId="17" xfId="6" applyFont="1" applyAlignment="1">
      <alignment horizontal="center" vertical="center" wrapText="1"/>
    </xf>
    <xf numFmtId="3" fontId="33" fillId="8" borderId="17" xfId="6" applyNumberFormat="1" applyFont="1" applyAlignment="1">
      <alignment horizontal="center" vertical="center" wrapText="1"/>
    </xf>
    <xf numFmtId="3" fontId="33" fillId="8" borderId="17" xfId="6" applyNumberFormat="1" applyFont="1" applyAlignment="1">
      <alignment horizontal="center" vertical="center"/>
    </xf>
    <xf numFmtId="167" fontId="34" fillId="7" borderId="0" xfId="2" applyNumberFormat="1" applyFont="1" applyFill="1" applyBorder="1" applyAlignment="1">
      <alignment horizontal="center"/>
    </xf>
    <xf numFmtId="3" fontId="47" fillId="7" borderId="0" xfId="2" applyNumberFormat="1" applyFont="1" applyFill="1" applyBorder="1" applyAlignment="1">
      <alignment horizontal="center"/>
    </xf>
    <xf numFmtId="0" fontId="47" fillId="0" borderId="0" xfId="0" applyFont="1" applyFill="1"/>
    <xf numFmtId="0" fontId="48" fillId="0" borderId="0" xfId="0" applyFont="1" applyFill="1" applyAlignment="1">
      <alignment horizontal="left"/>
    </xf>
    <xf numFmtId="0" fontId="33" fillId="0" borderId="0" xfId="0" applyFont="1" applyFill="1" applyAlignment="1">
      <alignment horizontal="center"/>
    </xf>
    <xf numFmtId="169" fontId="33" fillId="0" borderId="0" xfId="2" applyNumberFormat="1" applyFont="1" applyFill="1" applyAlignment="1">
      <alignment horizontal="center"/>
    </xf>
    <xf numFmtId="0" fontId="38" fillId="10" borderId="17" xfId="6" applyFont="1" applyFill="1" applyAlignment="1">
      <alignment horizontal="center" vertical="center"/>
    </xf>
    <xf numFmtId="0" fontId="38" fillId="10" borderId="17" xfId="6" applyFont="1" applyFill="1" applyAlignment="1">
      <alignment horizontal="center" vertical="center" wrapText="1"/>
    </xf>
    <xf numFmtId="169" fontId="38" fillId="10" borderId="17" xfId="2" applyNumberFormat="1" applyFont="1" applyFill="1" applyBorder="1" applyAlignment="1">
      <alignment horizontal="center" vertical="center" wrapText="1"/>
    </xf>
    <xf numFmtId="0" fontId="33" fillId="10" borderId="17" xfId="6" applyFont="1" applyFill="1" applyAlignment="1">
      <alignment horizontal="center" vertical="center" wrapText="1"/>
    </xf>
    <xf numFmtId="169" fontId="34" fillId="7" borderId="10" xfId="2" applyNumberFormat="1" applyFont="1" applyFill="1" applyBorder="1"/>
    <xf numFmtId="14" fontId="34" fillId="7" borderId="10" xfId="0" applyNumberFormat="1" applyFont="1" applyFill="1" applyBorder="1" applyAlignment="1">
      <alignment horizontal="center"/>
    </xf>
    <xf numFmtId="0" fontId="33" fillId="10" borderId="10" xfId="0" applyFont="1" applyFill="1" applyBorder="1" applyAlignment="1">
      <alignment horizontal="left"/>
    </xf>
    <xf numFmtId="169" fontId="33" fillId="10" borderId="10" xfId="2" applyNumberFormat="1" applyFont="1" applyFill="1" applyBorder="1" applyAlignment="1">
      <alignment horizontal="right"/>
    </xf>
    <xf numFmtId="169" fontId="33" fillId="10" borderId="10" xfId="2" applyNumberFormat="1" applyFont="1" applyFill="1" applyBorder="1"/>
    <xf numFmtId="169" fontId="34" fillId="0" borderId="0" xfId="2" applyNumberFormat="1" applyFont="1" applyFill="1"/>
    <xf numFmtId="43" fontId="34" fillId="0" borderId="0" xfId="2" applyFont="1" applyFill="1"/>
    <xf numFmtId="170" fontId="10" fillId="0" borderId="1" xfId="0" applyNumberFormat="1" applyFont="1" applyBorder="1" applyAlignment="1">
      <alignment horizontal="right"/>
    </xf>
    <xf numFmtId="170" fontId="10" fillId="0" borderId="0" xfId="0" applyNumberFormat="1" applyFont="1" applyBorder="1" applyAlignment="1">
      <alignment horizontal="right"/>
    </xf>
    <xf numFmtId="170" fontId="28" fillId="4" borderId="0" xfId="0" applyNumberFormat="1" applyFont="1" applyFill="1"/>
    <xf numFmtId="170" fontId="28" fillId="4" borderId="0" xfId="0" applyNumberFormat="1" applyFont="1" applyFill="1" applyAlignment="1">
      <alignment horizontal="center"/>
    </xf>
    <xf numFmtId="170" fontId="28" fillId="4" borderId="0" xfId="0" applyNumberFormat="1" applyFont="1" applyFill="1" applyAlignment="1"/>
    <xf numFmtId="170" fontId="10" fillId="0" borderId="3" xfId="0" applyNumberFormat="1" applyFont="1" applyBorder="1" applyAlignment="1">
      <alignment horizontal="right"/>
    </xf>
    <xf numFmtId="170" fontId="7" fillId="0" borderId="2" xfId="0" applyNumberFormat="1" applyFont="1" applyBorder="1" applyAlignment="1">
      <alignment horizontal="right"/>
    </xf>
    <xf numFmtId="170" fontId="7" fillId="0" borderId="0" xfId="0" applyNumberFormat="1" applyFont="1" applyAlignment="1">
      <alignment horizontal="right"/>
    </xf>
    <xf numFmtId="170" fontId="7" fillId="0" borderId="0" xfId="0" applyNumberFormat="1" applyFont="1" applyBorder="1" applyAlignment="1">
      <alignment horizontal="right"/>
    </xf>
    <xf numFmtId="170" fontId="7" fillId="0" borderId="4" xfId="0" applyNumberFormat="1" applyFont="1" applyBorder="1" applyAlignment="1">
      <alignment horizontal="right"/>
    </xf>
    <xf numFmtId="170" fontId="18" fillId="0" borderId="2" xfId="0" applyNumberFormat="1" applyFont="1" applyBorder="1" applyAlignment="1">
      <alignment horizontal="right"/>
    </xf>
    <xf numFmtId="170" fontId="18" fillId="0" borderId="0" xfId="0" applyNumberFormat="1" applyFont="1" applyAlignment="1">
      <alignment horizontal="right"/>
    </xf>
    <xf numFmtId="170" fontId="18" fillId="0" borderId="0" xfId="0" applyNumberFormat="1" applyFont="1" applyFill="1" applyAlignment="1">
      <alignment horizontal="right"/>
    </xf>
    <xf numFmtId="170" fontId="18" fillId="0" borderId="0" xfId="3" applyNumberFormat="1" applyFont="1" applyBorder="1" applyAlignment="1">
      <alignment horizontal="right"/>
    </xf>
    <xf numFmtId="49" fontId="49" fillId="7" borderId="0" xfId="0" applyNumberFormat="1" applyFont="1" applyFill="1" applyBorder="1" applyAlignment="1">
      <alignment horizontal="left"/>
    </xf>
    <xf numFmtId="49" fontId="49" fillId="7" borderId="0" xfId="0" applyNumberFormat="1" applyFont="1" applyFill="1" applyBorder="1" applyAlignment="1">
      <alignment horizontal="center"/>
    </xf>
    <xf numFmtId="3" fontId="49" fillId="7" borderId="0" xfId="0" applyNumberFormat="1" applyFont="1" applyFill="1" applyBorder="1" applyAlignment="1">
      <alignment horizontal="center"/>
    </xf>
    <xf numFmtId="0" fontId="32" fillId="7" borderId="0" xfId="0" applyFont="1" applyFill="1" applyBorder="1" applyAlignment="1">
      <alignment wrapText="1"/>
    </xf>
    <xf numFmtId="3" fontId="32" fillId="7" borderId="0" xfId="2" applyNumberFormat="1" applyFont="1" applyFill="1" applyBorder="1" applyAlignment="1">
      <alignment horizontal="center"/>
    </xf>
    <xf numFmtId="167" fontId="32" fillId="7" borderId="0" xfId="2" applyNumberFormat="1" applyFont="1" applyFill="1" applyBorder="1" applyAlignment="1">
      <alignment horizontal="center"/>
    </xf>
    <xf numFmtId="0" fontId="32" fillId="7" borderId="0" xfId="0" applyFont="1" applyFill="1" applyBorder="1"/>
    <xf numFmtId="169" fontId="32" fillId="7" borderId="0" xfId="2" applyNumberFormat="1" applyFont="1" applyFill="1" applyBorder="1"/>
    <xf numFmtId="0" fontId="49" fillId="7" borderId="0" xfId="0" applyFont="1" applyFill="1" applyBorder="1" applyAlignment="1">
      <alignment horizontal="center"/>
    </xf>
    <xf numFmtId="169" fontId="49" fillId="7" borderId="0" xfId="2" applyNumberFormat="1" applyFont="1" applyFill="1" applyBorder="1" applyAlignment="1">
      <alignment horizontal="right"/>
    </xf>
    <xf numFmtId="10" fontId="32" fillId="7" borderId="0" xfId="3" applyNumberFormat="1" applyFont="1" applyFill="1" applyBorder="1" applyAlignment="1">
      <alignment horizontal="center"/>
    </xf>
    <xf numFmtId="17" fontId="14" fillId="7" borderId="0" xfId="0" applyNumberFormat="1" applyFont="1" applyFill="1" applyBorder="1"/>
    <xf numFmtId="3" fontId="32" fillId="7" borderId="0" xfId="0" applyNumberFormat="1" applyFont="1" applyFill="1" applyBorder="1" applyAlignment="1">
      <alignment horizontal="center"/>
    </xf>
    <xf numFmtId="0" fontId="7" fillId="7" borderId="0" xfId="0" applyFont="1" applyFill="1" applyBorder="1"/>
    <xf numFmtId="17" fontId="7" fillId="7" borderId="0" xfId="0" applyNumberFormat="1" applyFont="1" applyFill="1" applyBorder="1"/>
    <xf numFmtId="3" fontId="50" fillId="7" borderId="0" xfId="0" applyNumberFormat="1" applyFont="1" applyFill="1" applyBorder="1" applyAlignment="1">
      <alignment horizontal="center" vertical="center" wrapText="1"/>
    </xf>
    <xf numFmtId="0" fontId="32" fillId="7" borderId="0" xfId="0" applyFont="1" applyFill="1" applyBorder="1" applyAlignment="1">
      <alignment horizontal="left"/>
    </xf>
    <xf numFmtId="169" fontId="32" fillId="7" borderId="0" xfId="2" applyNumberFormat="1" applyFont="1" applyFill="1" applyBorder="1" applyAlignment="1">
      <alignment horizontal="right"/>
    </xf>
    <xf numFmtId="3" fontId="32" fillId="7" borderId="0" xfId="2" applyNumberFormat="1" applyFont="1" applyFill="1" applyBorder="1" applyAlignment="1">
      <alignment horizontal="right"/>
    </xf>
    <xf numFmtId="14" fontId="32" fillId="7" borderId="0" xfId="0" applyNumberFormat="1" applyFont="1" applyFill="1" applyBorder="1" applyAlignment="1">
      <alignment horizontal="center"/>
    </xf>
    <xf numFmtId="3" fontId="50" fillId="7" borderId="0" xfId="0" applyNumberFormat="1" applyFont="1" applyFill="1" applyBorder="1" applyAlignment="1">
      <alignment horizontal="left" vertical="center" wrapText="1"/>
    </xf>
    <xf numFmtId="3" fontId="50" fillId="7" borderId="0" xfId="0" applyNumberFormat="1" applyFont="1" applyFill="1" applyBorder="1" applyAlignment="1">
      <alignment horizontal="right" vertical="center" wrapText="1"/>
    </xf>
    <xf numFmtId="3" fontId="7" fillId="7" borderId="0" xfId="0" applyNumberFormat="1" applyFont="1" applyFill="1" applyBorder="1"/>
    <xf numFmtId="10" fontId="7" fillId="7" borderId="0" xfId="3" applyNumberFormat="1" applyFont="1" applyFill="1" applyBorder="1"/>
    <xf numFmtId="43" fontId="32" fillId="7" borderId="0" xfId="2" applyFont="1" applyFill="1" applyBorder="1"/>
    <xf numFmtId="49" fontId="32" fillId="7" borderId="0" xfId="0" applyNumberFormat="1" applyFont="1" applyFill="1" applyBorder="1" applyAlignment="1">
      <alignment horizontal="left"/>
    </xf>
    <xf numFmtId="169" fontId="32" fillId="7" borderId="0" xfId="2" applyNumberFormat="1" applyFont="1" applyFill="1" applyBorder="1" applyAlignment="1">
      <alignment horizontal="center"/>
    </xf>
    <xf numFmtId="49" fontId="49" fillId="7" borderId="0" xfId="4" applyNumberFormat="1" applyFont="1" applyFill="1" applyBorder="1" applyAlignment="1"/>
    <xf numFmtId="170" fontId="7" fillId="0" borderId="0" xfId="0" applyNumberFormat="1" applyFont="1"/>
    <xf numFmtId="17" fontId="7" fillId="0" borderId="0" xfId="0" applyNumberFormat="1" applyFont="1"/>
    <xf numFmtId="17" fontId="18" fillId="0" borderId="0" xfId="0" applyNumberFormat="1" applyFont="1"/>
    <xf numFmtId="3" fontId="18" fillId="0" borderId="0" xfId="0" applyNumberFormat="1" applyFont="1"/>
    <xf numFmtId="0" fontId="7" fillId="0" borderId="0" xfId="0" applyFont="1" applyFill="1"/>
    <xf numFmtId="10" fontId="7" fillId="0" borderId="0" xfId="0" applyNumberFormat="1" applyFont="1"/>
    <xf numFmtId="164" fontId="17" fillId="0" borderId="0" xfId="0" applyNumberFormat="1" applyFont="1" applyBorder="1" applyAlignment="1">
      <alignment horizontal="center"/>
    </xf>
    <xf numFmtId="0" fontId="18" fillId="3" borderId="10" xfId="0" applyNumberFormat="1" applyFont="1" applyFill="1" applyBorder="1" applyAlignment="1">
      <alignment horizontal="center"/>
    </xf>
    <xf numFmtId="4" fontId="18" fillId="3" borderId="10" xfId="3" applyNumberFormat="1" applyFont="1" applyFill="1" applyBorder="1" applyAlignment="1">
      <alignment horizontal="center"/>
    </xf>
    <xf numFmtId="167" fontId="62" fillId="3" borderId="10" xfId="0" applyNumberFormat="1" applyFont="1" applyFill="1" applyBorder="1" applyAlignment="1">
      <alignment horizontal="center"/>
    </xf>
    <xf numFmtId="10" fontId="18" fillId="3" borderId="10" xfId="3" applyNumberFormat="1" applyFont="1" applyFill="1" applyBorder="1" applyAlignment="1">
      <alignment horizontal="center"/>
    </xf>
    <xf numFmtId="2" fontId="18" fillId="3" borderId="10" xfId="0" applyNumberFormat="1" applyFont="1" applyFill="1" applyBorder="1" applyAlignment="1">
      <alignment horizontal="center"/>
    </xf>
    <xf numFmtId="37" fontId="18" fillId="3" borderId="10" xfId="3" applyNumberFormat="1" applyFont="1" applyFill="1" applyBorder="1" applyAlignment="1">
      <alignment horizontal="center"/>
    </xf>
    <xf numFmtId="38" fontId="18" fillId="3" borderId="10" xfId="3" applyNumberFormat="1" applyFont="1" applyFill="1" applyBorder="1" applyAlignment="1">
      <alignment horizontal="center"/>
    </xf>
    <xf numFmtId="168" fontId="18" fillId="3" borderId="10" xfId="3" applyNumberFormat="1" applyFont="1" applyFill="1" applyBorder="1" applyAlignment="1">
      <alignment horizontal="center"/>
    </xf>
    <xf numFmtId="0" fontId="7" fillId="0" borderId="0" xfId="0" applyFont="1"/>
    <xf numFmtId="17" fontId="14" fillId="0" borderId="0" xfId="0" applyNumberFormat="1" applyFont="1" applyBorder="1"/>
    <xf numFmtId="0" fontId="14" fillId="0" borderId="0" xfId="0" applyFont="1" applyBorder="1"/>
    <xf numFmtId="3" fontId="7" fillId="0" borderId="0" xfId="0" applyNumberFormat="1" applyFont="1"/>
    <xf numFmtId="0" fontId="7" fillId="0" borderId="0" xfId="0" applyFont="1" applyAlignment="1">
      <alignment horizontal="left"/>
    </xf>
    <xf numFmtId="0" fontId="18" fillId="0" borderId="0" xfId="0" applyFont="1"/>
    <xf numFmtId="0" fontId="63" fillId="0" borderId="0" xfId="0" applyFont="1"/>
    <xf numFmtId="0" fontId="64" fillId="0" borderId="0" xfId="0" applyFont="1"/>
    <xf numFmtId="49" fontId="64" fillId="0" borderId="0" xfId="0" applyNumberFormat="1" applyFont="1"/>
    <xf numFmtId="3" fontId="64" fillId="0" borderId="2" xfId="0" applyNumberFormat="1" applyFont="1" applyBorder="1"/>
    <xf numFmtId="0" fontId="66" fillId="0" borderId="0" xfId="0" applyFont="1"/>
    <xf numFmtId="0" fontId="67" fillId="4" borderId="0" xfId="0" applyNumberFormat="1" applyFont="1" applyFill="1" applyAlignment="1">
      <alignment horizontal="center" vertical="center"/>
    </xf>
    <xf numFmtId="170" fontId="64" fillId="0" borderId="2" xfId="0" applyNumberFormat="1" applyFont="1" applyBorder="1" applyAlignment="1">
      <alignment horizontal="right"/>
    </xf>
    <xf numFmtId="170" fontId="64" fillId="0" borderId="5" xfId="0" applyNumberFormat="1" applyFont="1" applyBorder="1" applyAlignment="1">
      <alignment horizontal="right"/>
    </xf>
    <xf numFmtId="172" fontId="68" fillId="0" borderId="10" xfId="0" applyNumberFormat="1" applyFont="1" applyBorder="1" applyAlignment="1">
      <alignment horizontal="right"/>
    </xf>
    <xf numFmtId="170" fontId="64" fillId="0" borderId="0" xfId="0" applyNumberFormat="1" applyFont="1" applyBorder="1" applyAlignment="1">
      <alignment horizontal="right"/>
    </xf>
    <xf numFmtId="0" fontId="68" fillId="0" borderId="0" xfId="0" applyFont="1"/>
    <xf numFmtId="170" fontId="68" fillId="0" borderId="10" xfId="0" applyNumberFormat="1" applyFont="1" applyBorder="1" applyAlignment="1">
      <alignment horizontal="right"/>
    </xf>
    <xf numFmtId="0" fontId="64" fillId="6" borderId="0" xfId="0" applyFont="1" applyFill="1"/>
    <xf numFmtId="170" fontId="64" fillId="6" borderId="2" xfId="0" applyNumberFormat="1" applyFont="1" applyFill="1" applyBorder="1" applyAlignment="1">
      <alignment horizontal="right"/>
    </xf>
    <xf numFmtId="172" fontId="68" fillId="6" borderId="10" xfId="0" applyNumberFormat="1" applyFont="1" applyFill="1" applyBorder="1" applyAlignment="1">
      <alignment horizontal="right"/>
    </xf>
    <xf numFmtId="0" fontId="64" fillId="0" borderId="0" xfId="0" applyFont="1" applyFill="1" applyBorder="1"/>
    <xf numFmtId="172" fontId="68" fillId="0" borderId="0" xfId="0" applyNumberFormat="1" applyFont="1" applyBorder="1" applyAlignment="1">
      <alignment horizontal="right"/>
    </xf>
    <xf numFmtId="0" fontId="69" fillId="0" borderId="0" xfId="0" applyFont="1"/>
    <xf numFmtId="3" fontId="64" fillId="0" borderId="0" xfId="0" applyNumberFormat="1" applyFont="1"/>
    <xf numFmtId="0" fontId="68" fillId="0" borderId="0" xfId="0" applyFont="1" applyFill="1" applyBorder="1"/>
    <xf numFmtId="0" fontId="49" fillId="7" borderId="0" xfId="0" applyFont="1" applyFill="1" applyBorder="1" applyAlignment="1">
      <alignment horizontal="left"/>
    </xf>
    <xf numFmtId="0" fontId="32" fillId="7" borderId="0" xfId="0" applyFont="1" applyFill="1" applyBorder="1" applyAlignment="1">
      <alignment horizontal="center"/>
    </xf>
    <xf numFmtId="0" fontId="32" fillId="7" borderId="0" xfId="0" applyFont="1" applyFill="1" applyBorder="1" applyAlignment="1"/>
    <xf numFmtId="17" fontId="28" fillId="4" borderId="0" xfId="0" applyNumberFormat="1" applyFont="1" applyFill="1" applyAlignment="1">
      <alignment horizontal="left" vertical="center"/>
    </xf>
    <xf numFmtId="164" fontId="17" fillId="0" borderId="2" xfId="0" applyNumberFormat="1" applyFont="1" applyBorder="1" applyAlignment="1">
      <alignment horizontal="center"/>
    </xf>
    <xf numFmtId="17" fontId="0" fillId="0" borderId="0" xfId="0" applyNumberFormat="1"/>
    <xf numFmtId="3" fontId="7" fillId="0" borderId="2" xfId="0" applyNumberFormat="1" applyFont="1" applyBorder="1"/>
    <xf numFmtId="0" fontId="7" fillId="0" borderId="0" xfId="0" applyFont="1" applyAlignment="1">
      <alignment horizontal="center"/>
    </xf>
    <xf numFmtId="166" fontId="7" fillId="0" borderId="0" xfId="0" applyNumberFormat="1" applyFont="1"/>
    <xf numFmtId="0" fontId="7" fillId="0" borderId="0" xfId="8" applyFont="1"/>
    <xf numFmtId="1" fontId="7" fillId="0" borderId="0" xfId="0" applyNumberFormat="1" applyFont="1"/>
    <xf numFmtId="0" fontId="7" fillId="0" borderId="0" xfId="7" applyFont="1"/>
    <xf numFmtId="0" fontId="7" fillId="0" borderId="0" xfId="0" applyFont="1" applyBorder="1" applyAlignment="1">
      <alignment horizontal="center"/>
    </xf>
    <xf numFmtId="0" fontId="7" fillId="0" borderId="0" xfId="0" quotePrefix="1" applyFont="1" applyAlignment="1">
      <alignment horizontal="left"/>
    </xf>
    <xf numFmtId="0" fontId="7" fillId="0" borderId="0" xfId="0" quotePrefix="1" applyFont="1" applyAlignment="1">
      <alignment horizontal="center"/>
    </xf>
    <xf numFmtId="10" fontId="29" fillId="4" borderId="0" xfId="3" applyNumberFormat="1" applyFont="1" applyFill="1" applyAlignment="1">
      <alignment horizontal="center"/>
    </xf>
    <xf numFmtId="4" fontId="29" fillId="4" borderId="0" xfId="0" applyNumberFormat="1" applyFont="1" applyFill="1" applyAlignment="1">
      <alignment horizontal="center"/>
    </xf>
    <xf numFmtId="0" fontId="7" fillId="3" borderId="0" xfId="0" applyFont="1" applyFill="1" applyBorder="1"/>
    <xf numFmtId="0" fontId="7" fillId="0" borderId="0" xfId="0" applyFont="1" applyFill="1" applyBorder="1"/>
    <xf numFmtId="0" fontId="7" fillId="0" borderId="0" xfId="0" applyNumberFormat="1" applyFont="1" applyBorder="1"/>
    <xf numFmtId="3" fontId="7" fillId="0" borderId="0" xfId="0" applyNumberFormat="1" applyFont="1" applyBorder="1"/>
    <xf numFmtId="17" fontId="70" fillId="4" borderId="0" xfId="0" applyNumberFormat="1" applyFont="1" applyFill="1" applyAlignment="1">
      <alignment vertical="center"/>
    </xf>
    <xf numFmtId="17" fontId="71" fillId="4" borderId="0" xfId="0" applyNumberFormat="1" applyFont="1" applyFill="1" applyAlignment="1">
      <alignment vertical="center"/>
    </xf>
    <xf numFmtId="17" fontId="72" fillId="2" borderId="0" xfId="0" applyNumberFormat="1" applyFont="1" applyFill="1" applyAlignment="1">
      <alignment vertical="center"/>
    </xf>
    <xf numFmtId="1" fontId="7" fillId="2" borderId="0" xfId="0" applyNumberFormat="1" applyFont="1" applyFill="1" applyAlignment="1">
      <alignment horizontal="center"/>
    </xf>
    <xf numFmtId="3" fontId="7" fillId="2" borderId="0" xfId="0" applyNumberFormat="1" applyFont="1" applyFill="1"/>
    <xf numFmtId="3" fontId="7" fillId="0" borderId="7" xfId="0" applyNumberFormat="1" applyFont="1" applyBorder="1"/>
    <xf numFmtId="3" fontId="7" fillId="0" borderId="1" xfId="0" applyNumberFormat="1" applyFont="1" applyBorder="1"/>
    <xf numFmtId="9" fontId="7" fillId="0" borderId="0" xfId="3" applyFont="1"/>
    <xf numFmtId="4" fontId="7" fillId="0" borderId="2" xfId="3" applyNumberFormat="1" applyFont="1" applyBorder="1" applyAlignment="1"/>
    <xf numFmtId="3" fontId="7" fillId="0" borderId="2" xfId="0" applyNumberFormat="1" applyFont="1" applyBorder="1" applyAlignment="1"/>
    <xf numFmtId="3" fontId="7" fillId="0" borderId="2" xfId="0" applyNumberFormat="1" applyFont="1" applyBorder="1" applyAlignment="1">
      <alignment horizontal="center"/>
    </xf>
    <xf numFmtId="9" fontId="7" fillId="0" borderId="0" xfId="3" applyNumberFormat="1" applyFont="1" applyAlignment="1">
      <alignment horizontal="center"/>
    </xf>
    <xf numFmtId="10" fontId="7" fillId="0" borderId="2" xfId="0" applyNumberFormat="1" applyFont="1" applyBorder="1"/>
    <xf numFmtId="40" fontId="7" fillId="0" borderId="2" xfId="3" applyNumberFormat="1" applyFont="1" applyBorder="1" applyAlignment="1">
      <alignment horizontal="center"/>
    </xf>
    <xf numFmtId="10" fontId="7" fillId="0" borderId="0" xfId="3" applyNumberFormat="1" applyFont="1" applyBorder="1" applyAlignment="1">
      <alignment horizontal="center"/>
    </xf>
    <xf numFmtId="10" fontId="7" fillId="0" borderId="0" xfId="3" applyNumberFormat="1" applyFont="1" applyAlignment="1">
      <alignment horizontal="center"/>
    </xf>
    <xf numFmtId="38" fontId="7" fillId="0" borderId="2" xfId="3" applyNumberFormat="1" applyFont="1" applyBorder="1" applyAlignment="1">
      <alignment horizontal="center"/>
    </xf>
    <xf numFmtId="0" fontId="74" fillId="3" borderId="0" xfId="0" applyFont="1" applyFill="1"/>
    <xf numFmtId="0" fontId="9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center"/>
    </xf>
    <xf numFmtId="3" fontId="7" fillId="0" borderId="2" xfId="0" applyNumberFormat="1" applyFont="1" applyBorder="1"/>
    <xf numFmtId="164" fontId="17" fillId="0" borderId="2" xfId="0" applyNumberFormat="1" applyFont="1" applyBorder="1" applyAlignment="1">
      <alignment horizontal="center"/>
    </xf>
    <xf numFmtId="3" fontId="7" fillId="0" borderId="2" xfId="0" applyNumberFormat="1" applyFont="1" applyBorder="1"/>
    <xf numFmtId="0" fontId="7" fillId="0" borderId="0" xfId="0" applyFont="1"/>
    <xf numFmtId="0" fontId="0" fillId="0" borderId="0" xfId="0"/>
    <xf numFmtId="10" fontId="7" fillId="0" borderId="2" xfId="15" applyNumberFormat="1" applyFont="1" applyBorder="1" applyAlignment="1">
      <alignment horizontal="center"/>
    </xf>
    <xf numFmtId="9" fontId="7" fillId="0" borderId="0" xfId="15" applyFont="1"/>
    <xf numFmtId="3" fontId="7" fillId="0" borderId="2" xfId="0" applyNumberFormat="1" applyFont="1" applyBorder="1" applyAlignment="1">
      <alignment horizontal="center"/>
    </xf>
    <xf numFmtId="9" fontId="7" fillId="0" borderId="0" xfId="15" applyNumberFormat="1" applyFont="1" applyAlignment="1">
      <alignment horizontal="center"/>
    </xf>
    <xf numFmtId="10" fontId="7" fillId="0" borderId="0" xfId="0" applyNumberFormat="1" applyFont="1"/>
    <xf numFmtId="10" fontId="7" fillId="0" borderId="0" xfId="15" applyNumberFormat="1" applyFont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3" fontId="7" fillId="0" borderId="2" xfId="0" applyNumberFormat="1" applyFont="1" applyBorder="1" applyAlignment="1"/>
    <xf numFmtId="40" fontId="7" fillId="0" borderId="2" xfId="15" applyNumberFormat="1" applyFont="1" applyBorder="1" applyAlignment="1">
      <alignment horizontal="center"/>
    </xf>
    <xf numFmtId="38" fontId="7" fillId="0" borderId="2" xfId="15" applyNumberFormat="1" applyFont="1" applyBorder="1" applyAlignment="1">
      <alignment horizontal="center"/>
    </xf>
    <xf numFmtId="4" fontId="7" fillId="0" borderId="2" xfId="15" applyNumberFormat="1" applyFont="1" applyBorder="1" applyAlignment="1"/>
    <xf numFmtId="0" fontId="32" fillId="7" borderId="0" xfId="0" applyFont="1" applyFill="1" applyBorder="1" applyAlignment="1">
      <alignment horizontal="center"/>
    </xf>
    <xf numFmtId="170" fontId="7" fillId="0" borderId="2" xfId="0" applyNumberFormat="1" applyFont="1" applyFill="1" applyBorder="1" applyAlignment="1">
      <alignment horizontal="right"/>
    </xf>
    <xf numFmtId="0" fontId="7" fillId="0" borderId="0" xfId="0" applyFont="1" applyAlignment="1">
      <alignment horizontal="justify" vertical="top" wrapText="1"/>
    </xf>
    <xf numFmtId="17" fontId="7" fillId="0" borderId="2" xfId="0" applyNumberFormat="1" applyFont="1" applyBorder="1"/>
    <xf numFmtId="17" fontId="10" fillId="0" borderId="1" xfId="0" applyNumberFormat="1" applyFont="1" applyBorder="1"/>
    <xf numFmtId="10" fontId="10" fillId="0" borderId="1" xfId="0" applyNumberFormat="1" applyFont="1" applyBorder="1"/>
    <xf numFmtId="17" fontId="7" fillId="0" borderId="5" xfId="0" applyNumberFormat="1" applyFont="1" applyBorder="1"/>
    <xf numFmtId="170" fontId="7" fillId="0" borderId="5" xfId="0" applyNumberFormat="1" applyFont="1" applyBorder="1" applyAlignment="1">
      <alignment horizontal="right"/>
    </xf>
    <xf numFmtId="170" fontId="7" fillId="0" borderId="9" xfId="0" applyNumberFormat="1" applyFont="1" applyBorder="1" applyAlignment="1">
      <alignment horizontal="right"/>
    </xf>
    <xf numFmtId="17" fontId="7" fillId="0" borderId="0" xfId="0" applyNumberFormat="1" applyFont="1" applyBorder="1"/>
    <xf numFmtId="170" fontId="7" fillId="0" borderId="2" xfId="0" applyNumberFormat="1" applyFont="1" applyBorder="1"/>
    <xf numFmtId="17" fontId="10" fillId="0" borderId="8" xfId="0" applyNumberFormat="1" applyFont="1" applyBorder="1"/>
    <xf numFmtId="170" fontId="10" fillId="0" borderId="8" xfId="0" applyNumberFormat="1" applyFont="1" applyBorder="1" applyAlignment="1">
      <alignment horizontal="right"/>
    </xf>
    <xf numFmtId="0" fontId="10" fillId="0" borderId="8" xfId="0" applyFont="1" applyBorder="1"/>
    <xf numFmtId="10" fontId="10" fillId="0" borderId="8" xfId="3" applyNumberFormat="1" applyFont="1" applyBorder="1"/>
    <xf numFmtId="164" fontId="17" fillId="0" borderId="1" xfId="0" applyNumberFormat="1" applyFont="1" applyBorder="1" applyAlignment="1">
      <alignment horizontal="center"/>
    </xf>
    <xf numFmtId="3" fontId="7" fillId="0" borderId="9" xfId="0" applyNumberFormat="1" applyFont="1" applyBorder="1"/>
    <xf numFmtId="3" fontId="7" fillId="6" borderId="2" xfId="0" applyNumberFormat="1" applyFont="1" applyFill="1" applyBorder="1"/>
    <xf numFmtId="0" fontId="7" fillId="0" borderId="5" xfId="0" applyFont="1" applyBorder="1"/>
    <xf numFmtId="164" fontId="17" fillId="0" borderId="9" xfId="0" applyNumberFormat="1" applyFont="1" applyBorder="1" applyAlignment="1">
      <alignment horizontal="center"/>
    </xf>
    <xf numFmtId="17" fontId="10" fillId="0" borderId="4" xfId="0" applyNumberFormat="1" applyFont="1" applyBorder="1"/>
    <xf numFmtId="170" fontId="10" fillId="0" borderId="4" xfId="0" applyNumberFormat="1" applyFont="1" applyBorder="1" applyAlignment="1">
      <alignment horizontal="right"/>
    </xf>
    <xf numFmtId="0" fontId="10" fillId="0" borderId="4" xfId="0" applyFont="1" applyBorder="1"/>
    <xf numFmtId="10" fontId="10" fillId="0" borderId="4" xfId="3" applyNumberFormat="1" applyFont="1" applyBorder="1"/>
    <xf numFmtId="164" fontId="75" fillId="0" borderId="0" xfId="0" applyNumberFormat="1" applyFont="1" applyBorder="1" applyAlignment="1">
      <alignment horizontal="center"/>
    </xf>
    <xf numFmtId="170" fontId="7" fillId="0" borderId="0" xfId="0" applyNumberFormat="1" applyFont="1" applyFill="1" applyAlignment="1">
      <alignment horizontal="right"/>
    </xf>
    <xf numFmtId="170" fontId="10" fillId="0" borderId="1" xfId="0" applyNumberFormat="1" applyFont="1" applyFill="1" applyBorder="1" applyAlignment="1">
      <alignment horizontal="right"/>
    </xf>
    <xf numFmtId="164" fontId="75" fillId="0" borderId="0" xfId="0" applyNumberFormat="1" applyFont="1" applyBorder="1"/>
    <xf numFmtId="17" fontId="12" fillId="0" borderId="0" xfId="0" applyNumberFormat="1" applyFont="1" applyFill="1"/>
    <xf numFmtId="3" fontId="29" fillId="0" borderId="0" xfId="0" applyNumberFormat="1" applyFont="1" applyFill="1"/>
    <xf numFmtId="3" fontId="29" fillId="0" borderId="0" xfId="0" applyNumberFormat="1" applyFont="1" applyFill="1" applyAlignment="1">
      <alignment horizontal="center"/>
    </xf>
    <xf numFmtId="4" fontId="29" fillId="0" borderId="0" xfId="0" applyNumberFormat="1" applyFont="1" applyFill="1" applyAlignment="1">
      <alignment horizontal="center"/>
    </xf>
    <xf numFmtId="10" fontId="29" fillId="0" borderId="0" xfId="3" applyNumberFormat="1" applyFont="1" applyFill="1" applyAlignment="1">
      <alignment horizontal="center"/>
    </xf>
    <xf numFmtId="17" fontId="10" fillId="0" borderId="9" xfId="0" applyNumberFormat="1" applyFont="1" applyBorder="1"/>
    <xf numFmtId="17" fontId="7" fillId="0" borderId="9" xfId="0" applyNumberFormat="1" applyFont="1" applyBorder="1"/>
    <xf numFmtId="164" fontId="7" fillId="0" borderId="9" xfId="0" applyNumberFormat="1" applyFont="1" applyBorder="1" applyAlignment="1">
      <alignment horizontal="center"/>
    </xf>
    <xf numFmtId="0" fontId="7" fillId="0" borderId="9" xfId="0" applyFont="1" applyBorder="1"/>
    <xf numFmtId="10" fontId="7" fillId="0" borderId="9" xfId="3" applyNumberFormat="1" applyFont="1" applyBorder="1"/>
    <xf numFmtId="0" fontId="7" fillId="0" borderId="2" xfId="0" applyNumberFormat="1" applyFont="1" applyBorder="1"/>
    <xf numFmtId="17" fontId="10" fillId="0" borderId="0" xfId="0" applyNumberFormat="1" applyFont="1" applyBorder="1" applyAlignment="1">
      <alignment vertical="top" wrapText="1"/>
    </xf>
    <xf numFmtId="170" fontId="7" fillId="0" borderId="2" xfId="0" applyNumberFormat="1" applyFont="1" applyBorder="1" applyAlignment="1">
      <alignment horizontal="right" vertical="center"/>
    </xf>
    <xf numFmtId="17" fontId="10" fillId="0" borderId="0" xfId="0" applyNumberFormat="1" applyFont="1" applyBorder="1" applyAlignment="1">
      <alignment horizontal="justify" vertical="top" wrapText="1"/>
    </xf>
    <xf numFmtId="168" fontId="10" fillId="0" borderId="0" xfId="0" applyNumberFormat="1" applyFont="1" applyBorder="1"/>
    <xf numFmtId="0" fontId="7" fillId="0" borderId="1" xfId="0" applyFont="1" applyBorder="1"/>
    <xf numFmtId="17" fontId="12" fillId="4" borderId="0" xfId="0" applyNumberFormat="1" applyFont="1" applyFill="1" applyBorder="1"/>
    <xf numFmtId="1" fontId="29" fillId="4" borderId="0" xfId="0" applyNumberFormat="1" applyFont="1" applyFill="1" applyBorder="1" applyAlignment="1">
      <alignment horizontal="center"/>
    </xf>
    <xf numFmtId="3" fontId="29" fillId="4" borderId="0" xfId="0" applyNumberFormat="1" applyFont="1" applyFill="1" applyBorder="1"/>
    <xf numFmtId="3" fontId="29" fillId="4" borderId="0" xfId="0" applyNumberFormat="1" applyFont="1" applyFill="1" applyBorder="1" applyAlignment="1">
      <alignment horizontal="center"/>
    </xf>
    <xf numFmtId="10" fontId="29" fillId="4" borderId="0" xfId="3" applyNumberFormat="1" applyFont="1" applyFill="1" applyBorder="1" applyAlignment="1">
      <alignment horizontal="center"/>
    </xf>
    <xf numFmtId="4" fontId="29" fillId="4" borderId="0" xfId="0" applyNumberFormat="1" applyFont="1" applyFill="1" applyBorder="1" applyAlignment="1">
      <alignment horizontal="center"/>
    </xf>
    <xf numFmtId="170" fontId="7" fillId="0" borderId="0" xfId="3" applyNumberFormat="1" applyFont="1" applyBorder="1" applyAlignment="1">
      <alignment horizontal="right"/>
    </xf>
    <xf numFmtId="170" fontId="7" fillId="0" borderId="9" xfId="3" applyNumberFormat="1" applyFont="1" applyBorder="1" applyAlignment="1">
      <alignment horizontal="right"/>
    </xf>
    <xf numFmtId="164" fontId="7" fillId="0" borderId="2" xfId="0" applyNumberFormat="1" applyFont="1" applyBorder="1" applyAlignment="1">
      <alignment horizontal="center"/>
    </xf>
    <xf numFmtId="10" fontId="7" fillId="0" borderId="2" xfId="3" applyNumberFormat="1" applyFont="1" applyBorder="1" applyAlignment="1">
      <alignment vertical="center"/>
    </xf>
    <xf numFmtId="17" fontId="14" fillId="7" borderId="0" xfId="0" applyNumberFormat="1" applyFont="1" applyFill="1" applyBorder="1" applyAlignment="1">
      <alignment vertical="top"/>
    </xf>
    <xf numFmtId="0" fontId="32" fillId="0" borderId="0" xfId="0" applyFont="1"/>
    <xf numFmtId="0" fontId="10" fillId="0" borderId="2" xfId="0" applyNumberFormat="1" applyFont="1" applyBorder="1"/>
    <xf numFmtId="17" fontId="10" fillId="0" borderId="0" xfId="0" applyNumberFormat="1" applyFont="1" applyBorder="1" applyAlignment="1">
      <alignment horizontal="justify" vertical="top" wrapText="1"/>
    </xf>
    <xf numFmtId="0" fontId="7" fillId="0" borderId="0" xfId="0" applyFont="1" applyAlignment="1">
      <alignment horizontal="justify" vertical="top" wrapText="1"/>
    </xf>
    <xf numFmtId="17" fontId="10" fillId="0" borderId="0" xfId="0" applyNumberFormat="1" applyFont="1" applyBorder="1" applyAlignment="1">
      <alignment horizontal="left" vertical="top" wrapText="1"/>
    </xf>
    <xf numFmtId="0" fontId="7" fillId="0" borderId="0" xfId="7" applyFont="1" applyFill="1"/>
    <xf numFmtId="170" fontId="7" fillId="0" borderId="0" xfId="0" applyNumberFormat="1" applyFont="1" applyFill="1" applyBorder="1" applyAlignment="1">
      <alignment horizontal="right"/>
    </xf>
    <xf numFmtId="0" fontId="10" fillId="0" borderId="0" xfId="0" applyFont="1" applyFill="1" applyBorder="1"/>
    <xf numFmtId="10" fontId="7" fillId="0" borderId="0" xfId="3" applyNumberFormat="1" applyFont="1" applyFill="1" applyBorder="1"/>
    <xf numFmtId="0" fontId="7" fillId="0" borderId="0" xfId="0" applyFont="1" applyFill="1" applyAlignment="1">
      <alignment horizontal="center"/>
    </xf>
    <xf numFmtId="10" fontId="7" fillId="0" borderId="0" xfId="3" applyNumberFormat="1" applyFont="1" applyFill="1"/>
    <xf numFmtId="0" fontId="7" fillId="0" borderId="2" xfId="0" applyFont="1" applyFill="1" applyBorder="1"/>
    <xf numFmtId="0" fontId="7" fillId="0" borderId="2" xfId="0" applyFont="1" applyFill="1" applyBorder="1" applyAlignment="1">
      <alignment horizontal="center"/>
    </xf>
    <xf numFmtId="0" fontId="10" fillId="0" borderId="0" xfId="0" applyFont="1" applyFill="1"/>
    <xf numFmtId="10" fontId="7" fillId="0" borderId="2" xfId="3" applyNumberFormat="1" applyFont="1" applyFill="1" applyBorder="1"/>
    <xf numFmtId="0" fontId="10" fillId="0" borderId="1" xfId="0" applyFont="1" applyFill="1" applyBorder="1"/>
    <xf numFmtId="0" fontId="10" fillId="0" borderId="1" xfId="0" applyFont="1" applyFill="1" applyBorder="1" applyAlignment="1">
      <alignment horizontal="center"/>
    </xf>
    <xf numFmtId="3" fontId="10" fillId="0" borderId="1" xfId="0" applyNumberFormat="1" applyFont="1" applyFill="1" applyBorder="1"/>
    <xf numFmtId="170" fontId="7" fillId="0" borderId="0" xfId="0" applyNumberFormat="1" applyFont="1" applyFill="1"/>
    <xf numFmtId="3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10" fontId="7" fillId="0" borderId="0" xfId="3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43" fontId="7" fillId="0" borderId="0" xfId="2" applyFont="1"/>
    <xf numFmtId="17" fontId="10" fillId="6" borderId="0" xfId="0" applyNumberFormat="1" applyFont="1" applyFill="1" applyBorder="1"/>
    <xf numFmtId="3" fontId="10" fillId="6" borderId="0" xfId="0" applyNumberFormat="1" applyFont="1" applyFill="1" applyBorder="1"/>
    <xf numFmtId="164" fontId="75" fillId="6" borderId="0" xfId="0" applyNumberFormat="1" applyFont="1" applyFill="1" applyBorder="1"/>
    <xf numFmtId="0" fontId="10" fillId="6" borderId="0" xfId="0" applyFont="1" applyFill="1" applyBorder="1"/>
    <xf numFmtId="10" fontId="10" fillId="6" borderId="0" xfId="3" applyNumberFormat="1" applyFont="1" applyFill="1" applyBorder="1"/>
    <xf numFmtId="17" fontId="16" fillId="6" borderId="0" xfId="0" applyNumberFormat="1" applyFont="1" applyFill="1"/>
    <xf numFmtId="17" fontId="20" fillId="6" borderId="0" xfId="0" applyNumberFormat="1" applyFont="1" applyFill="1"/>
    <xf numFmtId="3" fontId="7" fillId="6" borderId="0" xfId="0" applyNumberFormat="1" applyFont="1" applyFill="1"/>
    <xf numFmtId="3" fontId="20" fillId="6" borderId="0" xfId="0" applyNumberFormat="1" applyFont="1" applyFill="1"/>
    <xf numFmtId="0" fontId="20" fillId="6" borderId="0" xfId="0" applyFont="1" applyFill="1"/>
    <xf numFmtId="0" fontId="7" fillId="6" borderId="0" xfId="0" applyFont="1" applyFill="1"/>
    <xf numFmtId="10" fontId="7" fillId="6" borderId="0" xfId="3" applyNumberFormat="1" applyFont="1" applyFill="1"/>
    <xf numFmtId="170" fontId="7" fillId="39" borderId="2" xfId="0" applyNumberFormat="1" applyFont="1" applyFill="1" applyBorder="1" applyAlignment="1">
      <alignment horizontal="right"/>
    </xf>
    <xf numFmtId="170" fontId="10" fillId="39" borderId="1" xfId="0" applyNumberFormat="1" applyFont="1" applyFill="1" applyBorder="1" applyAlignment="1">
      <alignment horizontal="right"/>
    </xf>
    <xf numFmtId="3" fontId="7" fillId="39" borderId="2" xfId="0" applyNumberFormat="1" applyFont="1" applyFill="1" applyBorder="1"/>
    <xf numFmtId="3" fontId="10" fillId="39" borderId="7" xfId="0" applyNumberFormat="1" applyFont="1" applyFill="1" applyBorder="1"/>
    <xf numFmtId="4" fontId="7" fillId="39" borderId="2" xfId="3" applyNumberFormat="1" applyFont="1" applyFill="1" applyBorder="1" applyAlignment="1"/>
    <xf numFmtId="3" fontId="7" fillId="39" borderId="2" xfId="0" applyNumberFormat="1" applyFont="1" applyFill="1" applyBorder="1" applyAlignment="1"/>
    <xf numFmtId="10" fontId="7" fillId="39" borderId="2" xfId="3" applyNumberFormat="1" applyFont="1" applyFill="1" applyBorder="1" applyAlignment="1">
      <alignment horizontal="center"/>
    </xf>
    <xf numFmtId="40" fontId="7" fillId="39" borderId="2" xfId="3" applyNumberFormat="1" applyFont="1" applyFill="1" applyBorder="1" applyAlignment="1">
      <alignment horizontal="center"/>
    </xf>
    <xf numFmtId="170" fontId="7" fillId="40" borderId="2" xfId="0" applyNumberFormat="1" applyFont="1" applyFill="1" applyBorder="1" applyAlignment="1">
      <alignment horizontal="right"/>
    </xf>
    <xf numFmtId="170" fontId="10" fillId="40" borderId="3" xfId="0" applyNumberFormat="1" applyFont="1" applyFill="1" applyBorder="1" applyAlignment="1">
      <alignment horizontal="right"/>
    </xf>
    <xf numFmtId="170" fontId="7" fillId="6" borderId="2" xfId="0" applyNumberFormat="1" applyFont="1" applyFill="1" applyBorder="1" applyAlignment="1">
      <alignment horizontal="right"/>
    </xf>
    <xf numFmtId="0" fontId="7" fillId="40" borderId="2" xfId="0" applyFont="1" applyFill="1" applyBorder="1"/>
    <xf numFmtId="170" fontId="7" fillId="41" borderId="2" xfId="0" applyNumberFormat="1" applyFont="1" applyFill="1" applyBorder="1" applyAlignment="1">
      <alignment horizontal="right"/>
    </xf>
    <xf numFmtId="0" fontId="7" fillId="6" borderId="2" xfId="0" applyFont="1" applyFill="1" applyBorder="1"/>
    <xf numFmtId="17" fontId="7" fillId="41" borderId="2" xfId="0" applyNumberFormat="1" applyFont="1" applyFill="1" applyBorder="1"/>
    <xf numFmtId="170" fontId="10" fillId="41" borderId="1" xfId="0" applyNumberFormat="1" applyFont="1" applyFill="1" applyBorder="1" applyAlignment="1">
      <alignment horizontal="right"/>
    </xf>
    <xf numFmtId="0" fontId="10" fillId="39" borderId="1" xfId="0" applyFont="1" applyFill="1" applyBorder="1" applyAlignment="1">
      <alignment horizontal="center"/>
    </xf>
    <xf numFmtId="0" fontId="7" fillId="42" borderId="2" xfId="0" applyFont="1" applyFill="1" applyBorder="1"/>
    <xf numFmtId="0" fontId="15" fillId="3" borderId="0" xfId="0" applyFont="1" applyFill="1" applyAlignment="1">
      <alignment horizontal="center"/>
    </xf>
    <xf numFmtId="49" fontId="16" fillId="3" borderId="0" xfId="0" applyNumberFormat="1" applyFont="1" applyFill="1" applyAlignment="1">
      <alignment horizontal="center"/>
    </xf>
    <xf numFmtId="0" fontId="23" fillId="0" borderId="0" xfId="0" applyFont="1" applyAlignment="1">
      <alignment horizontal="left"/>
    </xf>
    <xf numFmtId="0" fontId="28" fillId="4" borderId="0" xfId="0" applyNumberFormat="1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7" fillId="40" borderId="2" xfId="0" applyFont="1" applyFill="1" applyBorder="1" applyAlignment="1">
      <alignment horizontal="left" vertical="center" wrapText="1"/>
    </xf>
    <xf numFmtId="49" fontId="49" fillId="7" borderId="0" xfId="5" applyNumberFormat="1" applyFont="1" applyFill="1" applyBorder="1" applyAlignment="1">
      <alignment horizontal="left"/>
    </xf>
    <xf numFmtId="17" fontId="10" fillId="0" borderId="0" xfId="0" applyNumberFormat="1" applyFont="1" applyBorder="1" applyAlignment="1">
      <alignment horizontal="left" vertical="top" wrapText="1"/>
    </xf>
    <xf numFmtId="17" fontId="10" fillId="0" borderId="0" xfId="0" applyNumberFormat="1" applyFont="1" applyBorder="1" applyAlignment="1">
      <alignment horizontal="justify" vertical="top" wrapText="1"/>
    </xf>
    <xf numFmtId="0" fontId="7" fillId="0" borderId="0" xfId="0" applyFont="1" applyAlignment="1">
      <alignment horizontal="justify" vertical="top" wrapText="1"/>
    </xf>
    <xf numFmtId="17" fontId="14" fillId="0" borderId="0" xfId="0" applyNumberFormat="1" applyFont="1" applyBorder="1" applyAlignment="1">
      <alignment horizontal="justify" vertical="top" wrapText="1"/>
    </xf>
    <xf numFmtId="0" fontId="49" fillId="7" borderId="0" xfId="0" applyFont="1" applyFill="1" applyBorder="1" applyAlignment="1">
      <alignment horizontal="left"/>
    </xf>
    <xf numFmtId="0" fontId="32" fillId="7" borderId="0" xfId="0" applyFont="1" applyFill="1" applyBorder="1" applyAlignment="1">
      <alignment horizontal="center"/>
    </xf>
    <xf numFmtId="0" fontId="32" fillId="7" borderId="0" xfId="0" applyFont="1" applyFill="1" applyBorder="1" applyAlignment="1"/>
    <xf numFmtId="0" fontId="34" fillId="0" borderId="10" xfId="0" applyFont="1" applyFill="1" applyBorder="1" applyAlignment="1">
      <alignment horizontal="center"/>
    </xf>
    <xf numFmtId="49" fontId="33" fillId="0" borderId="14" xfId="5" applyNumberFormat="1" applyFont="1" applyFill="1" applyAlignment="1">
      <alignment horizontal="center"/>
    </xf>
    <xf numFmtId="0" fontId="34" fillId="10" borderId="10" xfId="0" applyFont="1" applyFill="1" applyBorder="1" applyAlignment="1"/>
    <xf numFmtId="0" fontId="34" fillId="10" borderId="10" xfId="0" applyFont="1" applyFill="1" applyBorder="1"/>
    <xf numFmtId="0" fontId="33" fillId="0" borderId="10" xfId="0" applyFont="1" applyFill="1" applyBorder="1" applyAlignment="1">
      <alignment horizontal="left"/>
    </xf>
    <xf numFmtId="0" fontId="34" fillId="0" borderId="10" xfId="0" applyFont="1" applyFill="1" applyBorder="1" applyAlignment="1"/>
    <xf numFmtId="0" fontId="34" fillId="7" borderId="10" xfId="0" applyFont="1" applyFill="1" applyBorder="1" applyAlignment="1"/>
    <xf numFmtId="0" fontId="34" fillId="7" borderId="10" xfId="0" applyFont="1" applyFill="1" applyBorder="1" applyAlignment="1">
      <alignment horizontal="center"/>
    </xf>
    <xf numFmtId="0" fontId="33" fillId="0" borderId="10" xfId="0" applyFont="1" applyFill="1" applyBorder="1" applyAlignment="1">
      <alignment horizontal="left" wrapText="1"/>
    </xf>
    <xf numFmtId="0" fontId="34" fillId="0" borderId="10" xfId="0" applyFont="1" applyFill="1" applyBorder="1" applyAlignment="1">
      <alignment horizontal="left" wrapText="1"/>
    </xf>
    <xf numFmtId="0" fontId="33" fillId="7" borderId="10" xfId="0" applyFont="1" applyFill="1" applyBorder="1" applyAlignment="1">
      <alignment horizontal="center"/>
    </xf>
    <xf numFmtId="0" fontId="33" fillId="0" borderId="22" xfId="10" applyFont="1" applyFill="1" applyAlignment="1">
      <alignment horizontal="center"/>
    </xf>
    <xf numFmtId="49" fontId="33" fillId="0" borderId="15" xfId="4" applyNumberFormat="1" applyFont="1" applyFill="1" applyAlignment="1">
      <alignment horizontal="center"/>
    </xf>
    <xf numFmtId="0" fontId="33" fillId="0" borderId="12" xfId="0" applyFont="1" applyFill="1" applyBorder="1" applyAlignment="1">
      <alignment horizontal="left"/>
    </xf>
    <xf numFmtId="0" fontId="33" fillId="0" borderId="3" xfId="0" applyFont="1" applyFill="1" applyBorder="1" applyAlignment="1">
      <alignment horizontal="left"/>
    </xf>
    <xf numFmtId="0" fontId="33" fillId="10" borderId="10" xfId="1" applyFont="1" applyFill="1" applyBorder="1" applyAlignment="1">
      <alignment horizontal="left"/>
    </xf>
    <xf numFmtId="0" fontId="34" fillId="3" borderId="0" xfId="11" applyFont="1" applyFill="1" applyAlignment="1">
      <alignment horizontal="center"/>
    </xf>
    <xf numFmtId="0" fontId="33" fillId="0" borderId="10" xfId="0" applyFont="1" applyFill="1" applyBorder="1" applyAlignment="1">
      <alignment horizontal="center"/>
    </xf>
    <xf numFmtId="0" fontId="33" fillId="7" borderId="10" xfId="1" applyFont="1" applyFill="1" applyBorder="1" applyAlignment="1">
      <alignment horizontal="left"/>
    </xf>
    <xf numFmtId="0" fontId="65" fillId="0" borderId="0" xfId="0" applyFont="1" applyAlignment="1">
      <alignment horizontal="left"/>
    </xf>
    <xf numFmtId="0" fontId="73" fillId="0" borderId="0" xfId="0" applyFont="1" applyAlignment="1">
      <alignment horizontal="left"/>
    </xf>
    <xf numFmtId="17" fontId="28" fillId="4" borderId="0" xfId="0" applyNumberFormat="1" applyFont="1" applyFill="1" applyAlignment="1">
      <alignment horizontal="left" vertical="center"/>
    </xf>
    <xf numFmtId="17" fontId="35" fillId="4" borderId="0" xfId="0" applyNumberFormat="1" applyFont="1" applyFill="1" applyAlignment="1">
      <alignment horizontal="center" vertical="center"/>
    </xf>
  </cellXfs>
  <cellStyles count="102">
    <cellStyle name="20% - Énfasis1" xfId="29" builtinId="30" customBuiltin="1"/>
    <cellStyle name="20% - Énfasis1 2" xfId="56"/>
    <cellStyle name="20% - Énfasis1 2 2" xfId="88"/>
    <cellStyle name="20% - Énfasis1 3" xfId="69"/>
    <cellStyle name="20% - Énfasis2" xfId="33" builtinId="34" customBuiltin="1"/>
    <cellStyle name="20% - Énfasis2 2" xfId="58"/>
    <cellStyle name="20% - Énfasis2 2 2" xfId="90"/>
    <cellStyle name="20% - Énfasis2 3" xfId="71"/>
    <cellStyle name="20% - Énfasis3" xfId="37" builtinId="38" customBuiltin="1"/>
    <cellStyle name="20% - Énfasis3 2" xfId="60"/>
    <cellStyle name="20% - Énfasis3 2 2" xfId="92"/>
    <cellStyle name="20% - Énfasis3 3" xfId="73"/>
    <cellStyle name="20% - Énfasis4" xfId="41" builtinId="42" customBuiltin="1"/>
    <cellStyle name="20% - Énfasis4 2" xfId="62"/>
    <cellStyle name="20% - Énfasis4 2 2" xfId="94"/>
    <cellStyle name="20% - Énfasis4 3" xfId="75"/>
    <cellStyle name="20% - Énfasis5" xfId="11" builtinId="46"/>
    <cellStyle name="20% - Énfasis5 2" xfId="12"/>
    <cellStyle name="20% - Énfasis5 2 2" xfId="82"/>
    <cellStyle name="20% - Énfasis5 3" xfId="53"/>
    <cellStyle name="20% - Énfasis5 3 2" xfId="85"/>
    <cellStyle name="20% - Énfasis5 4" xfId="64"/>
    <cellStyle name="20% - Énfasis5 4 2" xfId="96"/>
    <cellStyle name="20% - Énfasis5 5" xfId="68"/>
    <cellStyle name="20% - Énfasis5 5 2" xfId="100"/>
    <cellStyle name="20% - Énfasis6" xfId="48" builtinId="50" customBuiltin="1"/>
    <cellStyle name="20% - Énfasis6 2" xfId="66"/>
    <cellStyle name="20% - Énfasis6 2 2" xfId="98"/>
    <cellStyle name="20% - Énfasis6 3" xfId="78"/>
    <cellStyle name="40% - Énfasis1" xfId="30" builtinId="31" customBuiltin="1"/>
    <cellStyle name="40% - Énfasis1 2" xfId="57"/>
    <cellStyle name="40% - Énfasis1 2 2" xfId="89"/>
    <cellStyle name="40% - Énfasis1 3" xfId="70"/>
    <cellStyle name="40% - Énfasis2" xfId="34" builtinId="35" customBuiltin="1"/>
    <cellStyle name="40% - Énfasis2 2" xfId="59"/>
    <cellStyle name="40% - Énfasis2 2 2" xfId="91"/>
    <cellStyle name="40% - Énfasis2 3" xfId="72"/>
    <cellStyle name="40% - Énfasis3" xfId="38" builtinId="39" customBuiltin="1"/>
    <cellStyle name="40% - Énfasis3 2" xfId="61"/>
    <cellStyle name="40% - Énfasis3 2 2" xfId="93"/>
    <cellStyle name="40% - Énfasis3 3" xfId="74"/>
    <cellStyle name="40% - Énfasis4" xfId="42" builtinId="43" customBuiltin="1"/>
    <cellStyle name="40% - Énfasis4 2" xfId="63"/>
    <cellStyle name="40% - Énfasis4 2 2" xfId="95"/>
    <cellStyle name="40% - Énfasis4 3" xfId="76"/>
    <cellStyle name="40% - Énfasis5" xfId="45" builtinId="47" customBuiltin="1"/>
    <cellStyle name="40% - Énfasis5 2" xfId="65"/>
    <cellStyle name="40% - Énfasis5 2 2" xfId="97"/>
    <cellStyle name="40% - Énfasis5 3" xfId="77"/>
    <cellStyle name="40% - Énfasis6" xfId="49" builtinId="51" customBuiltin="1"/>
    <cellStyle name="40% - Énfasis6 2" xfId="67"/>
    <cellStyle name="40% - Énfasis6 2 2" xfId="99"/>
    <cellStyle name="40% - Énfasis6 3" xfId="79"/>
    <cellStyle name="60% - Énfasis1" xfId="31" builtinId="32" customBuiltin="1"/>
    <cellStyle name="60% - Énfasis2" xfId="35" builtinId="36" customBuiltin="1"/>
    <cellStyle name="60% - Énfasis3" xfId="39" builtinId="40" customBuiltin="1"/>
    <cellStyle name="60% - Énfasis4" xfId="43" builtinId="44" customBuiltin="1"/>
    <cellStyle name="60% - Énfasis5" xfId="46" builtinId="48" customBuiltin="1"/>
    <cellStyle name="60% - Énfasis6" xfId="50" builtinId="52" customBuiltin="1"/>
    <cellStyle name="Buena" xfId="19" builtinId="26" customBuiltin="1"/>
    <cellStyle name="Cálculo" xfId="1" builtinId="22" customBuiltin="1"/>
    <cellStyle name="Celda de comprobación" xfId="6" builtinId="23" customBuiltin="1"/>
    <cellStyle name="Celda vinculada" xfId="24" builtinId="24" customBuiltin="1"/>
    <cellStyle name="Encabezado 4" xfId="18" builtinId="19" customBuiltin="1"/>
    <cellStyle name="Énfasis1" xfId="28" builtinId="29" customBuiltin="1"/>
    <cellStyle name="Énfasis2" xfId="32" builtinId="33" customBuiltin="1"/>
    <cellStyle name="Énfasis3" xfId="36" builtinId="37" customBuiltin="1"/>
    <cellStyle name="Énfasis4" xfId="40" builtinId="41" customBuiltin="1"/>
    <cellStyle name="Énfasis5" xfId="44" builtinId="45" customBuiltin="1"/>
    <cellStyle name="Énfasis6" xfId="47" builtinId="49" customBuiltin="1"/>
    <cellStyle name="Entrada" xfId="22" builtinId="20" customBuiltin="1"/>
    <cellStyle name="Incorrecto" xfId="20" builtinId="27" customBuiltin="1"/>
    <cellStyle name="Millares" xfId="2" builtinId="3"/>
    <cellStyle name="Millares 2" xfId="13"/>
    <cellStyle name="Millares 2 2" xfId="101"/>
    <cellStyle name="Millares 3" xfId="16"/>
    <cellStyle name="Millares 4" xfId="80"/>
    <cellStyle name="Moneda 2" xfId="14"/>
    <cellStyle name="Neutral" xfId="21" builtinId="28" customBuiltin="1"/>
    <cellStyle name="Normal" xfId="0" builtinId="0"/>
    <cellStyle name="Normal 2" xfId="7"/>
    <cellStyle name="Normal 3" xfId="8"/>
    <cellStyle name="Normal 4" xfId="9"/>
    <cellStyle name="Normal 5" xfId="51"/>
    <cellStyle name="Normal 5 2" xfId="83"/>
    <cellStyle name="Normal 6" xfId="54"/>
    <cellStyle name="Normal 6 2" xfId="86"/>
    <cellStyle name="Notas 2" xfId="52"/>
    <cellStyle name="Notas 2 2" xfId="84"/>
    <cellStyle name="Notas 3" xfId="55"/>
    <cellStyle name="Notas 3 2" xfId="87"/>
    <cellStyle name="Porcentaje" xfId="3" builtinId="5"/>
    <cellStyle name="Porcentaje 2" xfId="15"/>
    <cellStyle name="Porcentaje 3" xfId="81"/>
    <cellStyle name="Salida" xfId="23" builtinId="21" customBuiltin="1"/>
    <cellStyle name="Texto de advertencia" xfId="25" builtinId="11" customBuiltin="1"/>
    <cellStyle name="Texto explicativo" xfId="26" builtinId="53" customBuiltin="1"/>
    <cellStyle name="Título" xfId="17" builtinId="15" customBuiltin="1"/>
    <cellStyle name="Título 1" xfId="4" builtinId="16" customBuiltin="1"/>
    <cellStyle name="Título 2" xfId="10" builtinId="17" customBuiltin="1"/>
    <cellStyle name="Título 3" xfId="5" builtinId="18" customBuiltin="1"/>
    <cellStyle name="Total" xfId="27" builtinId="25" customBuiltin="1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Endeudamiento Total</a:t>
            </a:r>
          </a:p>
        </c:rich>
      </c:tx>
      <c:layout>
        <c:manualLayout>
          <c:xMode val="edge"/>
          <c:yMode val="edge"/>
          <c:x val="0.30832914502709025"/>
          <c:y val="1.408455299019826E-2"/>
        </c:manualLayout>
      </c:layout>
      <c:overlay val="0"/>
      <c:spPr>
        <a:noFill/>
        <a:ln w="25400">
          <a:noFill/>
        </a:ln>
      </c:spPr>
    </c:title>
    <c:autoTitleDeleted val="0"/>
    <c:view3D>
      <c:rotX val="43"/>
      <c:hPercent val="57"/>
      <c:rotY val="33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2056758464854959"/>
          <c:y val="0.12146926164498821"/>
          <c:w val="0.84574614525526559"/>
          <c:h val="0.7796631677678312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8137227527411645E-2"/>
                  <c:y val="-9.6332366348943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9038923326074212E-2"/>
                  <c:y val="-8.1364336036942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1713668770127138E-2"/>
                  <c:y val="-8.2964300515068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0354697117921143"/>
                  <c:y val="0.488701913129857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8865350151938844"/>
                  <c:y val="0.121469261644988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Indicadores'!$B$49:$B$51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Indicadores'!$C$49:$C$51</c:f>
              <c:numCache>
                <c:formatCode>0.00%</c:formatCode>
                <c:ptCount val="3"/>
                <c:pt idx="0">
                  <c:v>0.2615804447792105</c:v>
                </c:pt>
                <c:pt idx="1">
                  <c:v>0.2335182014545556</c:v>
                </c:pt>
                <c:pt idx="2">
                  <c:v>0.26008505362935164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371392"/>
        <c:axId val="73097984"/>
        <c:axId val="0"/>
      </c:bar3DChart>
      <c:catAx>
        <c:axId val="29371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73097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3097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93713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Activo Total</a:t>
            </a:r>
          </a:p>
        </c:rich>
      </c:tx>
      <c:layout>
        <c:manualLayout>
          <c:xMode val="edge"/>
          <c:yMode val="edge"/>
          <c:x val="0.45008183306055682"/>
          <c:y val="2.0202020202020211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hPercent val="44"/>
      <c:rotY val="44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6857610474631751"/>
          <c:y val="0.12794654864579599"/>
          <c:w val="0.79705400981995556"/>
          <c:h val="0.7643122774367286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6.2156011185999498E-2"/>
                  <c:y val="-5.9235298290416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8224501806341307E-2"/>
                  <c:y val="-7.4373127601474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2661958580872975E-2"/>
                  <c:y val="-6.0251471944385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4353518821602728"/>
                  <c:y val="0.205387880720883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4500818330605549"/>
                  <c:y val="0.131313563083843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Indicadores'!$B$216:$B$218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Indicadores'!$C$216:$C$218</c:f>
              <c:numCache>
                <c:formatCode>#,##0_);\(#,##0\)</c:formatCode>
                <c:ptCount val="3"/>
                <c:pt idx="0">
                  <c:v>396445373</c:v>
                </c:pt>
                <c:pt idx="1">
                  <c:v>438346533</c:v>
                </c:pt>
                <c:pt idx="2">
                  <c:v>475178782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510080"/>
        <c:axId val="30511872"/>
        <c:axId val="0"/>
      </c:bar3DChart>
      <c:catAx>
        <c:axId val="30510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5118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511872"/>
        <c:scaling>
          <c:orientation val="minMax"/>
          <c:min val="330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);\(#,##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510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Pasivo Total</a:t>
            </a:r>
          </a:p>
        </c:rich>
      </c:tx>
      <c:layout>
        <c:manualLayout>
          <c:xMode val="edge"/>
          <c:yMode val="edge"/>
          <c:x val="0.43349822651478931"/>
          <c:y val="1.9801824446211865E-2"/>
        </c:manualLayout>
      </c:layout>
      <c:overlay val="0"/>
      <c:spPr>
        <a:noFill/>
        <a:ln w="25400">
          <a:noFill/>
        </a:ln>
      </c:spPr>
    </c:title>
    <c:autoTitleDeleted val="0"/>
    <c:view3D>
      <c:rotX val="34"/>
      <c:hPercent val="44"/>
      <c:rotY val="44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6256183703086041"/>
          <c:y val="0.14191464880701887"/>
          <c:w val="0.81116714639641441"/>
          <c:h val="0.7491773320742256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5213787931680955E-2"/>
                  <c:y val="-8.7322407174673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4023591878601382E-2"/>
                  <c:y val="-0.127140136894652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9001978201000738E-2"/>
                  <c:y val="-7.68085361878784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4170842587173176"/>
                  <c:y val="0.306931682303534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4023075134498044"/>
                  <c:y val="0.138614308137086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Indicadores'!$B$237:$B$239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Indicadores'!$C$237:$C$239</c:f>
              <c:numCache>
                <c:formatCode>#,##0_);\(#,##0\)</c:formatCode>
                <c:ptCount val="3"/>
                <c:pt idx="0">
                  <c:v>103702357</c:v>
                </c:pt>
                <c:pt idx="1">
                  <c:v>102361894</c:v>
                </c:pt>
                <c:pt idx="2">
                  <c:v>123586899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790784"/>
        <c:axId val="30792320"/>
        <c:axId val="0"/>
      </c:bar3DChart>
      <c:catAx>
        <c:axId val="30790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792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7923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);\(#,##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790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 los Ingresos Totales</a:t>
            </a:r>
          </a:p>
        </c:rich>
      </c:tx>
      <c:layout>
        <c:manualLayout>
          <c:xMode val="edge"/>
          <c:yMode val="edge"/>
          <c:x val="0.39508231143238903"/>
          <c:y val="2.0408242888558369E-2"/>
        </c:manualLayout>
      </c:layout>
      <c:overlay val="0"/>
      <c:spPr>
        <a:noFill/>
        <a:ln w="25400">
          <a:noFill/>
        </a:ln>
      </c:spPr>
    </c:title>
    <c:autoTitleDeleted val="0"/>
    <c:view3D>
      <c:rotX val="32"/>
      <c:hPercent val="41"/>
      <c:rotY val="44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6393455745273874"/>
          <c:y val="0.15986447659065744"/>
          <c:w val="0.80983671381652933"/>
          <c:h val="0.717689458736801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9235316896863344E-2"/>
                  <c:y val="-0.129350373259417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2061701303730478E-2"/>
                  <c:y val="-0.1197000842184446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1827804311346327E-2"/>
                  <c:y val="-8.3826115485564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2295115822806595"/>
                  <c:y val="0.129252130009470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2295123827423662"/>
                  <c:y val="0.523811263722575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55901684091383907"/>
                  <c:y val="0.132653501851821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Indicadores'!$B$260:$B$262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Indicadores'!$C$260:$C$262</c:f>
              <c:numCache>
                <c:formatCode>#,##0_);\(#,##0\)</c:formatCode>
                <c:ptCount val="3"/>
                <c:pt idx="0">
                  <c:v>160697729</c:v>
                </c:pt>
                <c:pt idx="1">
                  <c:v>184821561</c:v>
                </c:pt>
                <c:pt idx="2">
                  <c:v>210544266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678016"/>
        <c:axId val="30696192"/>
        <c:axId val="0"/>
      </c:bar3DChart>
      <c:catAx>
        <c:axId val="30678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696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696192"/>
        <c:scaling>
          <c:orientation val="minMax"/>
          <c:min val="32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);\(#,##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678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 los Gastos Totales</a:t>
            </a:r>
          </a:p>
        </c:rich>
      </c:tx>
      <c:layout>
        <c:manualLayout>
          <c:xMode val="edge"/>
          <c:yMode val="edge"/>
          <c:x val="0.38704318936877607"/>
          <c:y val="1.6286544623562754E-2"/>
        </c:manualLayout>
      </c:layout>
      <c:overlay val="0"/>
      <c:spPr>
        <a:noFill/>
        <a:ln w="25400">
          <a:noFill/>
        </a:ln>
      </c:spPr>
    </c:title>
    <c:autoTitleDeleted val="0"/>
    <c:view3D>
      <c:rotX val="35"/>
      <c:hPercent val="46"/>
      <c:rotY val="44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8272425249170349"/>
          <c:y val="0.12703603266877142"/>
          <c:w val="0.79069767441863303"/>
          <c:h val="0.7654735301836226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8840086849608918E-2"/>
                  <c:y val="-8.88418219874414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5.6820746243928813E-2"/>
                  <c:y val="-8.3629024220073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7049293256947532E-2"/>
                  <c:y val="-8.3805109804312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2524916943521596"/>
                  <c:y val="0.130293366839766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2657807308970095"/>
                  <c:y val="0.543974806556048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59302325581393756"/>
                  <c:y val="0.1302933668397664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Indicadores'!$B$290:$B$292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Indicadores'!$C$290:$C$292</c:f>
              <c:numCache>
                <c:formatCode>#,##0_);\(#,##0\)</c:formatCode>
                <c:ptCount val="3"/>
                <c:pt idx="0">
                  <c:v>144884873</c:v>
                </c:pt>
                <c:pt idx="1">
                  <c:v>173740672</c:v>
                </c:pt>
                <c:pt idx="2">
                  <c:v>195197934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803072"/>
        <c:axId val="30804608"/>
        <c:axId val="0"/>
      </c:bar3DChart>
      <c:catAx>
        <c:axId val="3080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804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8046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);\(#,##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803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.55" header="0" footer="0"/>
    <c:pageSetup paperSize="9"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4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Excedente Neto</a:t>
            </a:r>
          </a:p>
        </c:rich>
      </c:tx>
      <c:layout>
        <c:manualLayout>
          <c:xMode val="edge"/>
          <c:yMode val="edge"/>
          <c:x val="0.31256847812057026"/>
          <c:y val="1.466545653755898E-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3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7049193975085244"/>
          <c:y val="0.10863509749303622"/>
          <c:w val="0.80983671381652933"/>
          <c:h val="0.7938718662952646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325924013596661E-2"/>
                  <c:y val="-6.2935367454068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7405189105460179E-2"/>
                  <c:y val="-5.20501968503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8272621659997419E-2"/>
                  <c:y val="-4.6601049868766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3278723167523031"/>
                  <c:y val="0.128133704735376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3278731172140059"/>
                  <c:y val="0.225626740947075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60983655372419165"/>
                  <c:y val="9.7493036211699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Indicadores'!$B$316:$B$318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Indicadores'!$C$316:$C$318</c:f>
              <c:numCache>
                <c:formatCode>#,##0_);\(#,##0\)</c:formatCode>
                <c:ptCount val="3"/>
                <c:pt idx="0">
                  <c:v>15812856</c:v>
                </c:pt>
                <c:pt idx="1">
                  <c:v>11080889</c:v>
                </c:pt>
                <c:pt idx="2">
                  <c:v>15346332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841856"/>
        <c:axId val="31195904"/>
        <c:axId val="0"/>
      </c:bar3DChart>
      <c:catAx>
        <c:axId val="3084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195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1959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);\(#,##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841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Índice Corriente</a:t>
            </a:r>
          </a:p>
        </c:rich>
      </c:tx>
      <c:layout>
        <c:manualLayout>
          <c:xMode val="edge"/>
          <c:yMode val="edge"/>
          <c:x val="0.36998309766253507"/>
          <c:y val="1.5479876160990712E-2"/>
        </c:manualLayout>
      </c:layout>
      <c:overlay val="0"/>
      <c:spPr>
        <a:noFill/>
        <a:ln w="25400">
          <a:noFill/>
        </a:ln>
      </c:spPr>
    </c:title>
    <c:autoTitleDeleted val="0"/>
    <c:view3D>
      <c:rotX val="43"/>
      <c:hPercent val="51"/>
      <c:rotY val="33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9005387293758342E-2"/>
          <c:y val="0.13003095975232898"/>
          <c:w val="0.88481826192029756"/>
          <c:h val="0.76780185758520314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065300737931319E-2"/>
                  <c:y val="-8.9587934635105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8936939165326846E-2"/>
                  <c:y val="-8.66030531230325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1874006586873062E-2"/>
                  <c:y val="-0.103369493673971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48342141726219123"/>
                  <c:y val="0.145510835913312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9162404495261856"/>
                  <c:y val="0.105263157894736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Indicadores'!$B$11:$B$13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Indicadores'!$C$11:$C$13</c:f>
              <c:numCache>
                <c:formatCode>#,##0.00</c:formatCode>
                <c:ptCount val="3"/>
                <c:pt idx="0">
                  <c:v>3.1692937479680583</c:v>
                </c:pt>
                <c:pt idx="1">
                  <c:v>3.8632832623598738</c:v>
                </c:pt>
                <c:pt idx="2">
                  <c:v>3.5066945567448746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1220864"/>
        <c:axId val="31222400"/>
        <c:axId val="0"/>
      </c:bar3DChart>
      <c:catAx>
        <c:axId val="3122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222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2224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220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 la Cobertura de Intereses</a:t>
            </a:r>
          </a:p>
        </c:rich>
      </c:tx>
      <c:layout>
        <c:manualLayout>
          <c:xMode val="edge"/>
          <c:yMode val="edge"/>
          <c:x val="0.32615928803601535"/>
          <c:y val="1.547994574072736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8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748415307791233E-2"/>
          <c:y val="0.11455108359133125"/>
          <c:w val="0.89569608833047365"/>
          <c:h val="0.7832817337461300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9552762858285099E-2"/>
                  <c:y val="-3.113086324332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9737880447063322E-2"/>
                  <c:y val="-4.7132022607603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7660217969442562E-2"/>
                  <c:y val="-3.8160797384989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3708644606146552"/>
                  <c:y val="0.142414860681116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3807990518928595"/>
                  <c:y val="0.25077399380804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61589453763207425"/>
                  <c:y val="0.10835913312693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Indicadores'!$B$340:$B$342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Indicadores'!$C$340:$C$342</c:f>
              <c:numCache>
                <c:formatCode>#,##0_);[Red]\(#,##0\)</c:formatCode>
                <c:ptCount val="3"/>
                <c:pt idx="0">
                  <c:v>13.192549771314161</c:v>
                </c:pt>
                <c:pt idx="1">
                  <c:v>7.4921346721207014</c:v>
                </c:pt>
                <c:pt idx="2">
                  <c:v>15.250446407041055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1333376"/>
        <c:axId val="31339264"/>
        <c:axId val="0"/>
      </c:bar3DChart>
      <c:catAx>
        <c:axId val="31333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339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3392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333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EBITDA</a:t>
            </a:r>
          </a:p>
        </c:rich>
      </c:tx>
      <c:layout>
        <c:manualLayout>
          <c:xMode val="edge"/>
          <c:yMode val="edge"/>
          <c:x val="0.51158975161217424"/>
          <c:y val="1.547984072084443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8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748415307791233E-2"/>
          <c:y val="0.11455108359133125"/>
          <c:w val="0.89569608833047365"/>
          <c:h val="0.7832817337461300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6308251203698875E-2"/>
                  <c:y val="-3.9631889763779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9955502250960352E-2"/>
                  <c:y val="-6.2331364829396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5324607602857589E-2"/>
                  <c:y val="-5.4008530183726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3708644606146563"/>
                  <c:y val="0.142414860681116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3807990518928595"/>
                  <c:y val="0.25077399380804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6158945376320748"/>
                  <c:y val="0.10835913312693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Indicadores'!$B$371:$B$373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Indicadores'!$C$371:$C$373</c:f>
              <c:numCache>
                <c:formatCode>#,##0_ ;[Red]\-#,##0\ </c:formatCode>
                <c:ptCount val="3"/>
                <c:pt idx="0">
                  <c:v>23496538</c:v>
                </c:pt>
                <c:pt idx="1">
                  <c:v>15638048</c:v>
                </c:pt>
                <c:pt idx="2">
                  <c:v>25613445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1401088"/>
        <c:axId val="31402624"/>
        <c:axId val="0"/>
      </c:bar3DChart>
      <c:catAx>
        <c:axId val="314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402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4026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 ;[Red]\-#,##0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401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/>
              <a:t>Margen</a:t>
            </a:r>
            <a:r>
              <a:rPr lang="es-CO" baseline="0"/>
              <a:t> Ebitda</a:t>
            </a:r>
          </a:p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rich>
      </c:tx>
      <c:layout>
        <c:manualLayout>
          <c:xMode val="edge"/>
          <c:yMode val="edge"/>
          <c:x val="0.44094957501173276"/>
          <c:y val="2.7245291406978807E-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8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748415307791233E-2"/>
          <c:y val="0.11455108359133125"/>
          <c:w val="0.89569608833047365"/>
          <c:h val="0.7832817337461300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0233091724461595E-2"/>
                  <c:y val="-3.49887636594445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3222088960734211E-2"/>
                  <c:y val="-4.84658535330142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7932592862978219E-2"/>
                  <c:y val="-5.50440018527095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3708644606146563"/>
                  <c:y val="0.142414860681116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3807990518928595"/>
                  <c:y val="0.25077399380804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6158945376320748"/>
                  <c:y val="0.10835913312693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Indicadores'!$B$395:$B$397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Indicadores'!$C$395:$C$397</c:f>
              <c:numCache>
                <c:formatCode>0.00%</c:formatCode>
                <c:ptCount val="3"/>
                <c:pt idx="0">
                  <c:v>0.13905477115136441</c:v>
                </c:pt>
                <c:pt idx="1">
                  <c:v>9.1129054872109816E-2</c:v>
                </c:pt>
                <c:pt idx="2">
                  <c:v>0.12822558166997869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1443968"/>
        <c:axId val="31445760"/>
        <c:axId val="0"/>
      </c:bar3DChart>
      <c:catAx>
        <c:axId val="3144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445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4457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443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Endeudamiento Total</a:t>
            </a:r>
          </a:p>
        </c:rich>
      </c:tx>
      <c:layout>
        <c:manualLayout>
          <c:xMode val="edge"/>
          <c:yMode val="edge"/>
          <c:x val="0.30832914502709025"/>
          <c:y val="1.408455299019826E-2"/>
        </c:manualLayout>
      </c:layout>
      <c:overlay val="0"/>
      <c:spPr>
        <a:noFill/>
        <a:ln w="25400">
          <a:noFill/>
        </a:ln>
      </c:spPr>
    </c:title>
    <c:autoTitleDeleted val="0"/>
    <c:view3D>
      <c:rotX val="43"/>
      <c:hPercent val="57"/>
      <c:rotY val="33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2056758464854959"/>
          <c:y val="0.12146926164498821"/>
          <c:w val="0.84574614525526559"/>
          <c:h val="0.7796631677678312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8137227527411659E-2"/>
                  <c:y val="-9.6332366348943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9038923326074212E-2"/>
                  <c:y val="-8.1364336036942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1713668770127138E-2"/>
                  <c:y val="-8.2964300515068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0354697117921121"/>
                  <c:y val="0.48870191312985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8865350151938844"/>
                  <c:y val="0.121469261644988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Indicadores'!$B$49:$B$51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Indicadores'!$C$49:$C$51</c:f>
              <c:numCache>
                <c:formatCode>0.00%</c:formatCode>
                <c:ptCount val="3"/>
                <c:pt idx="0">
                  <c:v>0.2615804447792105</c:v>
                </c:pt>
                <c:pt idx="1">
                  <c:v>0.2335182014545556</c:v>
                </c:pt>
                <c:pt idx="2">
                  <c:v>0.26008505362935164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1495296"/>
        <c:axId val="31496832"/>
        <c:axId val="0"/>
      </c:bar3DChart>
      <c:catAx>
        <c:axId val="31495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496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496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495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Índice Corriente</a:t>
            </a:r>
          </a:p>
        </c:rich>
      </c:tx>
      <c:layout>
        <c:manualLayout>
          <c:xMode val="edge"/>
          <c:yMode val="edge"/>
          <c:x val="0.36998309766253507"/>
          <c:y val="1.5479876160990712E-2"/>
        </c:manualLayout>
      </c:layout>
      <c:overlay val="0"/>
      <c:spPr>
        <a:noFill/>
        <a:ln w="25400">
          <a:noFill/>
        </a:ln>
      </c:spPr>
    </c:title>
    <c:autoTitleDeleted val="0"/>
    <c:view3D>
      <c:rotX val="43"/>
      <c:hPercent val="51"/>
      <c:rotY val="33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9005387293758342E-2"/>
          <c:y val="0.13003095975232892"/>
          <c:w val="0.88481826192029756"/>
          <c:h val="0.7678018575852027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065300737931319E-2"/>
                  <c:y val="-8.5459965652441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3590807693540928E-2"/>
                  <c:y val="-0.1031661320112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1874189810043413E-2"/>
                  <c:y val="-9.92414374129159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48342141726219112"/>
                  <c:y val="0.145510835913312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9162404495261856"/>
                  <c:y val="0.105263157894736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Indicadores'!$B$11:$B$13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Indicadores'!$C$11:$C$13</c:f>
              <c:numCache>
                <c:formatCode>#,##0.00</c:formatCode>
                <c:ptCount val="3"/>
                <c:pt idx="0">
                  <c:v>3.1692937479680583</c:v>
                </c:pt>
                <c:pt idx="1">
                  <c:v>3.8632832623598738</c:v>
                </c:pt>
                <c:pt idx="2">
                  <c:v>3.5066945567448746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26816"/>
        <c:axId val="29428352"/>
        <c:axId val="0"/>
      </c:bar3DChart>
      <c:catAx>
        <c:axId val="29426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9428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4283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9426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Endeudamiento Total Sin Diferidos</a:t>
            </a:r>
          </a:p>
        </c:rich>
      </c:tx>
      <c:layout>
        <c:manualLayout>
          <c:xMode val="edge"/>
          <c:yMode val="edge"/>
          <c:x val="0.13786042702109044"/>
          <c:y val="1.408455299019826E-2"/>
        </c:manualLayout>
      </c:layout>
      <c:overlay val="0"/>
      <c:spPr>
        <a:noFill/>
        <a:ln w="25400">
          <a:noFill/>
        </a:ln>
      </c:spPr>
    </c:title>
    <c:autoTitleDeleted val="0"/>
    <c:view3D>
      <c:rotX val="43"/>
      <c:hPercent val="57"/>
      <c:rotY val="33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2056758464854959"/>
          <c:y val="0.12146926164498821"/>
          <c:w val="0.84574614525526559"/>
          <c:h val="0.7796631677678312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'Graficos Indicadores'!$C$78:$C$80</c:f>
              <c:strCache>
                <c:ptCount val="1"/>
                <c:pt idx="0">
                  <c:v>9,41% 7,02% 6,65%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2865173768172594E-2"/>
                  <c:y val="-9.2651515151515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4.3767055713780458E-2"/>
                  <c:y val="-0.104156525888809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4.1713482623182738E-2"/>
                  <c:y val="-8.29858625626342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0354697117921099"/>
                  <c:y val="0.488701913129858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8865350151938844"/>
                  <c:y val="0.121469261644988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Indicadores'!$B$78:$B$80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Indicadores'!$C$78:$C$80</c:f>
              <c:numCache>
                <c:formatCode>0.00%</c:formatCode>
                <c:ptCount val="3"/>
                <c:pt idx="0">
                  <c:v>9.4128771683255341E-2</c:v>
                </c:pt>
                <c:pt idx="1">
                  <c:v>7.0182526115702165E-2</c:v>
                </c:pt>
                <c:pt idx="2">
                  <c:v>6.6479933862030063E-2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1518080"/>
        <c:axId val="31536256"/>
        <c:axId val="0"/>
      </c:bar3DChart>
      <c:catAx>
        <c:axId val="31518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536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5362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15180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Situación de Solidez</a:t>
            </a:r>
          </a:p>
        </c:rich>
      </c:tx>
      <c:layout>
        <c:manualLayout>
          <c:xMode val="edge"/>
          <c:yMode val="edge"/>
          <c:x val="0.36082528343751397"/>
          <c:y val="3.64964044921894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20092723255268E-2"/>
          <c:y val="0.24087634166204824"/>
          <c:w val="0.87972656204120003"/>
          <c:h val="0.59489157107445234"/>
        </c:manualLayout>
      </c:layout>
      <c:lineChart>
        <c:grouping val="stacke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1282961643842122E-2"/>
                  <c:y val="-6.27904381871345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119192415201424E-2"/>
                  <c:y val="-8.9674663836698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154650289399506E-2"/>
                  <c:y val="-7.63493124670773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4329971290356679"/>
                  <c:y val="0.1386863785326944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601383969246615"/>
                  <c:y val="0.2262777755007118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Indicadores'!$B$186:$B$188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Indicadores'!$C$186:$C$188</c:f>
              <c:numCache>
                <c:formatCode>0.00</c:formatCode>
                <c:ptCount val="3"/>
                <c:pt idx="0">
                  <c:v>3.822915741442598</c:v>
                </c:pt>
                <c:pt idx="1">
                  <c:v>4.2823214369206575</c:v>
                </c:pt>
                <c:pt idx="2">
                  <c:v>3.8448960678267361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9464064"/>
        <c:axId val="29475200"/>
      </c:lineChart>
      <c:catAx>
        <c:axId val="29464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9475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475200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946406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landscape" horizontalDpi="-1" verticalDpi="96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Endeudamiento Total</a:t>
            </a:r>
          </a:p>
        </c:rich>
      </c:tx>
      <c:layout>
        <c:manualLayout>
          <c:xMode val="edge"/>
          <c:yMode val="edge"/>
          <c:x val="0.30832914502709025"/>
          <c:y val="1.408455299019826E-2"/>
        </c:manualLayout>
      </c:layout>
      <c:overlay val="0"/>
      <c:spPr>
        <a:noFill/>
        <a:ln w="25400">
          <a:noFill/>
        </a:ln>
      </c:spPr>
    </c:title>
    <c:autoTitleDeleted val="0"/>
    <c:view3D>
      <c:rotX val="43"/>
      <c:hPercent val="57"/>
      <c:rotY val="33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2056758464854959"/>
          <c:y val="0.12146926164498821"/>
          <c:w val="0.84574614525526559"/>
          <c:h val="0.7796631677678312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5772975186612314E-2"/>
                  <c:y val="-8.13093533762825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6674857132220177E-2"/>
                  <c:y val="-0.107772309711286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9349416429329313E-2"/>
                  <c:y val="-0.101776127415891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0354697117921121"/>
                  <c:y val="0.48870191312985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8865350151938844"/>
                  <c:y val="0.121469261644988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Indicadores'!$B$49:$B$51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Indicadores'!$C$49:$C$51</c:f>
              <c:numCache>
                <c:formatCode>0.00%</c:formatCode>
                <c:ptCount val="3"/>
                <c:pt idx="0">
                  <c:v>0.2615804447792105</c:v>
                </c:pt>
                <c:pt idx="1">
                  <c:v>0.2335182014545556</c:v>
                </c:pt>
                <c:pt idx="2">
                  <c:v>0.26008505362935164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569216"/>
        <c:axId val="30570752"/>
        <c:axId val="0"/>
      </c:bar3DChart>
      <c:catAx>
        <c:axId val="30569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570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5707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56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Margen Neto de Utilidad</a:t>
            </a:r>
          </a:p>
        </c:rich>
      </c:tx>
      <c:layout>
        <c:manualLayout>
          <c:xMode val="edge"/>
          <c:yMode val="edge"/>
          <c:x val="0.34017147856517926"/>
          <c:y val="3.676459797364039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64986086048495"/>
          <c:y val="0.26102941176471783"/>
          <c:w val="0.81880478566504022"/>
          <c:h val="0.54044117647060064"/>
        </c:manualLayout>
      </c:layout>
      <c:lineChart>
        <c:grouping val="stacke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1823550499682606E-2"/>
                  <c:y val="-9.33473552684037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706808937514532E-2"/>
                  <c:y val="-9.17909526015130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0683933540350322E-2"/>
                  <c:y val="-6.75876177242551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5982982744028938"/>
                  <c:y val="0.2610294117647178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6923171947068563"/>
                  <c:y val="0.1544117647058824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Indicadores'!$B$120:$B$122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Indicadores'!$C$120:$C$122</c:f>
              <c:numCache>
                <c:formatCode>0.00%</c:formatCode>
                <c:ptCount val="3"/>
                <c:pt idx="0">
                  <c:v>9.9136668133170888E-2</c:v>
                </c:pt>
                <c:pt idx="1">
                  <c:v>6.457271490021789E-2</c:v>
                </c:pt>
                <c:pt idx="2">
                  <c:v>7.6826539624037599E-2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0352896"/>
        <c:axId val="30360320"/>
      </c:lineChart>
      <c:catAx>
        <c:axId val="30352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lang="es-ES"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Año</a:t>
                </a:r>
              </a:p>
            </c:rich>
          </c:tx>
          <c:layout>
            <c:manualLayout>
              <c:xMode val="edge"/>
              <c:yMode val="edge"/>
              <c:x val="0.4700861879444681"/>
              <c:y val="0.8970586741173481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360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360320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35289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.55" header="0" footer="0"/>
    <c:pageSetup paperSize="9"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Rendimiento del Patrimonio</a:t>
            </a:r>
          </a:p>
        </c:rich>
      </c:tx>
      <c:layout>
        <c:manualLayout>
          <c:xMode val="edge"/>
          <c:yMode val="edge"/>
          <c:x val="0.32405891980361007"/>
          <c:y val="3.66300745253566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402618657938632"/>
          <c:y val="0.21978100597028821"/>
          <c:w val="0.84124386252049432"/>
          <c:h val="0.57875664905509194"/>
        </c:manualLayout>
      </c:layout>
      <c:lineChart>
        <c:grouping val="stacke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5.2373158756137468E-2"/>
                  <c:y val="-9.62551886361075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6552100381887595E-2"/>
                  <c:y val="0.1396280956433797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510092744135292E-2"/>
                  <c:y val="-9.5094236904162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6153846153847339"/>
                  <c:y val="0.1208795532836586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7937806873977082"/>
                  <c:y val="0.2454221233334883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Indicadores'!$B$144:$B$146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Indicadores'!$C$144:$C$146</c:f>
              <c:numCache>
                <c:formatCode>0.00%</c:formatCode>
                <c:ptCount val="3"/>
                <c:pt idx="0">
                  <c:v>5.7222359149295639E-2</c:v>
                </c:pt>
                <c:pt idx="1">
                  <c:v>3.2980353009531484E-2</c:v>
                </c:pt>
                <c:pt idx="2">
                  <c:v>4.3648140762111966E-2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0378624"/>
        <c:axId val="30406144"/>
      </c:lineChart>
      <c:catAx>
        <c:axId val="30378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406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406144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378624"/>
        <c:crosses val="autoZero"/>
        <c:crossBetween val="between"/>
      </c:valAx>
      <c:spPr>
        <a:solidFill>
          <a:srgbClr val="FFFFFF"/>
        </a:solidFill>
        <a:ln w="381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Rendimiento del Activo</a:t>
            </a:r>
          </a:p>
        </c:rich>
      </c:tx>
      <c:layout>
        <c:manualLayout>
          <c:xMode val="edge"/>
          <c:yMode val="edge"/>
          <c:x val="0.34840923778999988"/>
          <c:y val="3.67891513560804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5348005241711"/>
          <c:y val="0.22742474916387959"/>
          <c:w val="0.84589753110859411"/>
          <c:h val="0.60869565217396771"/>
        </c:manualLayout>
      </c:layout>
      <c:lineChart>
        <c:grouping val="stacke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4489187450059993E-2"/>
                  <c:y val="-7.29556965914377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3322289680303933E-2"/>
                  <c:y val="-0.1048576620230163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3830260669189477E-2"/>
                  <c:y val="-9.19551611232557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48241284942429991"/>
                  <c:y val="0.1438127090301004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8459057100373446"/>
                  <c:y val="0.153846153846164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Indicadores'!$B$166:$B$168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Indicadores'!$C$166:$C$168</c:f>
              <c:numCache>
                <c:formatCode>0.00%</c:formatCode>
                <c:ptCount val="3"/>
                <c:pt idx="0">
                  <c:v>4.2254108991707159E-2</c:v>
                </c:pt>
                <c:pt idx="1">
                  <c:v>2.5278840291409355E-2</c:v>
                </c:pt>
                <c:pt idx="2">
                  <c:v>3.2295911731176581E-2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447104"/>
        <c:axId val="30448640"/>
      </c:lineChart>
      <c:catAx>
        <c:axId val="3044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448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448640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44710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Comportamiento del Capital de Trabajo</a:t>
            </a:r>
          </a:p>
        </c:rich>
      </c:tx>
      <c:layout>
        <c:manualLayout>
          <c:xMode val="edge"/>
          <c:yMode val="edge"/>
          <c:x val="0.36823789696445397"/>
          <c:y val="2.2675736961451608E-3"/>
        </c:manualLayout>
      </c:layout>
      <c:overlay val="0"/>
      <c:spPr>
        <a:noFill/>
        <a:ln w="25400">
          <a:noFill/>
        </a:ln>
      </c:spPr>
    </c:title>
    <c:autoTitleDeleted val="0"/>
    <c:view3D>
      <c:rotX val="43"/>
      <c:hPercent val="51"/>
      <c:rotY val="33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7102995989781244"/>
          <c:y val="9.1837039743568466E-2"/>
          <c:w val="0.81151970767839265"/>
          <c:h val="0.81292787032269864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4.5403434518329233E-2"/>
                  <c:y val="-8.8849250986483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1660597399147096E-2"/>
                  <c:y val="-0.106969402797253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3.2908896859096801E-2"/>
                  <c:y val="-0.135232445259411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48691182460703092"/>
                  <c:y val="0.585139318885448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58289802659052403"/>
                  <c:y val="0.50464396284829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Indicadores'!$B$31:$B$33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Indicadores'!$C$31:$C$33</c:f>
              <c:numCache>
                <c:formatCode>_(* #,##0_);_(* \(#,##0\);_(* "-"??_);_(@_)</c:formatCode>
                <c:ptCount val="3"/>
                <c:pt idx="0">
                  <c:v>59058096</c:v>
                </c:pt>
                <c:pt idx="1">
                  <c:v>74310487</c:v>
                </c:pt>
                <c:pt idx="2">
                  <c:v>104760185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887296"/>
        <c:axId val="30889088"/>
        <c:axId val="0"/>
      </c:bar3DChart>
      <c:catAx>
        <c:axId val="3088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889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889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8872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Situación del Apalancamiento Financiero</a:t>
            </a:r>
          </a:p>
        </c:rich>
      </c:tx>
      <c:layout>
        <c:manualLayout>
          <c:xMode val="edge"/>
          <c:yMode val="edge"/>
          <c:x val="0.23310828545080736"/>
          <c:y val="3.66301121450737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95958067163944"/>
          <c:y val="0.16483575447771606"/>
          <c:w val="0.82939257597439819"/>
          <c:h val="0.59340871611977775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circle"/>
            <c:size val="8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6.4470809392069228E-2"/>
                  <c:y val="-6.32223335719398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4043058806838424E-2"/>
                  <c:y val="0.1394554044380817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9425785455576484E-2"/>
                  <c:y val="-8.96531951055717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Mode val="edge"/>
                  <c:yMode val="edge"/>
                  <c:x val="0.50168960298249365"/>
                  <c:y val="0.1684987712438873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61824375317032565"/>
                  <c:y val="0.219781005970288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" sz="1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Indicadores'!$B$102:$B$104</c:f>
              <c:numCache>
                <c:formatCode>General</c:formatCode>
                <c:ptCount val="3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</c:numCache>
            </c:numRef>
          </c:cat>
          <c:val>
            <c:numRef>
              <c:f>'Graficos Indicadores'!$C$102:$C$104</c:f>
              <c:numCache>
                <c:formatCode>0.00%</c:formatCode>
                <c:ptCount val="3"/>
                <c:pt idx="0">
                  <c:v>5.3369987142579692E-2</c:v>
                </c:pt>
                <c:pt idx="1">
                  <c:v>3.4121714713272945E-2</c:v>
                </c:pt>
                <c:pt idx="2">
                  <c:v>5.7821272284605046E-3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930048"/>
        <c:axId val="30931584"/>
      </c:lineChart>
      <c:catAx>
        <c:axId val="30930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9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931584"/>
        <c:scaling>
          <c:orientation val="minMax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 sz="1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93004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10</xdr:row>
      <xdr:rowOff>133350</xdr:rowOff>
    </xdr:from>
    <xdr:to>
      <xdr:col>7</xdr:col>
      <xdr:colOff>762000</xdr:colOff>
      <xdr:row>28</xdr:row>
      <xdr:rowOff>38100</xdr:rowOff>
    </xdr:to>
    <xdr:pic>
      <xdr:nvPicPr>
        <xdr:cNvPr id="1126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0" y="1771650"/>
          <a:ext cx="5429250" cy="2819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59</xdr:row>
      <xdr:rowOff>0</xdr:rowOff>
    </xdr:from>
    <xdr:to>
      <xdr:col>10</xdr:col>
      <xdr:colOff>452436</xdr:colOff>
      <xdr:row>77</xdr:row>
      <xdr:rowOff>1</xdr:rowOff>
    </xdr:to>
    <xdr:pic>
      <xdr:nvPicPr>
        <xdr:cNvPr id="7" name="6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49250"/>
          <a:ext cx="8620124" cy="42624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1</xdr:rowOff>
    </xdr:from>
    <xdr:to>
      <xdr:col>10</xdr:col>
      <xdr:colOff>440530</xdr:colOff>
      <xdr:row>53</xdr:row>
      <xdr:rowOff>321470</xdr:rowOff>
    </xdr:to>
    <xdr:pic>
      <xdr:nvPicPr>
        <xdr:cNvPr id="9" name="8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9157"/>
          <a:ext cx="8608218" cy="71080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2390775</xdr:colOff>
      <xdr:row>61</xdr:row>
      <xdr:rowOff>0</xdr:rowOff>
    </xdr:from>
    <xdr:ext cx="184731" cy="284209"/>
    <xdr:sp macro="" textlink="">
      <xdr:nvSpPr>
        <xdr:cNvPr id="2" name="1 CuadroTexto"/>
        <xdr:cNvSpPr txBox="1"/>
      </xdr:nvSpPr>
      <xdr:spPr>
        <a:xfrm>
          <a:off x="2409825" y="3007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s-ES_tradnl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43</xdr:row>
      <xdr:rowOff>161925</xdr:rowOff>
    </xdr:from>
    <xdr:to>
      <xdr:col>10</xdr:col>
      <xdr:colOff>257175</xdr:colOff>
      <xdr:row>61</xdr:row>
      <xdr:rowOff>85725</xdr:rowOff>
    </xdr:to>
    <xdr:graphicFrame macro="">
      <xdr:nvGraphicFramePr>
        <xdr:cNvPr id="13313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190500</xdr:colOff>
      <xdr:row>3</xdr:row>
      <xdr:rowOff>123825</xdr:rowOff>
    </xdr:from>
    <xdr:to>
      <xdr:col>10</xdr:col>
      <xdr:colOff>314325</xdr:colOff>
      <xdr:row>19</xdr:row>
      <xdr:rowOff>123825</xdr:rowOff>
    </xdr:to>
    <xdr:graphicFrame macro="">
      <xdr:nvGraphicFramePr>
        <xdr:cNvPr id="13314" name="Chart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295275</xdr:colOff>
      <xdr:row>180</xdr:row>
      <xdr:rowOff>114300</xdr:rowOff>
    </xdr:from>
    <xdr:to>
      <xdr:col>10</xdr:col>
      <xdr:colOff>504825</xdr:colOff>
      <xdr:row>194</xdr:row>
      <xdr:rowOff>0</xdr:rowOff>
    </xdr:to>
    <xdr:graphicFrame macro="">
      <xdr:nvGraphicFramePr>
        <xdr:cNvPr id="13315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219075</xdr:colOff>
      <xdr:row>43</xdr:row>
      <xdr:rowOff>161925</xdr:rowOff>
    </xdr:from>
    <xdr:to>
      <xdr:col>10</xdr:col>
      <xdr:colOff>257175</xdr:colOff>
      <xdr:row>61</xdr:row>
      <xdr:rowOff>85725</xdr:rowOff>
    </xdr:to>
    <xdr:graphicFrame macro="">
      <xdr:nvGraphicFramePr>
        <xdr:cNvPr id="13316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257175</xdr:colOff>
      <xdr:row>115</xdr:row>
      <xdr:rowOff>123825</xdr:rowOff>
    </xdr:from>
    <xdr:to>
      <xdr:col>10</xdr:col>
      <xdr:colOff>495300</xdr:colOff>
      <xdr:row>129</xdr:row>
      <xdr:rowOff>104775</xdr:rowOff>
    </xdr:to>
    <xdr:graphicFrame macro="">
      <xdr:nvGraphicFramePr>
        <xdr:cNvPr id="13317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104775</xdr:colOff>
      <xdr:row>139</xdr:row>
      <xdr:rowOff>171450</xdr:rowOff>
    </xdr:from>
    <xdr:to>
      <xdr:col>10</xdr:col>
      <xdr:colOff>590550</xdr:colOff>
      <xdr:row>153</xdr:row>
      <xdr:rowOff>95250</xdr:rowOff>
    </xdr:to>
    <xdr:graphicFrame macro="">
      <xdr:nvGraphicFramePr>
        <xdr:cNvPr id="13318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161925</xdr:colOff>
      <xdr:row>159</xdr:row>
      <xdr:rowOff>133350</xdr:rowOff>
    </xdr:from>
    <xdr:to>
      <xdr:col>10</xdr:col>
      <xdr:colOff>514350</xdr:colOff>
      <xdr:row>174</xdr:row>
      <xdr:rowOff>123825</xdr:rowOff>
    </xdr:to>
    <xdr:graphicFrame macro="">
      <xdr:nvGraphicFramePr>
        <xdr:cNvPr id="13319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152400</xdr:colOff>
      <xdr:row>23</xdr:row>
      <xdr:rowOff>190500</xdr:rowOff>
    </xdr:from>
    <xdr:to>
      <xdr:col>10</xdr:col>
      <xdr:colOff>276225</xdr:colOff>
      <xdr:row>39</xdr:row>
      <xdr:rowOff>0</xdr:rowOff>
    </xdr:to>
    <xdr:graphicFrame macro="">
      <xdr:nvGraphicFramePr>
        <xdr:cNvPr id="13320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257175</xdr:colOff>
      <xdr:row>95</xdr:row>
      <xdr:rowOff>133350</xdr:rowOff>
    </xdr:from>
    <xdr:to>
      <xdr:col>10</xdr:col>
      <xdr:colOff>561975</xdr:colOff>
      <xdr:row>109</xdr:row>
      <xdr:rowOff>66675</xdr:rowOff>
    </xdr:to>
    <xdr:graphicFrame macro="">
      <xdr:nvGraphicFramePr>
        <xdr:cNvPr id="13321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142875</xdr:colOff>
      <xdr:row>208</xdr:row>
      <xdr:rowOff>85725</xdr:rowOff>
    </xdr:from>
    <xdr:to>
      <xdr:col>10</xdr:col>
      <xdr:colOff>628650</xdr:colOff>
      <xdr:row>225</xdr:row>
      <xdr:rowOff>28575</xdr:rowOff>
    </xdr:to>
    <xdr:graphicFrame macro="">
      <xdr:nvGraphicFramePr>
        <xdr:cNvPr id="13322" name="Chart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123825</xdr:colOff>
      <xdr:row>231</xdr:row>
      <xdr:rowOff>95250</xdr:rowOff>
    </xdr:from>
    <xdr:to>
      <xdr:col>10</xdr:col>
      <xdr:colOff>590550</xdr:colOff>
      <xdr:row>249</xdr:row>
      <xdr:rowOff>9525</xdr:rowOff>
    </xdr:to>
    <xdr:graphicFrame macro="">
      <xdr:nvGraphicFramePr>
        <xdr:cNvPr id="13323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133350</xdr:colOff>
      <xdr:row>254</xdr:row>
      <xdr:rowOff>104774</xdr:rowOff>
    </xdr:from>
    <xdr:to>
      <xdr:col>10</xdr:col>
      <xdr:colOff>609600</xdr:colOff>
      <xdr:row>272</xdr:row>
      <xdr:rowOff>152399</xdr:rowOff>
    </xdr:to>
    <xdr:graphicFrame macro="">
      <xdr:nvGraphicFramePr>
        <xdr:cNvPr id="13324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114300</xdr:colOff>
      <xdr:row>285</xdr:row>
      <xdr:rowOff>85725</xdr:rowOff>
    </xdr:from>
    <xdr:to>
      <xdr:col>10</xdr:col>
      <xdr:colOff>514350</xdr:colOff>
      <xdr:row>303</xdr:row>
      <xdr:rowOff>95250</xdr:rowOff>
    </xdr:to>
    <xdr:graphicFrame macro="">
      <xdr:nvGraphicFramePr>
        <xdr:cNvPr id="13325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95250</xdr:colOff>
      <xdr:row>308</xdr:row>
      <xdr:rowOff>152400</xdr:rowOff>
    </xdr:from>
    <xdr:to>
      <xdr:col>10</xdr:col>
      <xdr:colOff>571500</xdr:colOff>
      <xdr:row>326</xdr:row>
      <xdr:rowOff>142875</xdr:rowOff>
    </xdr:to>
    <xdr:graphicFrame macro="">
      <xdr:nvGraphicFramePr>
        <xdr:cNvPr id="13326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190500</xdr:colOff>
      <xdr:row>3</xdr:row>
      <xdr:rowOff>123825</xdr:rowOff>
    </xdr:from>
    <xdr:to>
      <xdr:col>10</xdr:col>
      <xdr:colOff>314325</xdr:colOff>
      <xdr:row>19</xdr:row>
      <xdr:rowOff>123825</xdr:rowOff>
    </xdr:to>
    <xdr:graphicFrame macro="">
      <xdr:nvGraphicFramePr>
        <xdr:cNvPr id="13327" name="Chart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123825</xdr:colOff>
      <xdr:row>332</xdr:row>
      <xdr:rowOff>76200</xdr:rowOff>
    </xdr:from>
    <xdr:to>
      <xdr:col>10</xdr:col>
      <xdr:colOff>542925</xdr:colOff>
      <xdr:row>350</xdr:row>
      <xdr:rowOff>123825</xdr:rowOff>
    </xdr:to>
    <xdr:graphicFrame macro="">
      <xdr:nvGraphicFramePr>
        <xdr:cNvPr id="13328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152400</xdr:colOff>
      <xdr:row>362</xdr:row>
      <xdr:rowOff>133350</xdr:rowOff>
    </xdr:from>
    <xdr:to>
      <xdr:col>10</xdr:col>
      <xdr:colOff>571500</xdr:colOff>
      <xdr:row>380</xdr:row>
      <xdr:rowOff>123825</xdr:rowOff>
    </xdr:to>
    <xdr:graphicFrame macro="">
      <xdr:nvGraphicFramePr>
        <xdr:cNvPr id="13329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</xdr:col>
      <xdr:colOff>171450</xdr:colOff>
      <xdr:row>386</xdr:row>
      <xdr:rowOff>104775</xdr:rowOff>
    </xdr:from>
    <xdr:to>
      <xdr:col>10</xdr:col>
      <xdr:colOff>590550</xdr:colOff>
      <xdr:row>403</xdr:row>
      <xdr:rowOff>123825</xdr:rowOff>
    </xdr:to>
    <xdr:graphicFrame macro="">
      <xdr:nvGraphicFramePr>
        <xdr:cNvPr id="13330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</xdr:col>
      <xdr:colOff>219075</xdr:colOff>
      <xdr:row>72</xdr:row>
      <xdr:rowOff>161925</xdr:rowOff>
    </xdr:from>
    <xdr:to>
      <xdr:col>10</xdr:col>
      <xdr:colOff>257175</xdr:colOff>
      <xdr:row>90</xdr:row>
      <xdr:rowOff>85725</xdr:rowOff>
    </xdr:to>
    <xdr:graphicFrame macro="">
      <xdr:nvGraphicFramePr>
        <xdr:cNvPr id="13331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</xdr:col>
      <xdr:colOff>219075</xdr:colOff>
      <xdr:row>72</xdr:row>
      <xdr:rowOff>161925</xdr:rowOff>
    </xdr:from>
    <xdr:to>
      <xdr:col>10</xdr:col>
      <xdr:colOff>257175</xdr:colOff>
      <xdr:row>90</xdr:row>
      <xdr:rowOff>85725</xdr:rowOff>
    </xdr:to>
    <xdr:graphicFrame macro="">
      <xdr:nvGraphicFramePr>
        <xdr:cNvPr id="13332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yepes/AppData/Local/Microsoft/Windows/Temporary%20Internet%20Files/Content.Outlook/XP0EXCZN/INVERSIONES%20FEBRERO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FFEB"/>
      <sheetName val="RVFEB"/>
      <sheetName val="calculos CDT"/>
      <sheetName val="libro mayor"/>
    </sheetNames>
    <sheetDataSet>
      <sheetData sheetId="0"/>
      <sheetData sheetId="1"/>
      <sheetData sheetId="2">
        <row r="3">
          <cell r="L3">
            <v>4792</v>
          </cell>
          <cell r="N3">
            <v>1010548.1055769231</v>
          </cell>
        </row>
        <row r="4">
          <cell r="N4">
            <v>1006377.2647563026</v>
          </cell>
        </row>
        <row r="5">
          <cell r="N5">
            <v>1911442.0068833334</v>
          </cell>
        </row>
        <row r="6">
          <cell r="N6">
            <v>3021641.7664000001</v>
          </cell>
        </row>
        <row r="7">
          <cell r="N7">
            <v>502085.65062222222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indexed="10"/>
    <pageSetUpPr fitToPage="1"/>
  </sheetPr>
  <dimension ref="A7:H52"/>
  <sheetViews>
    <sheetView workbookViewId="0">
      <selection activeCell="I4" sqref="I4"/>
    </sheetView>
  </sheetViews>
  <sheetFormatPr baseColWidth="10" defaultRowHeight="12.75" x14ac:dyDescent="0.2"/>
  <cols>
    <col min="1" max="5" width="11.42578125" style="23"/>
    <col min="6" max="6" width="9.5703125" style="23" customWidth="1"/>
    <col min="7" max="7" width="9" style="23" customWidth="1"/>
    <col min="8" max="8" width="18.28515625" style="23" customWidth="1"/>
    <col min="9" max="16384" width="11.42578125" style="23"/>
  </cols>
  <sheetData>
    <row r="7" spans="1:8" ht="13.5" thickBot="1" x14ac:dyDescent="0.25">
      <c r="A7" s="22"/>
      <c r="B7" s="22"/>
      <c r="C7" s="22"/>
      <c r="D7" s="22"/>
      <c r="E7" s="22"/>
      <c r="F7" s="22"/>
      <c r="G7" s="22"/>
      <c r="H7" s="22"/>
    </row>
    <row r="8" spans="1:8" ht="13.5" thickTop="1" x14ac:dyDescent="0.2"/>
    <row r="34" spans="1:8" ht="27.75" x14ac:dyDescent="0.4">
      <c r="A34" s="452" t="s">
        <v>54</v>
      </c>
      <c r="B34" s="452"/>
      <c r="C34" s="452"/>
      <c r="D34" s="452"/>
      <c r="E34" s="452"/>
      <c r="F34" s="452"/>
      <c r="G34" s="452"/>
      <c r="H34" s="452"/>
    </row>
    <row r="35" spans="1:8" ht="27.75" x14ac:dyDescent="0.4">
      <c r="A35" s="452" t="s">
        <v>494</v>
      </c>
      <c r="B35" s="452"/>
      <c r="C35" s="452"/>
      <c r="D35" s="452"/>
      <c r="E35" s="452"/>
      <c r="F35" s="452"/>
      <c r="G35" s="452"/>
      <c r="H35" s="452"/>
    </row>
    <row r="48" spans="1:8" ht="18" x14ac:dyDescent="0.25">
      <c r="G48" s="453" t="s">
        <v>496</v>
      </c>
      <c r="H48" s="453"/>
    </row>
    <row r="49" spans="1:8" ht="18" customHeight="1" x14ac:dyDescent="0.25">
      <c r="G49" s="453"/>
      <c r="H49" s="453"/>
    </row>
    <row r="50" spans="1:8" ht="18" x14ac:dyDescent="0.25">
      <c r="G50" s="453"/>
      <c r="H50" s="453"/>
    </row>
    <row r="51" spans="1:8" ht="13.5" thickBot="1" x14ac:dyDescent="0.25">
      <c r="A51" s="22"/>
      <c r="B51" s="22"/>
      <c r="C51" s="22"/>
      <c r="D51" s="22"/>
      <c r="E51" s="22"/>
      <c r="F51" s="22"/>
      <c r="G51" s="22"/>
      <c r="H51" s="22"/>
    </row>
    <row r="52" spans="1:8" ht="13.5" thickTop="1" x14ac:dyDescent="0.2"/>
  </sheetData>
  <mergeCells count="5">
    <mergeCell ref="A34:H34"/>
    <mergeCell ref="G50:H50"/>
    <mergeCell ref="G48:H48"/>
    <mergeCell ref="G49:H49"/>
    <mergeCell ref="A35:H35"/>
  </mergeCells>
  <phoneticPr fontId="9" type="noConversion"/>
  <printOptions horizontalCentered="1"/>
  <pageMargins left="1.1023622047244095" right="0.51181102362204722" top="2.8346456692913389" bottom="0.98425196850393704" header="0" footer="0"/>
  <pageSetup scale="7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indexed="10"/>
  </sheetPr>
  <dimension ref="A2:K61"/>
  <sheetViews>
    <sheetView showGridLines="0" topLeftCell="A13" zoomScale="85" zoomScaleNormal="85" workbookViewId="0">
      <selection activeCell="C45" sqref="C45"/>
    </sheetView>
  </sheetViews>
  <sheetFormatPr baseColWidth="10" defaultRowHeight="12.75" x14ac:dyDescent="0.2"/>
  <cols>
    <col min="1" max="1" width="36.42578125" style="38" customWidth="1"/>
    <col min="2" max="2" width="1.5703125" style="38" customWidth="1"/>
    <col min="3" max="3" width="12.28515625" style="38" bestFit="1" customWidth="1"/>
    <col min="4" max="4" width="4.28515625" style="38" customWidth="1"/>
    <col min="5" max="5" width="13.28515625" style="38" customWidth="1"/>
    <col min="6" max="6" width="3.28515625" style="38" customWidth="1"/>
    <col min="7" max="7" width="15.42578125" style="38" customWidth="1"/>
    <col min="8" max="8" width="4.28515625" style="38" hidden="1" customWidth="1"/>
    <col min="9" max="9" width="0" style="38" hidden="1" customWidth="1"/>
    <col min="10" max="16384" width="11.42578125" style="38"/>
  </cols>
  <sheetData>
    <row r="2" spans="1:11" ht="36" x14ac:dyDescent="0.2">
      <c r="A2" s="301" t="s">
        <v>453</v>
      </c>
      <c r="B2" s="301"/>
      <c r="C2" s="301"/>
      <c r="D2" s="301"/>
      <c r="E2" s="301"/>
      <c r="F2" s="301"/>
      <c r="G2" s="301"/>
      <c r="H2" s="61"/>
    </row>
    <row r="3" spans="1:11" ht="16.5" customHeight="1" x14ac:dyDescent="0.25">
      <c r="A3" s="486" t="str">
        <f>'res bce'!A3:G3</f>
        <v>Últimos Tres Años e Indicadores Financieros (Cifras expresadas en miles de pesos)</v>
      </c>
      <c r="B3" s="486"/>
      <c r="C3" s="486"/>
      <c r="D3" s="486"/>
      <c r="E3" s="486"/>
      <c r="F3" s="486"/>
      <c r="G3" s="486"/>
      <c r="H3" s="62"/>
    </row>
    <row r="4" spans="1:11" x14ac:dyDescent="0.2">
      <c r="A4" s="59"/>
      <c r="B4" s="59"/>
      <c r="C4" s="59"/>
      <c r="D4" s="59"/>
      <c r="E4" s="59"/>
      <c r="F4" s="59"/>
      <c r="G4" s="59"/>
      <c r="H4" s="62"/>
    </row>
    <row r="5" spans="1:11" x14ac:dyDescent="0.2">
      <c r="A5" s="38" t="s">
        <v>55</v>
      </c>
      <c r="H5" s="62"/>
    </row>
    <row r="6" spans="1:11" s="254" customFormat="1" ht="15.75" x14ac:dyDescent="0.2">
      <c r="A6" s="487" t="s">
        <v>59</v>
      </c>
      <c r="B6" s="283"/>
      <c r="C6" s="66">
        <v>2013</v>
      </c>
      <c r="D6" s="67"/>
      <c r="E6" s="66">
        <v>2012</v>
      </c>
      <c r="F6" s="67"/>
      <c r="G6" s="66">
        <v>2011</v>
      </c>
      <c r="H6" s="67"/>
      <c r="I6" s="66">
        <v>2008</v>
      </c>
    </row>
    <row r="7" spans="1:11" s="254" customFormat="1" ht="15.75" x14ac:dyDescent="0.2">
      <c r="A7" s="487"/>
      <c r="B7" s="283"/>
      <c r="C7" s="67"/>
      <c r="D7" s="67"/>
      <c r="E7" s="67"/>
      <c r="F7" s="67"/>
      <c r="G7" s="67"/>
      <c r="H7" s="67"/>
      <c r="I7" s="67"/>
    </row>
    <row r="8" spans="1:11" s="254" customFormat="1" x14ac:dyDescent="0.2">
      <c r="G8" s="19">
        <v>1.0527</v>
      </c>
      <c r="I8" s="19">
        <v>1.0527</v>
      </c>
    </row>
    <row r="9" spans="1:11" s="254" customFormat="1" x14ac:dyDescent="0.2">
      <c r="A9" s="6" t="s">
        <v>79</v>
      </c>
      <c r="C9" s="24">
        <f>SUM(C10:C18)+SUM(C20:C20)</f>
        <v>186369194</v>
      </c>
      <c r="D9" s="24"/>
      <c r="E9" s="24">
        <f>SUM(E10:E18)+SUM(E20:E20)</f>
        <v>169274363</v>
      </c>
      <c r="F9" s="24"/>
      <c r="G9" s="24">
        <f>SUM(G10:G17)+SUM(G19:G19)</f>
        <v>157873171</v>
      </c>
      <c r="H9" s="24"/>
      <c r="I9" s="24">
        <f>SUM(I10:I18)+SUM(I20:I20)</f>
        <v>106889871</v>
      </c>
    </row>
    <row r="10" spans="1:11" s="254" customFormat="1" x14ac:dyDescent="0.2">
      <c r="A10" s="36" t="s">
        <v>476</v>
      </c>
      <c r="B10" s="36"/>
      <c r="C10" s="286">
        <f>notas!D329</f>
        <v>105267259</v>
      </c>
      <c r="D10" s="286"/>
      <c r="E10" s="286">
        <f>notas!F329</f>
        <v>96934530</v>
      </c>
      <c r="F10" s="286"/>
      <c r="G10" s="327">
        <v>83464634</v>
      </c>
      <c r="H10" s="286"/>
      <c r="I10" s="286">
        <v>66911229</v>
      </c>
    </row>
    <row r="11" spans="1:11" s="254" customFormat="1" x14ac:dyDescent="0.2">
      <c r="A11" s="36" t="s">
        <v>308</v>
      </c>
      <c r="B11" s="36"/>
      <c r="C11" s="286">
        <f>notas!D330</f>
        <v>33649304</v>
      </c>
      <c r="D11" s="286"/>
      <c r="E11" s="286">
        <f>notas!F330</f>
        <v>31679369</v>
      </c>
      <c r="F11" s="286"/>
      <c r="G11" s="327">
        <v>27116615</v>
      </c>
      <c r="H11" s="286"/>
      <c r="I11" s="286">
        <v>18855324</v>
      </c>
    </row>
    <row r="12" spans="1:11" s="254" customFormat="1" x14ac:dyDescent="0.2">
      <c r="A12" s="36" t="s">
        <v>310</v>
      </c>
      <c r="B12" s="36"/>
      <c r="C12" s="286">
        <f>notas!D332</f>
        <v>12911319</v>
      </c>
      <c r="D12" s="286"/>
      <c r="E12" s="286">
        <f>notas!F332</f>
        <v>10622747</v>
      </c>
      <c r="F12" s="286"/>
      <c r="G12" s="327">
        <v>8284680</v>
      </c>
      <c r="H12" s="286"/>
      <c r="I12" s="286">
        <v>7518520</v>
      </c>
    </row>
    <row r="13" spans="1:11" s="254" customFormat="1" x14ac:dyDescent="0.2">
      <c r="A13" s="254" t="s">
        <v>171</v>
      </c>
      <c r="B13" s="36"/>
      <c r="C13" s="286">
        <f>notas!D334+notas!D335</f>
        <v>18561067</v>
      </c>
      <c r="D13" s="286"/>
      <c r="E13" s="286">
        <f>notas!F334+notas!F335</f>
        <v>15603732</v>
      </c>
      <c r="F13" s="286"/>
      <c r="G13" s="327">
        <f>10954314+4552072</f>
        <v>15506386</v>
      </c>
      <c r="H13" s="286"/>
      <c r="I13" s="286">
        <v>6471726</v>
      </c>
    </row>
    <row r="14" spans="1:11" s="254" customFormat="1" x14ac:dyDescent="0.2">
      <c r="A14" s="36" t="s">
        <v>263</v>
      </c>
      <c r="B14" s="36"/>
      <c r="C14" s="286">
        <f>notas!D336+notas!D337+notas!D338+notas!D340+notas!D341+notas!D339</f>
        <v>6689290</v>
      </c>
      <c r="D14" s="286"/>
      <c r="E14" s="286">
        <f>notas!F336+notas!F337+notas!F338+notas!F340+notas!F341+notas!F339</f>
        <v>4899715</v>
      </c>
      <c r="F14" s="286"/>
      <c r="G14" s="325">
        <v>4210449</v>
      </c>
      <c r="H14" s="286"/>
      <c r="I14" s="286">
        <v>2376655</v>
      </c>
      <c r="K14" s="257"/>
    </row>
    <row r="15" spans="1:11" s="254" customFormat="1" x14ac:dyDescent="0.2">
      <c r="A15" s="36" t="s">
        <v>95</v>
      </c>
      <c r="B15" s="36"/>
      <c r="C15" s="284">
        <f>notas!D417+notas!D400+notas!D384</f>
        <v>-20863012</v>
      </c>
      <c r="D15" s="286"/>
      <c r="E15" s="284">
        <f>notas!F417+notas!F400+notas!F384</f>
        <v>-14275005</v>
      </c>
      <c r="F15" s="286"/>
      <c r="G15" s="326">
        <v>-10735244</v>
      </c>
      <c r="H15" s="286"/>
      <c r="I15" s="284">
        <v>-6026085</v>
      </c>
    </row>
    <row r="16" spans="1:11" s="254" customFormat="1" x14ac:dyDescent="0.2">
      <c r="A16" s="36" t="s">
        <v>475</v>
      </c>
      <c r="B16" s="36"/>
      <c r="C16" s="286">
        <f>notas!D352</f>
        <v>24563566</v>
      </c>
      <c r="D16" s="286"/>
      <c r="E16" s="286">
        <f>notas!F352</f>
        <v>16711504</v>
      </c>
      <c r="F16" s="286"/>
      <c r="G16" s="325">
        <v>19222788</v>
      </c>
      <c r="H16" s="286"/>
      <c r="I16" s="286">
        <v>5967748</v>
      </c>
    </row>
    <row r="17" spans="1:9" s="254" customFormat="1" x14ac:dyDescent="0.2">
      <c r="A17" s="36" t="s">
        <v>474</v>
      </c>
      <c r="B17" s="36"/>
      <c r="C17" s="286">
        <f>notas!D353</f>
        <v>684126</v>
      </c>
      <c r="D17" s="286"/>
      <c r="E17" s="286">
        <f>notas!F353</f>
        <v>697376</v>
      </c>
      <c r="F17" s="286"/>
      <c r="G17" s="325">
        <v>752121</v>
      </c>
      <c r="H17" s="286"/>
      <c r="I17" s="286">
        <v>631226</v>
      </c>
    </row>
    <row r="18" spans="1:9" s="254" customFormat="1" x14ac:dyDescent="0.2">
      <c r="A18" s="36" t="s">
        <v>473</v>
      </c>
      <c r="B18" s="36"/>
      <c r="C18" s="286">
        <f>pyg!D24</f>
        <v>3077437</v>
      </c>
      <c r="D18" s="286"/>
      <c r="E18" s="286">
        <f>pyg!F24</f>
        <v>3689290</v>
      </c>
      <c r="F18" s="286"/>
      <c r="G18" s="325">
        <v>1206578</v>
      </c>
      <c r="H18" s="286"/>
      <c r="I18" s="286">
        <v>3148791</v>
      </c>
    </row>
    <row r="19" spans="1:9" s="254" customFormat="1" x14ac:dyDescent="0.2">
      <c r="A19" s="36" t="s">
        <v>31</v>
      </c>
      <c r="B19" s="36"/>
      <c r="C19" s="286">
        <f>pyg!D14+pyg!D33-'resumen pyg'!C9</f>
        <v>24175072</v>
      </c>
      <c r="D19" s="286"/>
      <c r="E19" s="286">
        <f>pyg!F14+pyg!F33-'resumen pyg'!E9</f>
        <v>15547198</v>
      </c>
      <c r="F19" s="286"/>
      <c r="G19" s="325">
        <v>10050742</v>
      </c>
      <c r="H19" s="286"/>
      <c r="I19" s="286">
        <v>9793915</v>
      </c>
    </row>
    <row r="20" spans="1:9" s="254" customFormat="1" x14ac:dyDescent="0.2">
      <c r="A20" s="36" t="s">
        <v>472</v>
      </c>
      <c r="B20" s="36"/>
      <c r="C20" s="286">
        <f>pyg!D25</f>
        <v>1828838</v>
      </c>
      <c r="D20" s="286"/>
      <c r="E20" s="286">
        <f>pyg!F25</f>
        <v>2711105</v>
      </c>
      <c r="F20" s="286"/>
      <c r="G20" s="325">
        <v>1617980</v>
      </c>
      <c r="H20" s="286"/>
      <c r="I20" s="286">
        <v>1034737</v>
      </c>
    </row>
    <row r="21" spans="1:9" s="254" customFormat="1" x14ac:dyDescent="0.2">
      <c r="A21" s="95"/>
      <c r="B21" s="95"/>
      <c r="C21" s="300"/>
      <c r="D21" s="300"/>
      <c r="E21" s="300"/>
      <c r="F21" s="300"/>
      <c r="H21" s="300"/>
      <c r="I21" s="300"/>
    </row>
    <row r="22" spans="1:9" s="254" customFormat="1" x14ac:dyDescent="0.2">
      <c r="C22" s="257"/>
      <c r="D22" s="257"/>
      <c r="E22" s="257"/>
      <c r="F22" s="257"/>
      <c r="G22" s="257"/>
      <c r="H22" s="257"/>
      <c r="I22" s="257"/>
    </row>
    <row r="23" spans="1:9" s="254" customFormat="1" x14ac:dyDescent="0.2">
      <c r="A23" s="3" t="s">
        <v>80</v>
      </c>
      <c r="B23" s="3"/>
      <c r="C23" s="2">
        <f>SUM(C10:C20)</f>
        <v>210544266</v>
      </c>
      <c r="D23" s="2"/>
      <c r="E23" s="2">
        <f>SUM(E10:E20)</f>
        <v>184821561</v>
      </c>
      <c r="F23" s="2"/>
      <c r="G23" s="2">
        <f>SUM(G10:G20)</f>
        <v>160697729</v>
      </c>
      <c r="H23" s="2"/>
      <c r="I23" s="2">
        <f>SUM(I10:I20)</f>
        <v>116683786</v>
      </c>
    </row>
    <row r="24" spans="1:9" s="254" customFormat="1" x14ac:dyDescent="0.2"/>
    <row r="25" spans="1:9" s="254" customFormat="1" x14ac:dyDescent="0.2">
      <c r="C25" s="257"/>
    </row>
    <row r="26" spans="1:9" s="254" customFormat="1" x14ac:dyDescent="0.2">
      <c r="A26" s="6" t="s">
        <v>81</v>
      </c>
      <c r="C26" s="24">
        <f>SUM(C27:C40)+C42+C43</f>
        <v>178687491</v>
      </c>
      <c r="D26" s="24"/>
      <c r="E26" s="24">
        <f>SUM(E27:E40)+E42+E43</f>
        <v>159364545</v>
      </c>
      <c r="F26" s="24"/>
      <c r="G26" s="24">
        <f>SUM(G27:G40)+G42+G43</f>
        <v>131526503</v>
      </c>
      <c r="H26" s="24"/>
      <c r="I26" s="24">
        <f>SUM(I27:I40)+I42+I43</f>
        <v>96366311</v>
      </c>
    </row>
    <row r="27" spans="1:9" s="254" customFormat="1" x14ac:dyDescent="0.2">
      <c r="A27" s="36" t="s">
        <v>466</v>
      </c>
      <c r="B27" s="36"/>
      <c r="C27" s="286">
        <f>notas!D424</f>
        <v>110236564</v>
      </c>
      <c r="D27" s="286"/>
      <c r="E27" s="286">
        <f>notas!F424</f>
        <v>96130774</v>
      </c>
      <c r="F27" s="286"/>
      <c r="G27" s="327">
        <v>82865540</v>
      </c>
      <c r="H27" s="286"/>
      <c r="I27" s="286">
        <v>61612749</v>
      </c>
    </row>
    <row r="28" spans="1:9" s="254" customFormat="1" x14ac:dyDescent="0.2">
      <c r="A28" s="36" t="s">
        <v>10</v>
      </c>
      <c r="B28" s="36"/>
      <c r="C28" s="286">
        <f>notas!D425</f>
        <v>20200427</v>
      </c>
      <c r="D28" s="286"/>
      <c r="E28" s="286">
        <f>notas!F425</f>
        <v>16324513</v>
      </c>
      <c r="F28" s="286"/>
      <c r="G28" s="327">
        <v>14805498</v>
      </c>
      <c r="H28" s="286"/>
      <c r="I28" s="286">
        <v>9812370</v>
      </c>
    </row>
    <row r="29" spans="1:9" s="254" customFormat="1" x14ac:dyDescent="0.2">
      <c r="A29" s="36" t="s">
        <v>82</v>
      </c>
      <c r="B29" s="36"/>
      <c r="C29" s="286">
        <f>notas!D426</f>
        <v>2606347</v>
      </c>
      <c r="D29" s="286"/>
      <c r="E29" s="286">
        <f>notas!F426</f>
        <v>1048916</v>
      </c>
      <c r="F29" s="286"/>
      <c r="G29" s="327">
        <v>1109138</v>
      </c>
      <c r="H29" s="286"/>
      <c r="I29" s="286">
        <v>914594</v>
      </c>
    </row>
    <row r="30" spans="1:9" s="254" customFormat="1" x14ac:dyDescent="0.2">
      <c r="A30" s="36" t="s">
        <v>9</v>
      </c>
      <c r="B30" s="36"/>
      <c r="C30" s="286">
        <f>notas!D427</f>
        <v>2468925</v>
      </c>
      <c r="D30" s="286"/>
      <c r="E30" s="286">
        <f>notas!F427</f>
        <v>2375151</v>
      </c>
      <c r="F30" s="286"/>
      <c r="G30" s="327">
        <v>1824435</v>
      </c>
      <c r="H30" s="286"/>
      <c r="I30" s="286">
        <v>938132</v>
      </c>
    </row>
    <row r="31" spans="1:9" s="254" customFormat="1" x14ac:dyDescent="0.2">
      <c r="A31" s="36" t="s">
        <v>346</v>
      </c>
      <c r="B31" s="36"/>
      <c r="C31" s="286">
        <f>notas!D428</f>
        <v>734237</v>
      </c>
      <c r="D31" s="286"/>
      <c r="E31" s="286">
        <f>notas!F428</f>
        <v>1173602</v>
      </c>
      <c r="F31" s="286"/>
      <c r="G31" s="327">
        <v>598899</v>
      </c>
      <c r="H31" s="286"/>
      <c r="I31" s="286">
        <v>269270</v>
      </c>
    </row>
    <row r="32" spans="1:9" s="254" customFormat="1" x14ac:dyDescent="0.2">
      <c r="A32" s="36" t="s">
        <v>11</v>
      </c>
      <c r="B32" s="36"/>
      <c r="C32" s="286">
        <f>notas!D429</f>
        <v>886414</v>
      </c>
      <c r="D32" s="286"/>
      <c r="E32" s="286">
        <f>notas!F429</f>
        <v>765034</v>
      </c>
      <c r="F32" s="286"/>
      <c r="G32" s="327">
        <v>634276</v>
      </c>
      <c r="H32" s="286"/>
      <c r="I32" s="286">
        <v>220217</v>
      </c>
    </row>
    <row r="33" spans="1:9" s="254" customFormat="1" x14ac:dyDescent="0.2">
      <c r="A33" s="36" t="s">
        <v>27</v>
      </c>
      <c r="B33" s="36"/>
      <c r="C33" s="286">
        <f>notas!D430</f>
        <v>10435192</v>
      </c>
      <c r="D33" s="286"/>
      <c r="E33" s="286">
        <f>notas!F430</f>
        <v>10136407</v>
      </c>
      <c r="F33" s="286"/>
      <c r="G33" s="327">
        <v>8246719</v>
      </c>
      <c r="H33" s="286"/>
      <c r="I33" s="286">
        <v>5935224</v>
      </c>
    </row>
    <row r="34" spans="1:9" s="254" customFormat="1" x14ac:dyDescent="0.2">
      <c r="A34" s="36" t="s">
        <v>36</v>
      </c>
      <c r="B34" s="36"/>
      <c r="C34" s="286">
        <f>notas!D431</f>
        <v>269142</v>
      </c>
      <c r="D34" s="286"/>
      <c r="E34" s="286">
        <f>notas!F431</f>
        <v>283778</v>
      </c>
      <c r="F34" s="286"/>
      <c r="G34" s="327">
        <v>505676</v>
      </c>
      <c r="H34" s="286"/>
      <c r="I34" s="286">
        <v>121097</v>
      </c>
    </row>
    <row r="35" spans="1:9" s="254" customFormat="1" x14ac:dyDescent="0.2">
      <c r="A35" s="36" t="s">
        <v>467</v>
      </c>
      <c r="B35" s="36"/>
      <c r="C35" s="286">
        <f>notas!D432</f>
        <v>2311337</v>
      </c>
      <c r="D35" s="286"/>
      <c r="E35" s="286">
        <f>notas!F432</f>
        <v>2348805</v>
      </c>
      <c r="F35" s="286"/>
      <c r="G35" s="327">
        <v>2118224</v>
      </c>
      <c r="H35" s="286"/>
      <c r="I35" s="286">
        <v>1232645</v>
      </c>
    </row>
    <row r="36" spans="1:9" s="254" customFormat="1" x14ac:dyDescent="0.2">
      <c r="A36" s="36" t="s">
        <v>37</v>
      </c>
      <c r="B36" s="36"/>
      <c r="C36" s="286">
        <f>notas!D433</f>
        <v>1734963</v>
      </c>
      <c r="D36" s="286"/>
      <c r="E36" s="286">
        <f>notas!F433</f>
        <v>1387127</v>
      </c>
      <c r="F36" s="286"/>
      <c r="G36" s="327">
        <v>740102</v>
      </c>
      <c r="H36" s="286"/>
      <c r="I36" s="286">
        <v>634892</v>
      </c>
    </row>
    <row r="37" spans="1:9" s="254" customFormat="1" x14ac:dyDescent="0.2">
      <c r="A37" s="36" t="s">
        <v>413</v>
      </c>
      <c r="B37" s="36"/>
      <c r="C37" s="286">
        <f>notas!D434</f>
        <v>5586060</v>
      </c>
      <c r="D37" s="286"/>
      <c r="E37" s="286">
        <f>notas!F434</f>
        <v>4518474</v>
      </c>
      <c r="F37" s="286"/>
      <c r="G37" s="327">
        <v>4218515</v>
      </c>
      <c r="H37" s="286"/>
      <c r="I37" s="286">
        <v>3225064</v>
      </c>
    </row>
    <row r="38" spans="1:9" s="254" customFormat="1" x14ac:dyDescent="0.2">
      <c r="A38" s="36" t="s">
        <v>83</v>
      </c>
      <c r="B38" s="36"/>
      <c r="C38" s="286">
        <f>notas!D435</f>
        <v>13114994</v>
      </c>
      <c r="D38" s="286"/>
      <c r="E38" s="286">
        <f>notas!F435</f>
        <v>11371626</v>
      </c>
      <c r="F38" s="286"/>
      <c r="G38" s="327">
        <v>8046947</v>
      </c>
      <c r="H38" s="286"/>
      <c r="I38" s="286">
        <v>5695072</v>
      </c>
    </row>
    <row r="39" spans="1:9" s="254" customFormat="1" x14ac:dyDescent="0.2">
      <c r="A39" s="36" t="s">
        <v>39</v>
      </c>
      <c r="B39" s="36"/>
      <c r="C39" s="286">
        <f>notas!D436</f>
        <v>1419704</v>
      </c>
      <c r="D39" s="286"/>
      <c r="E39" s="286">
        <f>notas!F436</f>
        <v>1183913</v>
      </c>
      <c r="F39" s="286"/>
      <c r="G39" s="327">
        <v>1103887</v>
      </c>
      <c r="H39" s="286"/>
      <c r="I39" s="286">
        <v>708081</v>
      </c>
    </row>
    <row r="40" spans="1:9" s="254" customFormat="1" x14ac:dyDescent="0.2">
      <c r="A40" s="36" t="s">
        <v>468</v>
      </c>
      <c r="B40" s="36"/>
      <c r="C40" s="286">
        <f>notas!D438</f>
        <v>1141737</v>
      </c>
      <c r="D40" s="286"/>
      <c r="E40" s="286">
        <f>notas!F438</f>
        <v>1197059</v>
      </c>
      <c r="F40" s="286"/>
      <c r="G40" s="327">
        <v>1079565</v>
      </c>
      <c r="H40" s="286"/>
      <c r="I40" s="286">
        <v>1155070</v>
      </c>
    </row>
    <row r="41" spans="1:9" s="254" customFormat="1" x14ac:dyDescent="0.2">
      <c r="A41" s="36" t="s">
        <v>469</v>
      </c>
      <c r="B41" s="36"/>
      <c r="C41" s="286">
        <f>pyg!D17+pyg!D38-C26</f>
        <v>16510443</v>
      </c>
      <c r="D41" s="286"/>
      <c r="E41" s="286">
        <f>pyg!F17+pyg!F38-E26</f>
        <v>14376127</v>
      </c>
      <c r="F41" s="286"/>
      <c r="G41" s="327">
        <v>13358370</v>
      </c>
      <c r="H41" s="286"/>
      <c r="I41" s="286">
        <v>7601943</v>
      </c>
    </row>
    <row r="42" spans="1:9" s="254" customFormat="1" x14ac:dyDescent="0.2">
      <c r="A42" s="36" t="s">
        <v>470</v>
      </c>
      <c r="B42" s="36"/>
      <c r="C42" s="286">
        <f>notas!D535</f>
        <v>1679521</v>
      </c>
      <c r="D42" s="286"/>
      <c r="E42" s="286">
        <f>notas!F535</f>
        <v>2087262</v>
      </c>
      <c r="F42" s="286"/>
      <c r="G42" s="327">
        <v>1508360</v>
      </c>
      <c r="H42" s="286"/>
      <c r="I42" s="286">
        <v>2872156</v>
      </c>
    </row>
    <row r="43" spans="1:9" s="254" customFormat="1" x14ac:dyDescent="0.2">
      <c r="A43" s="36" t="s">
        <v>471</v>
      </c>
      <c r="B43" s="36"/>
      <c r="C43" s="286">
        <f>notas!D451+notas!D447+notas!D448+notas!D453+notas!D454+notas!D455</f>
        <v>3861927</v>
      </c>
      <c r="D43" s="286"/>
      <c r="E43" s="286">
        <f>notas!F451+notas!F447+notas!F448+notas!F453+notas!F454+notas!F455</f>
        <v>7032104</v>
      </c>
      <c r="F43" s="286"/>
      <c r="G43" s="327">
        <v>2120722</v>
      </c>
      <c r="H43" s="286"/>
      <c r="I43" s="286">
        <v>1019678</v>
      </c>
    </row>
    <row r="44" spans="1:9" s="254" customFormat="1" x14ac:dyDescent="0.2"/>
    <row r="45" spans="1:9" s="254" customFormat="1" x14ac:dyDescent="0.2">
      <c r="A45" s="3" t="s">
        <v>84</v>
      </c>
      <c r="B45" s="3"/>
      <c r="C45" s="2">
        <f>SUM(C27:C43)</f>
        <v>195197934</v>
      </c>
      <c r="D45" s="2"/>
      <c r="E45" s="2">
        <f>SUM(E27:E43)</f>
        <v>173740672</v>
      </c>
      <c r="F45" s="2"/>
      <c r="G45" s="2">
        <f>SUM(G27:G43)</f>
        <v>144884873</v>
      </c>
      <c r="H45" s="2"/>
      <c r="I45" s="2">
        <f>SUM(I27:I43)</f>
        <v>103968254</v>
      </c>
    </row>
    <row r="46" spans="1:9" s="254" customFormat="1" x14ac:dyDescent="0.2">
      <c r="A46" s="95"/>
      <c r="B46" s="95"/>
      <c r="C46" s="300"/>
      <c r="D46" s="300"/>
      <c r="E46" s="300"/>
      <c r="F46" s="300"/>
      <c r="G46" s="300"/>
      <c r="H46" s="300"/>
      <c r="I46" s="300"/>
    </row>
    <row r="47" spans="1:9" s="254" customFormat="1" ht="13.5" thickBot="1" x14ac:dyDescent="0.25">
      <c r="A47" s="34" t="s">
        <v>85</v>
      </c>
      <c r="B47" s="34"/>
      <c r="C47" s="35">
        <f>C23-C45</f>
        <v>15346332</v>
      </c>
      <c r="D47" s="35"/>
      <c r="E47" s="35">
        <f>E23-E45</f>
        <v>11080889</v>
      </c>
      <c r="F47" s="35"/>
      <c r="G47" s="35">
        <f>G23-G45</f>
        <v>15812856</v>
      </c>
      <c r="H47" s="35"/>
      <c r="I47" s="35">
        <f>I23-I45</f>
        <v>12715532</v>
      </c>
    </row>
    <row r="48" spans="1:9" s="254" customFormat="1" ht="13.5" thickTop="1" x14ac:dyDescent="0.2"/>
    <row r="49" spans="7:7" s="254" customFormat="1" x14ac:dyDescent="0.2">
      <c r="G49" s="257"/>
    </row>
    <row r="50" spans="7:7" s="254" customFormat="1" x14ac:dyDescent="0.2"/>
    <row r="51" spans="7:7" s="254" customFormat="1" x14ac:dyDescent="0.2"/>
    <row r="52" spans="7:7" s="254" customFormat="1" x14ac:dyDescent="0.2"/>
    <row r="53" spans="7:7" s="254" customFormat="1" x14ac:dyDescent="0.2"/>
    <row r="54" spans="7:7" s="254" customFormat="1" x14ac:dyDescent="0.2"/>
    <row r="55" spans="7:7" s="254" customFormat="1" x14ac:dyDescent="0.2"/>
    <row r="56" spans="7:7" s="254" customFormat="1" x14ac:dyDescent="0.2"/>
    <row r="57" spans="7:7" s="254" customFormat="1" x14ac:dyDescent="0.2"/>
    <row r="58" spans="7:7" s="254" customFormat="1" x14ac:dyDescent="0.2"/>
    <row r="59" spans="7:7" s="254" customFormat="1" x14ac:dyDescent="0.2"/>
    <row r="60" spans="7:7" s="254" customFormat="1" x14ac:dyDescent="0.2"/>
    <row r="61" spans="7:7" s="254" customFormat="1" x14ac:dyDescent="0.2"/>
  </sheetData>
  <mergeCells count="2">
    <mergeCell ref="A6:A7"/>
    <mergeCell ref="A3:G3"/>
  </mergeCells>
  <phoneticPr fontId="9" type="noConversion"/>
  <pageMargins left="1.1811023622047245" right="0.94488188976377963" top="0.98425196850393704" bottom="0.98425196850393704" header="0" footer="0.39370078740157483"/>
  <pageSetup paperSize="122" scale="80" orientation="portrait" r:id="rId1"/>
  <headerFooter alignWithMargins="0">
    <oddFooter>&amp;L&amp;"Garamond,Cursiva"&amp;14Informe Financiero a diciembre de 2013&amp;C&amp;"Garamond,Cursiva"&amp;14 15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0000"/>
  </sheetPr>
  <dimension ref="A1:K431"/>
  <sheetViews>
    <sheetView showGridLines="0" workbookViewId="0">
      <selection activeCell="K15" sqref="K15"/>
    </sheetView>
  </sheetViews>
  <sheetFormatPr baseColWidth="10" defaultRowHeight="12.75" x14ac:dyDescent="0.2"/>
  <cols>
    <col min="3" max="3" width="18.7109375" style="8" bestFit="1" customWidth="1"/>
  </cols>
  <sheetData>
    <row r="1" spans="1:11" ht="30.75" x14ac:dyDescent="0.2">
      <c r="A1" s="488" t="s">
        <v>153</v>
      </c>
      <c r="B1" s="488"/>
      <c r="C1" s="488"/>
      <c r="D1" s="488"/>
      <c r="E1" s="488"/>
      <c r="F1" s="488"/>
      <c r="G1" s="488"/>
      <c r="H1" s="488"/>
      <c r="I1" s="488"/>
      <c r="J1" s="488"/>
      <c r="K1" s="488"/>
    </row>
    <row r="2" spans="1:11" x14ac:dyDescent="0.2">
      <c r="A2" s="23"/>
      <c r="B2" s="25"/>
      <c r="C2" s="118"/>
      <c r="D2" s="23"/>
      <c r="E2" s="23"/>
      <c r="F2" s="23"/>
      <c r="G2" s="23"/>
      <c r="H2" s="23"/>
      <c r="I2" s="23"/>
      <c r="J2" s="23"/>
      <c r="K2" s="23"/>
    </row>
    <row r="3" spans="1:11" ht="15.75" x14ac:dyDescent="0.25">
      <c r="A3" s="27"/>
      <c r="B3" s="318" t="s">
        <v>457</v>
      </c>
      <c r="C3" s="116"/>
      <c r="D3" s="27"/>
      <c r="E3" s="27"/>
      <c r="F3" s="27"/>
      <c r="G3" s="27"/>
      <c r="H3" s="27"/>
      <c r="I3" s="27"/>
      <c r="J3" s="27"/>
      <c r="K3" s="27"/>
    </row>
    <row r="4" spans="1:11" ht="15" x14ac:dyDescent="0.2">
      <c r="A4" s="27"/>
      <c r="B4" s="319" t="s">
        <v>106</v>
      </c>
      <c r="C4" s="320"/>
      <c r="D4" s="23"/>
      <c r="E4" s="23"/>
      <c r="F4" s="23"/>
      <c r="G4" s="23"/>
      <c r="H4" s="23"/>
      <c r="I4" s="23"/>
      <c r="J4" s="23"/>
      <c r="K4" s="23"/>
    </row>
    <row r="5" spans="1:11" ht="15" x14ac:dyDescent="0.2">
      <c r="A5" s="27"/>
      <c r="B5" s="27"/>
      <c r="C5" s="116"/>
      <c r="D5" s="23"/>
      <c r="E5" s="23"/>
      <c r="F5" s="23"/>
      <c r="G5" s="23"/>
      <c r="H5" s="23"/>
      <c r="I5" s="23"/>
      <c r="J5" s="23"/>
      <c r="K5" s="23"/>
    </row>
    <row r="6" spans="1:11" ht="15" x14ac:dyDescent="0.2">
      <c r="A6" s="321"/>
      <c r="B6" s="27"/>
      <c r="C6" s="116"/>
      <c r="D6" s="27"/>
      <c r="E6" s="27"/>
      <c r="F6" s="27"/>
      <c r="G6" s="27"/>
      <c r="H6" s="27"/>
      <c r="I6" s="27"/>
      <c r="J6" s="27"/>
      <c r="K6" s="27"/>
    </row>
    <row r="7" spans="1:11" ht="15" x14ac:dyDescent="0.2">
      <c r="A7" s="321"/>
      <c r="B7" s="27"/>
      <c r="C7" s="116"/>
      <c r="D7" s="27"/>
      <c r="E7" s="27"/>
      <c r="F7" s="27"/>
      <c r="G7" s="27"/>
      <c r="H7" s="27"/>
      <c r="I7" s="27"/>
      <c r="J7" s="27"/>
      <c r="K7" s="27"/>
    </row>
    <row r="8" spans="1:11" ht="15.75" x14ac:dyDescent="0.25">
      <c r="A8" s="26"/>
      <c r="B8" s="27"/>
      <c r="C8" s="116"/>
      <c r="D8" s="27"/>
      <c r="E8" s="27"/>
      <c r="F8" s="27"/>
      <c r="G8" s="27"/>
      <c r="H8" s="27"/>
      <c r="I8" s="27"/>
      <c r="J8" s="27"/>
      <c r="K8" s="27"/>
    </row>
    <row r="9" spans="1:11" ht="15" x14ac:dyDescent="0.2">
      <c r="A9" s="27"/>
      <c r="B9" s="27"/>
      <c r="C9" s="116"/>
      <c r="D9" s="27"/>
      <c r="E9" s="27"/>
      <c r="F9" s="27"/>
      <c r="G9" s="27"/>
      <c r="H9" s="27"/>
      <c r="I9" s="27"/>
      <c r="J9" s="27"/>
      <c r="K9" s="27"/>
    </row>
    <row r="10" spans="1:11" ht="15" x14ac:dyDescent="0.2">
      <c r="A10" s="27"/>
      <c r="B10" s="27"/>
      <c r="C10" s="116"/>
      <c r="D10" s="27"/>
      <c r="E10" s="27"/>
      <c r="F10" s="27"/>
      <c r="G10" s="27"/>
      <c r="H10" s="27"/>
      <c r="I10" s="27"/>
      <c r="J10" s="27"/>
      <c r="K10" s="27"/>
    </row>
    <row r="11" spans="1:11" ht="15" x14ac:dyDescent="0.2">
      <c r="A11" s="27"/>
      <c r="B11" s="246">
        <v>2011</v>
      </c>
      <c r="C11" s="247">
        <f>'res bce'!G39</f>
        <v>3.1692937479680583</v>
      </c>
      <c r="D11" s="27"/>
      <c r="E11" s="27"/>
      <c r="F11" s="27"/>
      <c r="G11" s="27"/>
      <c r="H11" s="27"/>
      <c r="I11" s="27"/>
      <c r="J11" s="27"/>
      <c r="K11" s="27"/>
    </row>
    <row r="12" spans="1:11" ht="15" x14ac:dyDescent="0.2">
      <c r="A12" s="27"/>
      <c r="B12" s="246">
        <v>2012</v>
      </c>
      <c r="C12" s="247">
        <f>'res bce'!E39</f>
        <v>3.8632832623598738</v>
      </c>
      <c r="D12" s="27"/>
      <c r="E12" s="27"/>
      <c r="F12" s="27"/>
      <c r="G12" s="27"/>
      <c r="H12" s="27"/>
      <c r="I12" s="27"/>
      <c r="J12" s="27"/>
      <c r="K12" s="27"/>
    </row>
    <row r="13" spans="1:11" ht="15" x14ac:dyDescent="0.2">
      <c r="A13" s="27"/>
      <c r="B13" s="246">
        <v>2013</v>
      </c>
      <c r="C13" s="247">
        <f>'res bce'!C39</f>
        <v>3.5066945567448746</v>
      </c>
      <c r="D13" s="27"/>
      <c r="E13" s="27"/>
      <c r="F13" s="27"/>
      <c r="G13" s="27"/>
      <c r="H13" s="27"/>
      <c r="I13" s="27"/>
      <c r="J13" s="27"/>
      <c r="K13" s="27"/>
    </row>
    <row r="14" spans="1:11" ht="15" x14ac:dyDescent="0.2">
      <c r="A14" s="27"/>
      <c r="B14" s="27"/>
      <c r="C14" s="116"/>
      <c r="D14" s="27"/>
      <c r="E14" s="27"/>
      <c r="F14" s="27"/>
      <c r="G14" s="27"/>
      <c r="H14" s="27"/>
      <c r="I14" s="27"/>
      <c r="J14" s="27"/>
      <c r="K14" s="27"/>
    </row>
    <row r="15" spans="1:11" ht="15" x14ac:dyDescent="0.2">
      <c r="A15" s="27"/>
      <c r="B15" s="27"/>
      <c r="C15" s="116"/>
      <c r="D15" s="27"/>
      <c r="E15" s="27"/>
      <c r="F15" s="27"/>
      <c r="G15" s="27"/>
      <c r="H15" s="27"/>
      <c r="I15" s="27"/>
      <c r="J15" s="27"/>
      <c r="K15" s="27"/>
    </row>
    <row r="16" spans="1:11" ht="15" x14ac:dyDescent="0.2">
      <c r="A16" s="27"/>
      <c r="B16" s="27"/>
      <c r="C16" s="116"/>
      <c r="D16" s="27"/>
      <c r="E16" s="27"/>
      <c r="F16" s="27"/>
      <c r="G16" s="27"/>
      <c r="H16" s="27"/>
      <c r="I16" s="27"/>
      <c r="J16" s="27"/>
      <c r="K16" s="27"/>
    </row>
    <row r="17" spans="1:11" ht="15" x14ac:dyDescent="0.2">
      <c r="A17" s="27"/>
      <c r="B17" s="27"/>
      <c r="C17" s="116"/>
      <c r="D17" s="27"/>
      <c r="E17" s="27"/>
      <c r="F17" s="27"/>
      <c r="G17" s="27"/>
      <c r="H17" s="27"/>
      <c r="I17" s="27"/>
      <c r="J17" s="27"/>
      <c r="K17" s="27"/>
    </row>
    <row r="18" spans="1:11" ht="15" x14ac:dyDescent="0.2">
      <c r="A18" s="27"/>
      <c r="B18" s="27"/>
      <c r="C18" s="116"/>
      <c r="D18" s="27"/>
      <c r="E18" s="27"/>
      <c r="F18" s="27"/>
      <c r="G18" s="27"/>
      <c r="H18" s="27"/>
      <c r="I18" s="27"/>
      <c r="J18" s="27"/>
      <c r="K18" s="27"/>
    </row>
    <row r="19" spans="1:11" ht="15" x14ac:dyDescent="0.2">
      <c r="A19" s="27"/>
      <c r="B19" s="29"/>
      <c r="C19" s="116"/>
      <c r="D19" s="27"/>
      <c r="E19" s="27"/>
      <c r="F19" s="27"/>
      <c r="G19" s="27"/>
      <c r="H19" s="27"/>
      <c r="I19" s="27"/>
      <c r="J19" s="27"/>
      <c r="K19" s="27"/>
    </row>
    <row r="20" spans="1:11" ht="15" x14ac:dyDescent="0.2">
      <c r="A20" s="27"/>
      <c r="B20" s="27"/>
      <c r="C20" s="116"/>
      <c r="D20" s="27"/>
      <c r="E20" s="27"/>
      <c r="F20" s="27"/>
      <c r="G20" s="27"/>
      <c r="H20" s="27"/>
      <c r="I20" s="27"/>
      <c r="J20" s="27"/>
      <c r="K20" s="27"/>
    </row>
    <row r="21" spans="1:11" ht="15" x14ac:dyDescent="0.2">
      <c r="A21" s="27"/>
      <c r="B21" s="27"/>
      <c r="C21" s="116"/>
      <c r="D21" s="27"/>
      <c r="E21" s="27"/>
      <c r="F21" s="27"/>
      <c r="G21" s="27"/>
      <c r="H21" s="27"/>
      <c r="I21" s="27"/>
      <c r="J21" s="27"/>
      <c r="K21" s="27"/>
    </row>
    <row r="22" spans="1:11" ht="15" x14ac:dyDescent="0.2">
      <c r="A22" s="27"/>
      <c r="B22" s="29"/>
      <c r="C22" s="116"/>
      <c r="D22" s="27"/>
      <c r="E22" s="27"/>
      <c r="F22" s="27"/>
      <c r="G22" s="27"/>
      <c r="H22" s="27"/>
      <c r="I22" s="27"/>
      <c r="J22" s="27"/>
      <c r="K22" s="27"/>
    </row>
    <row r="23" spans="1:11" ht="15.75" x14ac:dyDescent="0.25">
      <c r="A23" s="27"/>
      <c r="B23" s="318" t="s">
        <v>458</v>
      </c>
      <c r="C23" s="116"/>
      <c r="D23" s="27"/>
      <c r="E23" s="27"/>
      <c r="F23" s="27"/>
      <c r="G23" s="27"/>
      <c r="H23" s="27"/>
      <c r="I23" s="27"/>
      <c r="J23" s="27"/>
      <c r="K23" s="27"/>
    </row>
    <row r="24" spans="1:11" ht="15" x14ac:dyDescent="0.2">
      <c r="A24" s="27"/>
      <c r="B24" s="319" t="s">
        <v>92</v>
      </c>
      <c r="C24" s="320"/>
      <c r="D24" s="23"/>
      <c r="E24" s="23"/>
      <c r="F24" s="23"/>
      <c r="G24" s="23"/>
      <c r="H24" s="23"/>
      <c r="I24" s="23"/>
      <c r="J24" s="23"/>
      <c r="K24" s="23"/>
    </row>
    <row r="25" spans="1:11" ht="15" x14ac:dyDescent="0.2">
      <c r="A25" s="27"/>
      <c r="B25" s="27"/>
      <c r="C25" s="116"/>
      <c r="D25" s="23"/>
      <c r="E25" s="23"/>
      <c r="F25" s="23"/>
      <c r="G25" s="23"/>
      <c r="H25" s="23"/>
      <c r="I25" s="23"/>
      <c r="J25" s="23"/>
      <c r="K25" s="23"/>
    </row>
    <row r="26" spans="1:11" ht="15" x14ac:dyDescent="0.2">
      <c r="A26" s="321"/>
      <c r="B26" s="27"/>
      <c r="C26" s="116"/>
      <c r="D26" s="27"/>
      <c r="E26" s="27"/>
      <c r="F26" s="27"/>
      <c r="G26" s="27"/>
      <c r="H26" s="27"/>
      <c r="I26" s="27"/>
      <c r="J26" s="27"/>
      <c r="K26" s="27"/>
    </row>
    <row r="27" spans="1:11" ht="15" x14ac:dyDescent="0.2">
      <c r="A27" s="321"/>
      <c r="B27" s="27"/>
      <c r="C27" s="116"/>
      <c r="D27" s="27"/>
      <c r="E27" s="27"/>
      <c r="F27" s="27"/>
      <c r="G27" s="27"/>
      <c r="H27" s="27"/>
      <c r="I27" s="27"/>
      <c r="J27" s="27"/>
      <c r="K27" s="27"/>
    </row>
    <row r="28" spans="1:11" ht="15.75" x14ac:dyDescent="0.25">
      <c r="A28" s="26"/>
      <c r="B28" s="27"/>
      <c r="C28" s="116"/>
      <c r="D28" s="27"/>
      <c r="E28" s="27"/>
      <c r="F28" s="27"/>
      <c r="G28" s="27"/>
      <c r="H28" s="27"/>
      <c r="I28" s="27"/>
      <c r="J28" s="27"/>
      <c r="K28" s="27"/>
    </row>
    <row r="29" spans="1:11" ht="15" x14ac:dyDescent="0.2">
      <c r="A29" s="27"/>
      <c r="B29" s="27"/>
      <c r="C29" s="116"/>
      <c r="D29" s="27"/>
      <c r="E29" s="27"/>
      <c r="F29" s="27"/>
      <c r="G29" s="27"/>
      <c r="H29" s="27"/>
      <c r="I29" s="27"/>
      <c r="J29" s="27"/>
      <c r="K29" s="27"/>
    </row>
    <row r="30" spans="1:11" ht="15" x14ac:dyDescent="0.2">
      <c r="A30" s="27"/>
      <c r="B30" s="27"/>
      <c r="C30" s="116"/>
      <c r="D30" s="27"/>
      <c r="E30" s="27"/>
      <c r="F30" s="27"/>
      <c r="G30" s="27"/>
      <c r="H30" s="27"/>
      <c r="I30" s="27"/>
      <c r="J30" s="27"/>
      <c r="K30" s="27"/>
    </row>
    <row r="31" spans="1:11" ht="15" x14ac:dyDescent="0.2">
      <c r="A31" s="27"/>
      <c r="B31" s="246">
        <v>2011</v>
      </c>
      <c r="C31" s="248">
        <f>'res bce'!G40</f>
        <v>59058096</v>
      </c>
      <c r="D31" s="27"/>
      <c r="E31" s="27"/>
      <c r="F31" s="27"/>
      <c r="G31" s="27"/>
      <c r="H31" s="27"/>
      <c r="I31" s="27"/>
      <c r="J31" s="27"/>
      <c r="K31" s="27"/>
    </row>
    <row r="32" spans="1:11" ht="15" x14ac:dyDescent="0.2">
      <c r="A32" s="27"/>
      <c r="B32" s="246">
        <v>2012</v>
      </c>
      <c r="C32" s="248">
        <f>'res bce'!E40</f>
        <v>74310487</v>
      </c>
      <c r="D32" s="27"/>
      <c r="E32" s="27"/>
      <c r="F32" s="27"/>
      <c r="G32" s="27"/>
      <c r="H32" s="27"/>
      <c r="I32" s="27"/>
      <c r="J32" s="27"/>
      <c r="K32" s="27"/>
    </row>
    <row r="33" spans="1:11" ht="15" x14ac:dyDescent="0.2">
      <c r="A33" s="27"/>
      <c r="B33" s="246">
        <v>2013</v>
      </c>
      <c r="C33" s="248">
        <f>'res bce'!C40</f>
        <v>104760185</v>
      </c>
      <c r="D33" s="27"/>
      <c r="E33" s="27"/>
      <c r="F33" s="27"/>
      <c r="G33" s="27"/>
      <c r="H33" s="27"/>
      <c r="I33" s="27"/>
      <c r="J33" s="27"/>
      <c r="K33" s="27"/>
    </row>
    <row r="34" spans="1:11" ht="15" x14ac:dyDescent="0.2">
      <c r="A34" s="27"/>
      <c r="B34" s="27"/>
      <c r="C34" s="116"/>
      <c r="D34" s="27"/>
      <c r="E34" s="27"/>
      <c r="F34" s="27"/>
      <c r="G34" s="27"/>
      <c r="H34" s="27"/>
      <c r="I34" s="27"/>
      <c r="J34" s="27"/>
      <c r="K34" s="27"/>
    </row>
    <row r="35" spans="1:11" ht="15" x14ac:dyDescent="0.2">
      <c r="A35" s="27"/>
      <c r="B35" s="27"/>
      <c r="C35" s="116"/>
      <c r="D35" s="27"/>
      <c r="E35" s="27"/>
      <c r="F35" s="27"/>
      <c r="G35" s="27"/>
      <c r="H35" s="27"/>
      <c r="I35" s="27"/>
      <c r="J35" s="27"/>
      <c r="K35" s="27"/>
    </row>
    <row r="36" spans="1:11" ht="15" x14ac:dyDescent="0.2">
      <c r="A36" s="27"/>
      <c r="B36" s="27"/>
      <c r="C36" s="116"/>
      <c r="D36" s="27"/>
      <c r="E36" s="27"/>
      <c r="F36" s="27"/>
      <c r="G36" s="27"/>
      <c r="H36" s="27"/>
      <c r="I36" s="27"/>
      <c r="J36" s="27"/>
      <c r="K36" s="27"/>
    </row>
    <row r="37" spans="1:11" x14ac:dyDescent="0.2">
      <c r="A37" s="321"/>
      <c r="B37" s="321"/>
      <c r="C37" s="322"/>
      <c r="D37" s="23"/>
      <c r="E37" s="23"/>
      <c r="F37" s="23"/>
      <c r="G37" s="23"/>
      <c r="H37" s="23"/>
      <c r="I37" s="23"/>
      <c r="J37" s="23"/>
      <c r="K37" s="23"/>
    </row>
    <row r="38" spans="1:11" x14ac:dyDescent="0.2">
      <c r="A38" s="321"/>
      <c r="B38" s="321"/>
      <c r="C38" s="322"/>
      <c r="D38" s="23"/>
      <c r="E38" s="23"/>
      <c r="F38" s="23"/>
      <c r="G38" s="23"/>
      <c r="H38" s="23"/>
      <c r="I38" s="23"/>
      <c r="J38" s="23"/>
      <c r="K38" s="23"/>
    </row>
    <row r="39" spans="1:11" x14ac:dyDescent="0.2">
      <c r="A39" s="321"/>
      <c r="B39" s="321"/>
      <c r="C39" s="322"/>
      <c r="D39" s="23"/>
      <c r="E39" s="23"/>
      <c r="F39" s="23"/>
      <c r="G39" s="23"/>
      <c r="H39" s="23"/>
      <c r="I39" s="23"/>
      <c r="J39" s="23"/>
      <c r="K39" s="23"/>
    </row>
    <row r="40" spans="1:11" ht="15" x14ac:dyDescent="0.2">
      <c r="A40" s="27"/>
      <c r="B40" s="29"/>
      <c r="C40" s="116"/>
      <c r="D40" s="27"/>
      <c r="E40" s="27"/>
      <c r="F40" s="27"/>
      <c r="G40" s="27"/>
      <c r="H40" s="27"/>
      <c r="I40" s="27"/>
      <c r="J40" s="27"/>
      <c r="K40" s="27"/>
    </row>
    <row r="41" spans="1:11" ht="15" x14ac:dyDescent="0.2">
      <c r="A41" s="27"/>
      <c r="B41" s="29"/>
      <c r="C41" s="116"/>
      <c r="D41" s="27"/>
      <c r="E41" s="27"/>
      <c r="F41" s="27"/>
      <c r="G41" s="27"/>
      <c r="H41" s="27"/>
      <c r="I41" s="27"/>
      <c r="J41" s="27"/>
      <c r="K41" s="27"/>
    </row>
    <row r="42" spans="1:11" ht="15.75" x14ac:dyDescent="0.25">
      <c r="A42" s="26"/>
      <c r="B42" s="318" t="s">
        <v>456</v>
      </c>
      <c r="C42" s="116"/>
      <c r="D42" s="23"/>
      <c r="E42" s="23"/>
      <c r="F42" s="23"/>
      <c r="G42" s="23"/>
      <c r="H42" s="23"/>
      <c r="I42" s="23"/>
      <c r="J42" s="23"/>
      <c r="K42" s="23"/>
    </row>
    <row r="43" spans="1:11" ht="15" x14ac:dyDescent="0.2">
      <c r="A43" s="27"/>
      <c r="B43" s="319" t="s">
        <v>87</v>
      </c>
      <c r="C43" s="320"/>
      <c r="D43" s="27"/>
      <c r="E43" s="27"/>
      <c r="F43" s="27"/>
      <c r="G43" s="27"/>
      <c r="H43" s="27"/>
      <c r="I43" s="27"/>
      <c r="J43" s="27"/>
      <c r="K43" s="27"/>
    </row>
    <row r="44" spans="1:11" ht="15" x14ac:dyDescent="0.2">
      <c r="A44" s="27"/>
      <c r="B44" s="27"/>
      <c r="C44" s="116"/>
      <c r="D44" s="27"/>
      <c r="E44" s="27"/>
      <c r="F44" s="27"/>
      <c r="G44" s="27"/>
      <c r="H44" s="27"/>
      <c r="I44" s="27"/>
      <c r="J44" s="27"/>
      <c r="K44" s="27"/>
    </row>
    <row r="45" spans="1:11" ht="15" x14ac:dyDescent="0.2">
      <c r="A45" s="27"/>
      <c r="B45" s="31"/>
      <c r="C45" s="116"/>
      <c r="D45" s="27"/>
      <c r="E45" s="27"/>
      <c r="F45" s="27"/>
      <c r="G45" s="27"/>
      <c r="H45" s="27"/>
      <c r="I45" s="27"/>
      <c r="J45" s="27"/>
      <c r="K45" s="27"/>
    </row>
    <row r="46" spans="1:11" ht="15" x14ac:dyDescent="0.2">
      <c r="A46" s="27"/>
      <c r="B46" s="27"/>
      <c r="C46" s="116"/>
      <c r="D46" s="27"/>
      <c r="E46" s="27"/>
      <c r="F46" s="27"/>
      <c r="G46" s="27"/>
      <c r="H46" s="27"/>
      <c r="I46" s="27"/>
      <c r="J46" s="27"/>
      <c r="K46" s="27"/>
    </row>
    <row r="47" spans="1:11" ht="15" x14ac:dyDescent="0.2">
      <c r="A47" s="27"/>
      <c r="B47" s="27"/>
      <c r="C47" s="116"/>
      <c r="D47" s="27"/>
      <c r="E47" s="27"/>
      <c r="F47" s="27"/>
      <c r="G47" s="27"/>
      <c r="H47" s="27"/>
      <c r="I47" s="27"/>
      <c r="J47" s="27"/>
      <c r="K47" s="27"/>
    </row>
    <row r="48" spans="1:11" ht="15" x14ac:dyDescent="0.2">
      <c r="A48" s="27"/>
      <c r="B48" s="27"/>
      <c r="C48" s="116"/>
      <c r="D48" s="27"/>
      <c r="E48" s="27"/>
      <c r="F48" s="27"/>
      <c r="G48" s="27"/>
      <c r="H48" s="27"/>
      <c r="I48" s="27"/>
      <c r="J48" s="27"/>
      <c r="K48" s="27"/>
    </row>
    <row r="49" spans="1:11" ht="15" x14ac:dyDescent="0.2">
      <c r="A49" s="27"/>
      <c r="B49" s="246">
        <v>2011</v>
      </c>
      <c r="C49" s="249">
        <f>'res bce'!G44</f>
        <v>0.2615804447792105</v>
      </c>
      <c r="D49" s="27"/>
      <c r="E49" s="27"/>
      <c r="F49" s="27"/>
      <c r="G49" s="27"/>
      <c r="H49" s="27"/>
      <c r="I49" s="27"/>
      <c r="J49" s="27"/>
      <c r="K49" s="27"/>
    </row>
    <row r="50" spans="1:11" ht="15" x14ac:dyDescent="0.2">
      <c r="A50" s="27"/>
      <c r="B50" s="246">
        <v>2012</v>
      </c>
      <c r="C50" s="249">
        <f>'res bce'!E44</f>
        <v>0.2335182014545556</v>
      </c>
      <c r="D50" s="27"/>
      <c r="E50" s="27"/>
      <c r="F50" s="27"/>
      <c r="G50" s="27"/>
      <c r="H50" s="27"/>
      <c r="I50" s="27"/>
      <c r="J50" s="27"/>
      <c r="K50" s="27"/>
    </row>
    <row r="51" spans="1:11" ht="15" x14ac:dyDescent="0.2">
      <c r="A51" s="27"/>
      <c r="B51" s="246">
        <v>2013</v>
      </c>
      <c r="C51" s="249">
        <f>'res bce'!C44</f>
        <v>0.26008505362935164</v>
      </c>
      <c r="D51" s="27"/>
      <c r="E51" s="27"/>
      <c r="F51" s="27"/>
      <c r="G51" s="27"/>
      <c r="H51" s="27"/>
      <c r="I51" s="27"/>
      <c r="J51" s="27"/>
      <c r="K51" s="27"/>
    </row>
    <row r="52" spans="1:11" ht="15" x14ac:dyDescent="0.2">
      <c r="A52" s="27"/>
      <c r="B52" s="321"/>
      <c r="C52" s="322"/>
      <c r="D52" s="27"/>
      <c r="E52" s="27"/>
      <c r="F52" s="27"/>
      <c r="G52" s="27"/>
      <c r="H52" s="27"/>
      <c r="I52" s="27"/>
      <c r="J52" s="27"/>
      <c r="K52" s="27"/>
    </row>
    <row r="53" spans="1:11" ht="15" x14ac:dyDescent="0.2">
      <c r="A53" s="27"/>
      <c r="B53" s="321"/>
      <c r="C53" s="322"/>
      <c r="D53" s="27"/>
      <c r="E53" s="27"/>
      <c r="F53" s="27"/>
      <c r="G53" s="27"/>
      <c r="H53" s="27"/>
      <c r="I53" s="27"/>
      <c r="J53" s="27"/>
      <c r="K53" s="27"/>
    </row>
    <row r="54" spans="1:11" ht="15" x14ac:dyDescent="0.2">
      <c r="A54" s="27"/>
      <c r="B54" s="321"/>
      <c r="C54" s="322"/>
      <c r="D54" s="27"/>
      <c r="E54" s="27"/>
      <c r="F54" s="27"/>
      <c r="G54" s="27"/>
      <c r="H54" s="27"/>
      <c r="I54" s="27"/>
      <c r="J54" s="27"/>
      <c r="K54" s="27"/>
    </row>
    <row r="55" spans="1:11" ht="15" x14ac:dyDescent="0.2">
      <c r="A55" s="27"/>
      <c r="B55" s="321"/>
      <c r="C55" s="322"/>
      <c r="D55" s="27"/>
      <c r="E55" s="27"/>
      <c r="F55" s="27"/>
      <c r="G55" s="27"/>
      <c r="H55" s="27"/>
      <c r="I55" s="27"/>
      <c r="J55" s="27"/>
      <c r="K55" s="27"/>
    </row>
    <row r="56" spans="1:11" ht="15" x14ac:dyDescent="0.2">
      <c r="A56" s="27"/>
      <c r="B56" s="321"/>
      <c r="C56" s="322"/>
      <c r="D56" s="27"/>
      <c r="E56" s="27"/>
      <c r="F56" s="27"/>
      <c r="G56" s="27"/>
      <c r="H56" s="27"/>
      <c r="I56" s="27"/>
      <c r="J56" s="27"/>
      <c r="K56" s="27"/>
    </row>
    <row r="57" spans="1:11" ht="15" x14ac:dyDescent="0.2">
      <c r="A57" s="27"/>
      <c r="B57" s="321"/>
      <c r="C57" s="322"/>
      <c r="D57" s="27"/>
      <c r="E57" s="27"/>
      <c r="F57" s="27"/>
      <c r="G57" s="27"/>
      <c r="H57" s="27"/>
      <c r="I57" s="27"/>
      <c r="J57" s="27"/>
      <c r="K57" s="27"/>
    </row>
    <row r="58" spans="1:11" ht="15" x14ac:dyDescent="0.2">
      <c r="A58" s="27"/>
      <c r="B58" s="321"/>
      <c r="C58" s="322"/>
      <c r="D58" s="27"/>
      <c r="E58" s="27"/>
      <c r="F58" s="27"/>
      <c r="G58" s="27"/>
      <c r="H58" s="27"/>
      <c r="I58" s="27"/>
      <c r="J58" s="27"/>
      <c r="K58" s="27"/>
    </row>
    <row r="59" spans="1:11" ht="15" x14ac:dyDescent="0.2">
      <c r="A59" s="27"/>
      <c r="B59" s="321"/>
      <c r="C59" s="322"/>
      <c r="D59" s="27"/>
      <c r="E59" s="27"/>
      <c r="F59" s="27"/>
      <c r="G59" s="27"/>
      <c r="H59" s="27"/>
      <c r="I59" s="27"/>
      <c r="J59" s="27"/>
      <c r="K59" s="27"/>
    </row>
    <row r="60" spans="1:11" ht="15" x14ac:dyDescent="0.2">
      <c r="A60" s="27"/>
      <c r="B60" s="321"/>
      <c r="C60" s="322"/>
      <c r="D60" s="27"/>
      <c r="E60" s="27"/>
      <c r="F60" s="27"/>
      <c r="G60" s="27"/>
      <c r="H60" s="27"/>
      <c r="I60" s="27"/>
      <c r="J60" s="27"/>
      <c r="K60" s="27"/>
    </row>
    <row r="61" spans="1:11" ht="15" x14ac:dyDescent="0.2">
      <c r="A61" s="28"/>
      <c r="B61" s="321"/>
      <c r="C61" s="322"/>
      <c r="D61" s="27"/>
      <c r="E61" s="27"/>
      <c r="F61" s="27"/>
      <c r="G61" s="27"/>
      <c r="H61" s="27"/>
      <c r="I61" s="27"/>
      <c r="J61" s="27"/>
      <c r="K61" s="27"/>
    </row>
    <row r="62" spans="1:11" ht="15" x14ac:dyDescent="0.2">
      <c r="A62" s="28"/>
      <c r="B62" s="297"/>
      <c r="C62" s="323"/>
      <c r="D62" s="28"/>
      <c r="E62" s="28"/>
      <c r="F62" s="28"/>
      <c r="G62" s="28"/>
      <c r="H62" s="28"/>
      <c r="I62" s="28"/>
      <c r="J62" s="28"/>
      <c r="K62" s="28"/>
    </row>
    <row r="63" spans="1:11" ht="15" x14ac:dyDescent="0.2">
      <c r="A63" s="28"/>
      <c r="B63" s="297"/>
      <c r="C63" s="323"/>
      <c r="D63" s="28"/>
      <c r="E63" s="28"/>
      <c r="F63" s="28"/>
      <c r="G63" s="28"/>
      <c r="H63" s="28"/>
      <c r="I63" s="28"/>
      <c r="J63" s="28"/>
      <c r="K63" s="28"/>
    </row>
    <row r="64" spans="1:11" ht="15" x14ac:dyDescent="0.2">
      <c r="A64" s="28"/>
      <c r="B64" s="297"/>
      <c r="C64" s="323"/>
      <c r="D64" s="28"/>
      <c r="E64" s="28"/>
      <c r="F64" s="28"/>
      <c r="G64" s="117"/>
      <c r="H64" s="28"/>
      <c r="I64" s="28"/>
      <c r="J64" s="28"/>
      <c r="K64" s="28"/>
    </row>
    <row r="65" spans="1:11" ht="15" x14ac:dyDescent="0.2">
      <c r="A65" s="28"/>
      <c r="B65" s="297"/>
      <c r="C65" s="323"/>
      <c r="D65" s="28"/>
      <c r="E65" s="28"/>
      <c r="F65" s="28"/>
      <c r="G65" s="28"/>
      <c r="H65" s="28"/>
      <c r="I65" s="28"/>
      <c r="J65" s="28"/>
      <c r="K65" s="28"/>
    </row>
    <row r="66" spans="1:11" ht="15" x14ac:dyDescent="0.2">
      <c r="A66" s="28"/>
      <c r="B66" s="297"/>
      <c r="C66" s="323"/>
      <c r="D66" s="28"/>
      <c r="E66" s="28"/>
      <c r="F66" s="28"/>
      <c r="G66" s="28"/>
      <c r="H66" s="28"/>
      <c r="I66" s="28"/>
      <c r="J66" s="28"/>
      <c r="K66" s="28"/>
    </row>
    <row r="67" spans="1:11" ht="15" x14ac:dyDescent="0.2">
      <c r="A67" s="28"/>
      <c r="B67" s="297"/>
      <c r="C67" s="323"/>
      <c r="D67" s="28"/>
      <c r="E67" s="28"/>
      <c r="F67" s="28">
        <v>16</v>
      </c>
      <c r="G67" s="28"/>
      <c r="H67" s="28"/>
      <c r="I67" s="28"/>
      <c r="J67" s="28"/>
      <c r="K67" s="28"/>
    </row>
    <row r="68" spans="1:11" ht="15" x14ac:dyDescent="0.2">
      <c r="A68" s="28"/>
      <c r="B68" s="297"/>
      <c r="C68" s="323"/>
      <c r="D68" s="28"/>
      <c r="E68" s="28"/>
      <c r="F68" s="28"/>
      <c r="G68" s="28"/>
      <c r="H68" s="28"/>
      <c r="I68" s="28"/>
      <c r="J68" s="28"/>
      <c r="K68" s="28"/>
    </row>
    <row r="69" spans="1:11" ht="15" x14ac:dyDescent="0.2">
      <c r="A69" s="28"/>
      <c r="B69" s="297"/>
      <c r="C69" s="323"/>
      <c r="D69" s="28"/>
      <c r="E69" s="28"/>
      <c r="F69" s="28"/>
      <c r="G69" s="28"/>
      <c r="H69" s="28"/>
      <c r="I69" s="28"/>
      <c r="J69" s="28"/>
      <c r="K69" s="28"/>
    </row>
    <row r="70" spans="1:11" ht="15" x14ac:dyDescent="0.2">
      <c r="A70" s="28"/>
      <c r="B70" s="297"/>
      <c r="C70" s="323"/>
      <c r="D70" s="28"/>
      <c r="E70" s="28"/>
      <c r="F70" s="28"/>
      <c r="G70" s="28"/>
      <c r="H70" s="28"/>
      <c r="I70" s="28"/>
      <c r="J70" s="28"/>
      <c r="K70" s="28"/>
    </row>
    <row r="71" spans="1:11" ht="15.75" x14ac:dyDescent="0.25">
      <c r="A71" s="28"/>
      <c r="B71" s="318" t="s">
        <v>477</v>
      </c>
      <c r="C71" s="116"/>
      <c r="D71" s="23"/>
      <c r="E71" s="23"/>
      <c r="F71" s="23"/>
      <c r="G71" s="23"/>
      <c r="H71" s="23"/>
      <c r="I71" s="23"/>
      <c r="J71" s="23"/>
      <c r="K71" s="23"/>
    </row>
    <row r="72" spans="1:11" ht="15" x14ac:dyDescent="0.2">
      <c r="A72" s="28"/>
      <c r="B72" s="319" t="s">
        <v>87</v>
      </c>
      <c r="C72" s="320"/>
      <c r="D72" s="27"/>
      <c r="E72" s="27"/>
      <c r="F72" s="27"/>
      <c r="G72" s="27"/>
      <c r="H72" s="27"/>
      <c r="I72" s="27"/>
      <c r="J72" s="27"/>
      <c r="K72" s="27"/>
    </row>
    <row r="73" spans="1:11" ht="15" x14ac:dyDescent="0.2">
      <c r="A73" s="28"/>
      <c r="B73" s="27"/>
      <c r="C73" s="116"/>
      <c r="D73" s="27"/>
      <c r="E73" s="27"/>
      <c r="F73" s="27"/>
      <c r="G73" s="27"/>
      <c r="H73" s="27"/>
      <c r="I73" s="27"/>
      <c r="J73" s="27"/>
      <c r="K73" s="27"/>
    </row>
    <row r="74" spans="1:11" ht="15" x14ac:dyDescent="0.2">
      <c r="A74" s="28"/>
      <c r="B74" s="31"/>
      <c r="C74" s="116"/>
      <c r="D74" s="27"/>
      <c r="E74" s="27"/>
      <c r="F74" s="27"/>
      <c r="G74" s="27"/>
      <c r="H74" s="27"/>
      <c r="I74" s="27"/>
      <c r="J74" s="27"/>
      <c r="K74" s="27"/>
    </row>
    <row r="75" spans="1:11" ht="15" x14ac:dyDescent="0.2">
      <c r="A75" s="28"/>
      <c r="B75" s="27"/>
      <c r="C75" s="116"/>
      <c r="D75" s="27"/>
      <c r="E75" s="27"/>
      <c r="F75" s="27"/>
      <c r="G75" s="27"/>
      <c r="H75" s="27"/>
      <c r="I75" s="27"/>
      <c r="J75" s="27"/>
      <c r="K75" s="27"/>
    </row>
    <row r="76" spans="1:11" ht="15" x14ac:dyDescent="0.2">
      <c r="A76" s="28"/>
      <c r="B76" s="27"/>
      <c r="C76" s="116"/>
      <c r="D76" s="27"/>
      <c r="E76" s="27"/>
      <c r="F76" s="27"/>
      <c r="G76" s="27"/>
      <c r="H76" s="27"/>
      <c r="I76" s="27"/>
      <c r="J76" s="27"/>
      <c r="K76" s="27"/>
    </row>
    <row r="77" spans="1:11" ht="15" x14ac:dyDescent="0.2">
      <c r="A77" s="28"/>
      <c r="B77" s="27"/>
      <c r="C77" s="116"/>
      <c r="D77" s="27"/>
      <c r="E77" s="27"/>
      <c r="F77" s="27"/>
      <c r="G77" s="27"/>
      <c r="H77" s="27"/>
      <c r="I77" s="27"/>
      <c r="J77" s="27"/>
      <c r="K77" s="27"/>
    </row>
    <row r="78" spans="1:11" ht="15" x14ac:dyDescent="0.2">
      <c r="A78" s="28"/>
      <c r="B78" s="246">
        <v>2011</v>
      </c>
      <c r="C78" s="249">
        <f>'res bce'!G47</f>
        <v>9.4128771683255341E-2</v>
      </c>
      <c r="D78" s="27"/>
      <c r="E78" s="27"/>
      <c r="F78" s="27"/>
      <c r="G78" s="27"/>
      <c r="H78" s="27"/>
      <c r="I78" s="27"/>
      <c r="J78" s="27"/>
      <c r="K78" s="27"/>
    </row>
    <row r="79" spans="1:11" ht="15" x14ac:dyDescent="0.2">
      <c r="A79" s="28"/>
      <c r="B79" s="246">
        <v>2012</v>
      </c>
      <c r="C79" s="249">
        <f>'res bce'!E47</f>
        <v>7.0182526115702165E-2</v>
      </c>
      <c r="D79" s="27"/>
      <c r="E79" s="27"/>
      <c r="F79" s="27"/>
      <c r="G79" s="27"/>
      <c r="H79" s="27"/>
      <c r="I79" s="27"/>
      <c r="J79" s="27"/>
      <c r="K79" s="27"/>
    </row>
    <row r="80" spans="1:11" ht="15" x14ac:dyDescent="0.2">
      <c r="A80" s="28"/>
      <c r="B80" s="246">
        <v>2013</v>
      </c>
      <c r="C80" s="249">
        <f>'res bce'!C47</f>
        <v>6.6479933862030063E-2</v>
      </c>
      <c r="D80" s="27"/>
      <c r="E80" s="27"/>
      <c r="F80" s="27"/>
      <c r="G80" s="27"/>
      <c r="H80" s="27"/>
      <c r="I80" s="27"/>
      <c r="J80" s="27"/>
      <c r="K80" s="27"/>
    </row>
    <row r="81" spans="1:11" ht="15" x14ac:dyDescent="0.2">
      <c r="A81" s="28"/>
      <c r="B81" s="321"/>
      <c r="C81" s="322"/>
      <c r="D81" s="27"/>
      <c r="E81" s="27"/>
      <c r="F81" s="27"/>
      <c r="G81" s="27"/>
      <c r="H81" s="27"/>
      <c r="I81" s="27"/>
      <c r="J81" s="27"/>
      <c r="K81" s="27"/>
    </row>
    <row r="82" spans="1:11" ht="15" x14ac:dyDescent="0.2">
      <c r="A82" s="28"/>
      <c r="B82" s="321"/>
      <c r="C82" s="322"/>
      <c r="D82" s="27"/>
      <c r="E82" s="27"/>
      <c r="F82" s="27"/>
      <c r="G82" s="27"/>
      <c r="H82" s="27"/>
      <c r="I82" s="27"/>
      <c r="J82" s="27"/>
      <c r="K82" s="27"/>
    </row>
    <row r="83" spans="1:11" ht="15" x14ac:dyDescent="0.2">
      <c r="A83" s="28"/>
      <c r="B83" s="321"/>
      <c r="C83" s="322"/>
      <c r="D83" s="27"/>
      <c r="E83" s="27"/>
      <c r="F83" s="27"/>
      <c r="G83" s="27"/>
      <c r="H83" s="27"/>
      <c r="I83" s="27"/>
      <c r="J83" s="27"/>
      <c r="K83" s="27"/>
    </row>
    <row r="84" spans="1:11" ht="15" x14ac:dyDescent="0.2">
      <c r="A84" s="28"/>
      <c r="B84" s="321"/>
      <c r="C84" s="322"/>
      <c r="D84" s="27"/>
      <c r="E84" s="27"/>
      <c r="F84" s="27"/>
      <c r="G84" s="27"/>
      <c r="H84" s="27"/>
      <c r="I84" s="27"/>
      <c r="J84" s="27"/>
      <c r="K84" s="27"/>
    </row>
    <row r="85" spans="1:11" ht="15" x14ac:dyDescent="0.2">
      <c r="A85" s="28"/>
      <c r="B85" s="321"/>
      <c r="C85" s="322"/>
      <c r="D85" s="27"/>
      <c r="E85" s="27"/>
      <c r="F85" s="27"/>
      <c r="G85" s="27"/>
      <c r="H85" s="27"/>
      <c r="I85" s="27"/>
      <c r="J85" s="27"/>
      <c r="K85" s="27"/>
    </row>
    <row r="86" spans="1:11" ht="15" x14ac:dyDescent="0.2">
      <c r="A86" s="28"/>
      <c r="B86" s="321"/>
      <c r="C86" s="322"/>
      <c r="D86" s="27"/>
      <c r="E86" s="27"/>
      <c r="F86" s="27"/>
      <c r="G86" s="27"/>
      <c r="H86" s="27"/>
      <c r="I86" s="27"/>
      <c r="J86" s="27"/>
      <c r="K86" s="27"/>
    </row>
    <row r="87" spans="1:11" ht="15" x14ac:dyDescent="0.2">
      <c r="A87" s="28"/>
      <c r="B87" s="321"/>
      <c r="C87" s="322"/>
      <c r="D87" s="27"/>
      <c r="E87" s="27"/>
      <c r="F87" s="27"/>
      <c r="G87" s="27"/>
      <c r="H87" s="27"/>
      <c r="I87" s="27"/>
      <c r="J87" s="27"/>
      <c r="K87" s="27"/>
    </row>
    <row r="88" spans="1:11" ht="15" x14ac:dyDescent="0.2">
      <c r="A88" s="28"/>
      <c r="B88" s="321"/>
      <c r="C88" s="322"/>
      <c r="D88" s="27"/>
      <c r="E88" s="27"/>
      <c r="F88" s="27"/>
      <c r="G88" s="27"/>
      <c r="H88" s="27"/>
      <c r="I88" s="27"/>
      <c r="J88" s="27"/>
      <c r="K88" s="27"/>
    </row>
    <row r="89" spans="1:11" ht="15" x14ac:dyDescent="0.2">
      <c r="A89" s="28"/>
      <c r="B89" s="321"/>
      <c r="C89" s="322"/>
      <c r="D89" s="27"/>
      <c r="E89" s="27"/>
      <c r="F89" s="27"/>
      <c r="G89" s="27"/>
      <c r="H89" s="27"/>
      <c r="I89" s="27"/>
      <c r="J89" s="27"/>
      <c r="K89" s="27"/>
    </row>
    <row r="90" spans="1:11" ht="15" x14ac:dyDescent="0.2">
      <c r="A90" s="28"/>
      <c r="B90" s="321"/>
      <c r="C90" s="322"/>
      <c r="D90" s="27"/>
      <c r="E90" s="27"/>
      <c r="F90" s="27"/>
      <c r="G90" s="27"/>
      <c r="H90" s="27"/>
      <c r="I90" s="27"/>
      <c r="J90" s="27"/>
      <c r="K90" s="27"/>
    </row>
    <row r="91" spans="1:11" ht="15" x14ac:dyDescent="0.2">
      <c r="A91" s="28"/>
      <c r="B91" s="297"/>
      <c r="C91" s="323"/>
      <c r="D91" s="28"/>
      <c r="E91" s="28"/>
      <c r="F91" s="28"/>
      <c r="G91" s="28"/>
      <c r="H91" s="28"/>
      <c r="I91" s="28"/>
      <c r="J91" s="28"/>
      <c r="K91" s="28"/>
    </row>
    <row r="92" spans="1:11" ht="15" x14ac:dyDescent="0.2">
      <c r="A92" s="28"/>
      <c r="B92" s="297"/>
      <c r="C92" s="323"/>
      <c r="D92" s="28"/>
      <c r="E92" s="28"/>
      <c r="F92" s="28"/>
      <c r="G92" s="28"/>
      <c r="H92" s="28"/>
      <c r="I92" s="28"/>
      <c r="J92" s="28"/>
      <c r="K92" s="28"/>
    </row>
    <row r="93" spans="1:11" ht="15" x14ac:dyDescent="0.2">
      <c r="A93" s="28"/>
      <c r="B93" s="297"/>
      <c r="C93" s="323"/>
      <c r="D93" s="28"/>
      <c r="E93" s="28"/>
      <c r="F93" s="28"/>
      <c r="G93" s="28"/>
      <c r="H93" s="28"/>
      <c r="I93" s="28"/>
      <c r="J93" s="28"/>
      <c r="K93" s="28"/>
    </row>
    <row r="94" spans="1:11" ht="15.75" x14ac:dyDescent="0.25">
      <c r="A94" s="27"/>
      <c r="B94" s="318" t="s">
        <v>461</v>
      </c>
      <c r="C94" s="116"/>
      <c r="D94" s="27"/>
      <c r="E94" s="27"/>
      <c r="F94" s="27"/>
      <c r="G94" s="27"/>
      <c r="H94" s="27"/>
      <c r="I94" s="27"/>
      <c r="J94" s="27"/>
      <c r="K94" s="27"/>
    </row>
    <row r="95" spans="1:11" ht="15" x14ac:dyDescent="0.2">
      <c r="A95" s="27"/>
      <c r="B95" s="319" t="s">
        <v>93</v>
      </c>
      <c r="C95" s="116"/>
      <c r="D95" s="23"/>
      <c r="E95" s="23"/>
      <c r="F95" s="23"/>
      <c r="G95" s="23"/>
      <c r="H95" s="23"/>
      <c r="I95" s="23"/>
      <c r="J95" s="23"/>
      <c r="K95" s="23"/>
    </row>
    <row r="96" spans="1:11" ht="15" x14ac:dyDescent="0.2">
      <c r="A96" s="321"/>
      <c r="B96" s="27"/>
      <c r="C96" s="116"/>
      <c r="D96" s="23"/>
      <c r="E96" s="23"/>
      <c r="F96" s="23"/>
      <c r="G96" s="23"/>
      <c r="H96" s="23"/>
      <c r="I96" s="23"/>
      <c r="J96" s="23"/>
      <c r="K96" s="23"/>
    </row>
    <row r="97" spans="1:11" ht="15.75" x14ac:dyDescent="0.25">
      <c r="A97" s="26"/>
      <c r="B97" s="27"/>
      <c r="C97" s="116"/>
      <c r="D97" s="27"/>
      <c r="E97" s="27"/>
      <c r="F97" s="27"/>
      <c r="G97" s="27"/>
      <c r="H97" s="27"/>
      <c r="I97" s="27"/>
      <c r="J97" s="27"/>
      <c r="K97" s="27"/>
    </row>
    <row r="98" spans="1:11" ht="15" x14ac:dyDescent="0.2">
      <c r="A98" s="27"/>
      <c r="B98" s="27"/>
      <c r="C98" s="116"/>
      <c r="D98" s="27"/>
      <c r="E98" s="27"/>
      <c r="F98" s="27"/>
      <c r="G98" s="27"/>
      <c r="H98" s="27"/>
      <c r="I98" s="27"/>
      <c r="J98" s="27"/>
      <c r="K98" s="27"/>
    </row>
    <row r="99" spans="1:11" ht="15" x14ac:dyDescent="0.2">
      <c r="A99" s="27"/>
      <c r="B99" s="27"/>
      <c r="C99" s="116"/>
      <c r="D99" s="27"/>
      <c r="E99" s="27"/>
      <c r="F99" s="27"/>
      <c r="G99" s="27"/>
      <c r="H99" s="27"/>
      <c r="I99" s="27"/>
      <c r="J99" s="27"/>
      <c r="K99" s="27"/>
    </row>
    <row r="100" spans="1:11" ht="15" x14ac:dyDescent="0.2">
      <c r="A100" s="27"/>
      <c r="B100" s="27"/>
      <c r="C100" s="116"/>
      <c r="D100" s="27"/>
      <c r="E100" s="27"/>
      <c r="F100" s="27"/>
      <c r="G100" s="27"/>
      <c r="H100" s="27"/>
      <c r="I100" s="27"/>
      <c r="J100" s="27"/>
      <c r="K100" s="27"/>
    </row>
    <row r="101" spans="1:11" ht="15" x14ac:dyDescent="0.2">
      <c r="A101" s="27"/>
      <c r="B101" s="27"/>
      <c r="C101" s="116"/>
      <c r="D101" s="27"/>
      <c r="E101" s="27"/>
      <c r="F101" s="27"/>
      <c r="G101" s="27"/>
      <c r="H101" s="27"/>
      <c r="I101" s="27"/>
      <c r="J101" s="27"/>
      <c r="K101" s="27"/>
    </row>
    <row r="102" spans="1:11" ht="15" x14ac:dyDescent="0.2">
      <c r="A102" s="27"/>
      <c r="B102" s="246">
        <v>2011</v>
      </c>
      <c r="C102" s="249">
        <f>'res bce'!G48</f>
        <v>5.3369987142579692E-2</v>
      </c>
      <c r="D102" s="27"/>
      <c r="E102" s="27"/>
      <c r="F102" s="27"/>
      <c r="G102" s="27"/>
      <c r="H102" s="27"/>
      <c r="I102" s="27"/>
      <c r="J102" s="27"/>
      <c r="K102" s="27"/>
    </row>
    <row r="103" spans="1:11" ht="15" x14ac:dyDescent="0.2">
      <c r="A103" s="27"/>
      <c r="B103" s="246">
        <v>2012</v>
      </c>
      <c r="C103" s="249">
        <f>'res bce'!E48</f>
        <v>3.4121714713272945E-2</v>
      </c>
      <c r="D103" s="27"/>
      <c r="E103" s="27"/>
      <c r="F103" s="27"/>
      <c r="G103" s="27"/>
      <c r="H103" s="27"/>
      <c r="I103" s="27"/>
      <c r="J103" s="27"/>
      <c r="K103" s="27"/>
    </row>
    <row r="104" spans="1:11" ht="15" x14ac:dyDescent="0.2">
      <c r="A104" s="27"/>
      <c r="B104" s="246">
        <v>2013</v>
      </c>
      <c r="C104" s="249">
        <f>'res bce'!C48</f>
        <v>5.7821272284605046E-3</v>
      </c>
      <c r="D104" s="27"/>
      <c r="E104" s="27"/>
      <c r="F104" s="27"/>
      <c r="G104" s="27"/>
      <c r="H104" s="27"/>
      <c r="I104" s="27"/>
      <c r="J104" s="27"/>
      <c r="K104" s="27"/>
    </row>
    <row r="105" spans="1:11" ht="15" x14ac:dyDescent="0.2">
      <c r="A105" s="27"/>
      <c r="B105" s="321"/>
      <c r="C105" s="322"/>
      <c r="D105" s="27"/>
      <c r="E105" s="27"/>
      <c r="F105" s="27"/>
      <c r="G105" s="27"/>
      <c r="H105" s="27"/>
      <c r="I105" s="27"/>
      <c r="J105" s="27"/>
      <c r="K105" s="27"/>
    </row>
    <row r="106" spans="1:11" ht="15" x14ac:dyDescent="0.2">
      <c r="A106" s="27"/>
      <c r="B106" s="321"/>
      <c r="C106" s="322"/>
      <c r="D106" s="27"/>
      <c r="E106" s="27"/>
      <c r="F106" s="27"/>
      <c r="G106" s="27"/>
      <c r="H106" s="27"/>
      <c r="I106" s="27"/>
      <c r="J106" s="27"/>
      <c r="K106" s="27"/>
    </row>
    <row r="107" spans="1:11" ht="15" x14ac:dyDescent="0.2">
      <c r="A107" s="27"/>
      <c r="B107" s="27"/>
      <c r="C107" s="116"/>
      <c r="D107" s="27"/>
      <c r="E107" s="27"/>
      <c r="F107" s="27"/>
      <c r="G107" s="27"/>
      <c r="H107" s="27"/>
      <c r="I107" s="27"/>
      <c r="J107" s="27"/>
      <c r="K107" s="27"/>
    </row>
    <row r="108" spans="1:11" ht="15" x14ac:dyDescent="0.2">
      <c r="A108" s="27"/>
      <c r="B108" s="29"/>
      <c r="C108" s="116"/>
      <c r="D108" s="27"/>
      <c r="E108" s="27"/>
      <c r="F108" s="27"/>
      <c r="G108" s="27"/>
      <c r="H108" s="27"/>
      <c r="I108" s="27"/>
      <c r="J108" s="27"/>
      <c r="K108" s="27"/>
    </row>
    <row r="109" spans="1:11" ht="15" x14ac:dyDescent="0.2">
      <c r="A109" s="27"/>
      <c r="B109" s="32"/>
      <c r="C109" s="116"/>
      <c r="D109" s="27"/>
      <c r="E109" s="27"/>
      <c r="F109" s="27"/>
      <c r="G109" s="27"/>
      <c r="H109" s="27"/>
      <c r="I109" s="27"/>
      <c r="J109" s="27"/>
      <c r="K109" s="27"/>
    </row>
    <row r="110" spans="1:11" ht="15" x14ac:dyDescent="0.2">
      <c r="A110" s="27"/>
      <c r="B110" s="27"/>
      <c r="C110" s="116"/>
      <c r="D110" s="27"/>
      <c r="E110" s="27"/>
      <c r="F110" s="27"/>
      <c r="G110" s="27"/>
      <c r="H110" s="27"/>
      <c r="I110" s="27"/>
      <c r="J110" s="27"/>
      <c r="K110" s="27"/>
    </row>
    <row r="111" spans="1:11" ht="15" x14ac:dyDescent="0.2">
      <c r="A111" s="27"/>
      <c r="B111" s="321"/>
      <c r="C111" s="322"/>
      <c r="D111" s="27"/>
      <c r="E111" s="27"/>
      <c r="F111" s="27"/>
      <c r="G111" s="27"/>
      <c r="H111" s="27"/>
      <c r="I111" s="27"/>
      <c r="J111" s="27"/>
      <c r="K111" s="27"/>
    </row>
    <row r="112" spans="1:11" ht="15" x14ac:dyDescent="0.2">
      <c r="A112" s="27"/>
      <c r="B112" s="321"/>
      <c r="C112" s="322"/>
      <c r="D112" s="27"/>
      <c r="E112" s="27"/>
      <c r="F112" s="27"/>
      <c r="G112" s="27"/>
      <c r="H112" s="27"/>
      <c r="I112" s="27"/>
      <c r="J112" s="27"/>
      <c r="K112" s="27"/>
    </row>
    <row r="113" spans="1:11" ht="15.75" x14ac:dyDescent="0.25">
      <c r="A113" s="321"/>
      <c r="B113" s="318" t="s">
        <v>88</v>
      </c>
      <c r="C113" s="116"/>
      <c r="D113" s="23"/>
      <c r="E113" s="23"/>
      <c r="F113" s="23"/>
      <c r="G113" s="23"/>
      <c r="H113" s="23"/>
      <c r="I113" s="23"/>
      <c r="J113" s="23"/>
      <c r="K113" s="23"/>
    </row>
    <row r="114" spans="1:11" ht="15.75" x14ac:dyDescent="0.25">
      <c r="A114" s="26"/>
      <c r="B114" s="319" t="s">
        <v>89</v>
      </c>
      <c r="C114" s="320"/>
      <c r="D114" s="23"/>
      <c r="E114" s="23"/>
      <c r="F114" s="23"/>
      <c r="G114" s="23"/>
      <c r="H114" s="23"/>
      <c r="I114" s="23"/>
      <c r="J114" s="23"/>
      <c r="K114" s="23"/>
    </row>
    <row r="115" spans="1:11" ht="15.75" x14ac:dyDescent="0.25">
      <c r="A115" s="27"/>
      <c r="B115" s="27"/>
      <c r="C115" s="116"/>
      <c r="D115" s="30"/>
      <c r="E115" s="27"/>
      <c r="F115" s="27"/>
      <c r="G115" s="27"/>
      <c r="H115" s="27"/>
      <c r="I115" s="27"/>
      <c r="J115" s="27"/>
      <c r="K115" s="27"/>
    </row>
    <row r="116" spans="1:11" ht="15" x14ac:dyDescent="0.2">
      <c r="A116" s="27"/>
      <c r="B116" s="31"/>
      <c r="C116" s="116"/>
      <c r="D116" s="27"/>
      <c r="E116" s="27"/>
      <c r="F116" s="27"/>
      <c r="G116" s="27"/>
      <c r="H116" s="27"/>
      <c r="I116" s="27"/>
      <c r="J116" s="27"/>
      <c r="K116" s="27"/>
    </row>
    <row r="117" spans="1:11" ht="15" x14ac:dyDescent="0.2">
      <c r="A117" s="27"/>
      <c r="B117" s="27"/>
      <c r="C117" s="116"/>
      <c r="D117" s="27"/>
      <c r="E117" s="27"/>
      <c r="F117" s="27"/>
      <c r="G117" s="27"/>
      <c r="H117" s="27"/>
      <c r="I117" s="27"/>
      <c r="J117" s="27"/>
      <c r="K117" s="27"/>
    </row>
    <row r="118" spans="1:11" ht="15" x14ac:dyDescent="0.2">
      <c r="A118" s="27"/>
      <c r="B118" s="27"/>
      <c r="C118" s="116"/>
      <c r="D118" s="27"/>
      <c r="E118" s="27"/>
      <c r="F118" s="27"/>
      <c r="G118" s="27"/>
      <c r="H118" s="27"/>
      <c r="I118" s="27"/>
      <c r="J118" s="27"/>
      <c r="K118" s="27"/>
    </row>
    <row r="119" spans="1:11" ht="15" x14ac:dyDescent="0.2">
      <c r="A119" s="27"/>
      <c r="B119" s="27"/>
      <c r="C119" s="116"/>
      <c r="D119" s="27"/>
      <c r="E119" s="27"/>
      <c r="F119" s="27"/>
      <c r="G119" s="27"/>
      <c r="H119" s="27"/>
      <c r="I119" s="27"/>
      <c r="J119" s="27"/>
      <c r="K119" s="27"/>
    </row>
    <row r="120" spans="1:11" ht="15" x14ac:dyDescent="0.2">
      <c r="A120" s="27"/>
      <c r="B120" s="246">
        <v>2011</v>
      </c>
      <c r="C120" s="249">
        <f>'res bce'!G53</f>
        <v>9.9136668133170888E-2</v>
      </c>
      <c r="D120" s="27"/>
      <c r="E120" s="27"/>
      <c r="F120" s="27"/>
      <c r="G120" s="27"/>
      <c r="H120" s="27"/>
      <c r="I120" s="27"/>
      <c r="J120" s="27"/>
      <c r="K120" s="27"/>
    </row>
    <row r="121" spans="1:11" ht="15" x14ac:dyDescent="0.2">
      <c r="A121" s="27"/>
      <c r="B121" s="246">
        <v>2012</v>
      </c>
      <c r="C121" s="249">
        <f>'res bce'!E53</f>
        <v>6.457271490021789E-2</v>
      </c>
      <c r="D121" s="27"/>
      <c r="E121" s="27"/>
      <c r="F121" s="27"/>
      <c r="G121" s="27"/>
      <c r="H121" s="27"/>
      <c r="I121" s="27"/>
      <c r="J121" s="27"/>
      <c r="K121" s="27"/>
    </row>
    <row r="122" spans="1:11" ht="15" x14ac:dyDescent="0.2">
      <c r="A122" s="27"/>
      <c r="B122" s="246">
        <v>2013</v>
      </c>
      <c r="C122" s="249">
        <f>'res bce'!C53</f>
        <v>7.6826539624037599E-2</v>
      </c>
      <c r="D122" s="27"/>
      <c r="E122" s="27"/>
      <c r="F122" s="27"/>
      <c r="G122" s="27"/>
      <c r="H122" s="27"/>
      <c r="I122" s="27"/>
      <c r="J122" s="27"/>
      <c r="K122" s="27"/>
    </row>
    <row r="123" spans="1:11" ht="15" x14ac:dyDescent="0.2">
      <c r="A123" s="27"/>
      <c r="B123" s="27"/>
      <c r="C123" s="116"/>
      <c r="D123" s="27"/>
      <c r="E123" s="27"/>
      <c r="F123" s="27"/>
      <c r="G123" s="27"/>
      <c r="H123" s="27"/>
      <c r="I123" s="27"/>
      <c r="J123" s="27"/>
      <c r="K123" s="27"/>
    </row>
    <row r="124" spans="1:11" ht="15" x14ac:dyDescent="0.2">
      <c r="A124" s="27"/>
      <c r="B124" s="27"/>
      <c r="C124" s="116"/>
      <c r="D124" s="27"/>
      <c r="E124" s="27"/>
      <c r="F124" s="27"/>
      <c r="G124" s="27"/>
      <c r="H124" s="27"/>
      <c r="I124" s="27"/>
      <c r="J124" s="27"/>
      <c r="K124" s="27"/>
    </row>
    <row r="125" spans="1:11" ht="15" x14ac:dyDescent="0.2">
      <c r="A125" s="27"/>
      <c r="B125" s="27"/>
      <c r="C125" s="116"/>
      <c r="D125" s="27"/>
      <c r="E125" s="27"/>
      <c r="F125" s="27"/>
      <c r="G125" s="27"/>
      <c r="H125" s="27"/>
      <c r="I125" s="27"/>
      <c r="J125" s="27"/>
      <c r="K125" s="27"/>
    </row>
    <row r="126" spans="1:11" ht="15" x14ac:dyDescent="0.2">
      <c r="A126" s="27"/>
      <c r="B126" s="27"/>
      <c r="C126" s="116"/>
      <c r="D126" s="27"/>
      <c r="E126" s="27"/>
      <c r="F126" s="27"/>
      <c r="G126" s="27"/>
      <c r="H126" s="27"/>
      <c r="I126" s="27"/>
      <c r="J126" s="27"/>
      <c r="K126" s="27"/>
    </row>
    <row r="127" spans="1:11" ht="15" x14ac:dyDescent="0.2">
      <c r="A127" s="27"/>
      <c r="B127" s="27"/>
      <c r="C127" s="116"/>
      <c r="D127" s="27"/>
      <c r="E127" s="27"/>
      <c r="F127" s="27"/>
      <c r="G127" s="27"/>
      <c r="H127" s="27"/>
      <c r="I127" s="27"/>
      <c r="J127" s="27"/>
      <c r="K127" s="27"/>
    </row>
    <row r="128" spans="1:11" ht="15" x14ac:dyDescent="0.2">
      <c r="A128" s="27"/>
      <c r="B128" s="27"/>
      <c r="C128" s="116"/>
      <c r="D128" s="27"/>
      <c r="E128" s="27"/>
      <c r="F128" s="27"/>
      <c r="G128" s="27"/>
      <c r="H128" s="27"/>
      <c r="I128" s="27"/>
      <c r="J128" s="27"/>
      <c r="K128" s="27"/>
    </row>
    <row r="129" spans="1:11" ht="15" x14ac:dyDescent="0.2">
      <c r="A129" s="27"/>
      <c r="B129" s="27"/>
      <c r="C129" s="116"/>
      <c r="D129" s="27"/>
      <c r="E129" s="27"/>
      <c r="F129" s="27"/>
      <c r="G129" s="27"/>
      <c r="H129" s="27"/>
      <c r="I129" s="27"/>
      <c r="J129" s="27"/>
      <c r="K129" s="27"/>
    </row>
    <row r="130" spans="1:11" ht="15" x14ac:dyDescent="0.2">
      <c r="A130" s="27"/>
      <c r="B130" s="27"/>
      <c r="C130" s="116"/>
      <c r="D130" s="27"/>
      <c r="E130" s="27"/>
      <c r="F130" s="27"/>
      <c r="G130" s="27"/>
      <c r="H130" s="27"/>
      <c r="I130" s="27"/>
      <c r="J130" s="27"/>
      <c r="K130" s="27"/>
    </row>
    <row r="131" spans="1:11" ht="15" x14ac:dyDescent="0.2">
      <c r="A131" s="27"/>
      <c r="B131" s="27"/>
      <c r="C131" s="116"/>
      <c r="D131" s="27"/>
      <c r="E131" s="27"/>
      <c r="F131" s="27"/>
      <c r="G131" s="27"/>
      <c r="H131" s="27"/>
      <c r="I131" s="27"/>
      <c r="J131" s="27"/>
      <c r="K131" s="27"/>
    </row>
    <row r="132" spans="1:11" ht="15" x14ac:dyDescent="0.2">
      <c r="A132" s="27"/>
      <c r="B132" s="27"/>
      <c r="C132" s="116"/>
      <c r="D132" s="27"/>
      <c r="E132" s="27"/>
      <c r="F132" s="27"/>
      <c r="G132" s="116"/>
      <c r="H132" s="27"/>
      <c r="I132" s="27"/>
      <c r="J132" s="27"/>
      <c r="K132" s="27"/>
    </row>
    <row r="133" spans="1:11" ht="15" x14ac:dyDescent="0.2">
      <c r="A133" s="27"/>
      <c r="B133" s="27"/>
      <c r="C133" s="116"/>
      <c r="D133" s="27"/>
      <c r="E133" s="27"/>
      <c r="F133" s="27"/>
      <c r="G133" s="27"/>
      <c r="H133" s="27"/>
      <c r="I133" s="27"/>
      <c r="J133" s="27"/>
      <c r="K133" s="27"/>
    </row>
    <row r="134" spans="1:11" ht="15" x14ac:dyDescent="0.2">
      <c r="A134" s="27"/>
      <c r="B134" s="27"/>
      <c r="C134" s="116"/>
      <c r="D134" s="27"/>
      <c r="E134" s="27"/>
      <c r="G134" s="27"/>
      <c r="H134" s="27"/>
      <c r="I134" s="27"/>
      <c r="J134" s="27"/>
      <c r="K134" s="27"/>
    </row>
    <row r="135" spans="1:11" ht="15" x14ac:dyDescent="0.2">
      <c r="A135" s="27"/>
      <c r="B135" s="27"/>
      <c r="C135" s="116"/>
      <c r="D135" s="27"/>
      <c r="E135" s="27"/>
      <c r="F135" s="28">
        <v>17</v>
      </c>
      <c r="G135" s="27"/>
      <c r="H135" s="27"/>
      <c r="I135" s="27"/>
      <c r="J135" s="27"/>
      <c r="K135" s="27"/>
    </row>
    <row r="136" spans="1:11" ht="15" x14ac:dyDescent="0.2">
      <c r="A136" s="27"/>
      <c r="B136" s="27"/>
      <c r="C136" s="116"/>
      <c r="D136" s="27"/>
      <c r="E136" s="27"/>
      <c r="F136" s="27"/>
      <c r="G136" s="27"/>
      <c r="H136" s="27"/>
      <c r="I136" s="27"/>
      <c r="J136" s="27"/>
      <c r="K136" s="27"/>
    </row>
    <row r="137" spans="1:11" ht="15" x14ac:dyDescent="0.2">
      <c r="A137" s="27"/>
      <c r="B137" s="27"/>
      <c r="C137" s="116"/>
      <c r="D137" s="27"/>
      <c r="E137" s="27"/>
      <c r="F137" s="27"/>
      <c r="G137" s="27"/>
      <c r="H137" s="27"/>
      <c r="I137" s="27"/>
      <c r="J137" s="27"/>
      <c r="K137" s="27"/>
    </row>
    <row r="138" spans="1:11" ht="15.75" x14ac:dyDescent="0.25">
      <c r="A138" s="321"/>
      <c r="B138" s="318" t="s">
        <v>478</v>
      </c>
      <c r="C138" s="116"/>
      <c r="D138" s="23"/>
      <c r="E138" s="23"/>
      <c r="F138" s="23"/>
      <c r="G138" s="27"/>
      <c r="H138" s="23"/>
      <c r="I138" s="23"/>
      <c r="J138" s="23"/>
      <c r="K138" s="23"/>
    </row>
    <row r="139" spans="1:11" ht="15" x14ac:dyDescent="0.2">
      <c r="A139" s="321"/>
      <c r="B139" s="319" t="s">
        <v>90</v>
      </c>
      <c r="C139" s="116"/>
      <c r="D139" s="23"/>
      <c r="E139" s="23"/>
      <c r="F139" s="23"/>
      <c r="G139" s="23"/>
      <c r="H139" s="23"/>
      <c r="I139" s="23"/>
      <c r="J139" s="23"/>
      <c r="K139" s="23"/>
    </row>
    <row r="140" spans="1:11" ht="15" x14ac:dyDescent="0.2">
      <c r="A140" s="321"/>
      <c r="B140" s="27"/>
      <c r="C140" s="116"/>
      <c r="D140" s="27"/>
      <c r="E140" s="27"/>
      <c r="F140" s="27"/>
      <c r="G140" s="27"/>
      <c r="H140" s="27"/>
      <c r="I140" s="27"/>
      <c r="J140" s="27"/>
      <c r="K140" s="27"/>
    </row>
    <row r="141" spans="1:11" ht="15.75" x14ac:dyDescent="0.25">
      <c r="A141" s="26"/>
      <c r="B141" s="27"/>
      <c r="C141" s="116"/>
      <c r="D141" s="27"/>
      <c r="E141" s="27"/>
      <c r="F141" s="27"/>
      <c r="G141" s="27"/>
      <c r="H141" s="27"/>
      <c r="I141" s="27"/>
      <c r="J141" s="27"/>
      <c r="K141" s="27"/>
    </row>
    <row r="142" spans="1:11" ht="15" x14ac:dyDescent="0.2">
      <c r="A142" s="27"/>
      <c r="B142" s="27"/>
      <c r="C142" s="116"/>
      <c r="D142" s="27"/>
      <c r="E142" s="27"/>
      <c r="F142" s="27"/>
      <c r="G142" s="27"/>
      <c r="H142" s="27"/>
      <c r="I142" s="27"/>
      <c r="J142" s="27"/>
      <c r="K142" s="27"/>
    </row>
    <row r="143" spans="1:11" ht="15" x14ac:dyDescent="0.2">
      <c r="A143" s="27"/>
      <c r="B143" s="31"/>
      <c r="C143" s="116"/>
      <c r="D143" s="27"/>
      <c r="E143" s="27"/>
      <c r="F143" s="27"/>
      <c r="G143" s="27"/>
      <c r="H143" s="27"/>
      <c r="I143" s="27"/>
      <c r="J143" s="27"/>
      <c r="K143" s="27"/>
    </row>
    <row r="144" spans="1:11" ht="15" x14ac:dyDescent="0.2">
      <c r="A144" s="27"/>
      <c r="B144" s="246">
        <v>2011</v>
      </c>
      <c r="C144" s="249">
        <f>'res bce'!G54</f>
        <v>5.7222359149295639E-2</v>
      </c>
      <c r="D144" s="27"/>
      <c r="E144" s="27"/>
      <c r="F144" s="27"/>
      <c r="G144" s="27"/>
      <c r="H144" s="27"/>
      <c r="I144" s="27"/>
      <c r="J144" s="27"/>
      <c r="K144" s="27"/>
    </row>
    <row r="145" spans="1:11" ht="15" x14ac:dyDescent="0.2">
      <c r="A145" s="27"/>
      <c r="B145" s="246">
        <v>2012</v>
      </c>
      <c r="C145" s="249">
        <f>'res bce'!E54</f>
        <v>3.2980353009531484E-2</v>
      </c>
      <c r="D145" s="27"/>
      <c r="E145" s="27"/>
      <c r="F145" s="27"/>
      <c r="G145" s="27"/>
      <c r="H145" s="27"/>
      <c r="I145" s="27"/>
      <c r="J145" s="27"/>
      <c r="K145" s="27"/>
    </row>
    <row r="146" spans="1:11" ht="15" x14ac:dyDescent="0.2">
      <c r="A146" s="27"/>
      <c r="B146" s="246">
        <v>2013</v>
      </c>
      <c r="C146" s="249">
        <f>'res bce'!C54</f>
        <v>4.3648140762111966E-2</v>
      </c>
      <c r="D146" s="27"/>
      <c r="E146" s="27"/>
      <c r="F146" s="27"/>
      <c r="G146" s="27"/>
      <c r="H146" s="27"/>
      <c r="I146" s="27"/>
      <c r="J146" s="27"/>
      <c r="K146" s="27"/>
    </row>
    <row r="147" spans="1:11" ht="15" x14ac:dyDescent="0.2">
      <c r="A147" s="27"/>
      <c r="B147" s="27"/>
      <c r="C147" s="116"/>
      <c r="D147" s="27"/>
      <c r="E147" s="27"/>
      <c r="F147" s="27"/>
      <c r="G147" s="27"/>
      <c r="H147" s="27"/>
      <c r="I147" s="27"/>
      <c r="J147" s="27"/>
      <c r="K147" s="27"/>
    </row>
    <row r="148" spans="1:11" ht="15" x14ac:dyDescent="0.2">
      <c r="A148" s="27"/>
      <c r="B148" s="27"/>
      <c r="C148" s="116"/>
      <c r="D148" s="27"/>
      <c r="E148" s="27"/>
      <c r="F148" s="27"/>
      <c r="G148" s="27"/>
      <c r="H148" s="27"/>
      <c r="I148" s="27"/>
      <c r="J148" s="27"/>
      <c r="K148" s="27"/>
    </row>
    <row r="149" spans="1:11" ht="15" x14ac:dyDescent="0.2">
      <c r="A149" s="27"/>
      <c r="B149" s="27"/>
      <c r="C149" s="116"/>
      <c r="D149" s="27"/>
      <c r="E149" s="27"/>
      <c r="F149" s="27"/>
      <c r="G149" s="27"/>
      <c r="H149" s="27"/>
      <c r="I149" s="27"/>
      <c r="J149" s="27"/>
      <c r="K149" s="27"/>
    </row>
    <row r="150" spans="1:11" ht="15" x14ac:dyDescent="0.2">
      <c r="A150" s="27"/>
      <c r="B150" s="27"/>
      <c r="C150" s="116"/>
      <c r="D150" s="27"/>
      <c r="E150" s="27"/>
      <c r="F150" s="27"/>
      <c r="G150" s="27"/>
      <c r="H150" s="27"/>
      <c r="I150" s="27"/>
      <c r="J150" s="27"/>
      <c r="K150" s="27"/>
    </row>
    <row r="151" spans="1:11" ht="15" x14ac:dyDescent="0.2">
      <c r="A151" s="27"/>
      <c r="B151" s="27"/>
      <c r="C151" s="119"/>
      <c r="D151" s="27"/>
      <c r="E151" s="27"/>
      <c r="F151" s="27"/>
      <c r="G151" s="27"/>
      <c r="H151" s="27"/>
      <c r="I151" s="27"/>
      <c r="J151" s="27"/>
      <c r="K151" s="27"/>
    </row>
    <row r="152" spans="1:11" ht="15" x14ac:dyDescent="0.2">
      <c r="A152" s="27"/>
      <c r="B152" s="27"/>
      <c r="C152" s="116"/>
      <c r="D152" s="27"/>
      <c r="E152" s="27"/>
      <c r="F152" s="27"/>
      <c r="G152" s="27"/>
      <c r="H152" s="27"/>
      <c r="I152" s="27"/>
      <c r="J152" s="27"/>
      <c r="K152" s="27"/>
    </row>
    <row r="153" spans="1:11" ht="15" x14ac:dyDescent="0.2">
      <c r="A153" s="27"/>
      <c r="B153" s="27"/>
      <c r="C153" s="116"/>
      <c r="D153" s="27"/>
      <c r="E153" s="27"/>
      <c r="F153" s="27"/>
      <c r="G153" s="27"/>
      <c r="H153" s="27"/>
      <c r="I153" s="27"/>
      <c r="J153" s="27"/>
      <c r="K153" s="27"/>
    </row>
    <row r="154" spans="1:11" ht="15" x14ac:dyDescent="0.2">
      <c r="A154" s="27"/>
      <c r="B154" s="27"/>
      <c r="C154" s="116"/>
      <c r="D154" s="27"/>
      <c r="E154" s="27"/>
      <c r="F154" s="27"/>
      <c r="G154" s="27"/>
      <c r="H154" s="27"/>
      <c r="I154" s="27"/>
      <c r="J154" s="27"/>
      <c r="K154" s="27"/>
    </row>
    <row r="155" spans="1:11" ht="15" x14ac:dyDescent="0.2">
      <c r="A155" s="27"/>
      <c r="B155" s="27"/>
      <c r="C155" s="116"/>
      <c r="D155" s="27"/>
      <c r="E155" s="27"/>
      <c r="F155" s="27"/>
      <c r="G155" s="27"/>
      <c r="H155" s="27"/>
      <c r="I155" s="27"/>
      <c r="J155" s="27"/>
      <c r="K155" s="27"/>
    </row>
    <row r="156" spans="1:11" ht="15" x14ac:dyDescent="0.2">
      <c r="A156" s="27"/>
      <c r="B156" s="27"/>
      <c r="C156" s="116"/>
      <c r="D156" s="27"/>
      <c r="E156" s="27"/>
      <c r="F156" s="27"/>
      <c r="G156" s="27"/>
      <c r="H156" s="27"/>
      <c r="I156" s="27"/>
      <c r="J156" s="27"/>
      <c r="K156" s="27"/>
    </row>
    <row r="157" spans="1:11" ht="15.75" x14ac:dyDescent="0.25">
      <c r="A157" s="27"/>
      <c r="B157" s="318" t="s">
        <v>479</v>
      </c>
      <c r="C157" s="116"/>
      <c r="D157" s="23"/>
      <c r="E157" s="23"/>
      <c r="F157" s="23"/>
      <c r="G157" s="23"/>
      <c r="H157" s="23"/>
      <c r="I157" s="23"/>
      <c r="J157" s="23"/>
      <c r="K157" s="23"/>
    </row>
    <row r="158" spans="1:11" ht="15" x14ac:dyDescent="0.2">
      <c r="A158" s="321"/>
      <c r="B158" s="319" t="s">
        <v>91</v>
      </c>
      <c r="C158" s="116"/>
      <c r="D158" s="23"/>
      <c r="E158" s="23"/>
      <c r="F158" s="23"/>
      <c r="G158" s="23"/>
      <c r="H158" s="23"/>
      <c r="I158" s="23"/>
      <c r="J158" s="23"/>
      <c r="K158" s="23"/>
    </row>
    <row r="159" spans="1:11" ht="15.75" x14ac:dyDescent="0.25">
      <c r="A159" s="26"/>
      <c r="B159" s="27"/>
      <c r="C159" s="116"/>
      <c r="D159" s="27"/>
      <c r="E159" s="27"/>
      <c r="F159" s="27"/>
      <c r="G159" s="27"/>
      <c r="H159" s="27"/>
      <c r="I159" s="27"/>
      <c r="J159" s="27"/>
      <c r="K159" s="27"/>
    </row>
    <row r="160" spans="1:11" ht="15" x14ac:dyDescent="0.2">
      <c r="A160" s="27"/>
      <c r="B160" s="27"/>
      <c r="C160" s="116"/>
      <c r="D160" s="27"/>
      <c r="E160" s="27"/>
      <c r="F160" s="27"/>
      <c r="G160" s="27"/>
      <c r="H160" s="27"/>
      <c r="I160" s="27"/>
      <c r="J160" s="27"/>
      <c r="K160" s="27"/>
    </row>
    <row r="161" spans="1:11" ht="15" x14ac:dyDescent="0.2">
      <c r="A161" s="27"/>
      <c r="B161" s="27"/>
      <c r="C161" s="116"/>
      <c r="D161" s="27"/>
      <c r="E161" s="27"/>
      <c r="F161" s="27"/>
      <c r="G161" s="27"/>
      <c r="H161" s="27"/>
      <c r="I161" s="27"/>
      <c r="J161" s="27"/>
      <c r="K161" s="27"/>
    </row>
    <row r="162" spans="1:11" ht="15" x14ac:dyDescent="0.2">
      <c r="A162" s="27"/>
      <c r="B162" s="27"/>
      <c r="C162" s="116"/>
      <c r="D162" s="27"/>
      <c r="E162" s="27"/>
      <c r="F162" s="27"/>
      <c r="G162" s="27"/>
      <c r="H162" s="27"/>
      <c r="I162" s="27"/>
      <c r="J162" s="27"/>
      <c r="K162" s="27"/>
    </row>
    <row r="163" spans="1:11" ht="15" x14ac:dyDescent="0.2">
      <c r="A163" s="27"/>
      <c r="B163" s="27"/>
      <c r="C163" s="116"/>
      <c r="D163" s="27"/>
      <c r="E163" s="27"/>
      <c r="F163" s="27"/>
      <c r="G163" s="27"/>
      <c r="H163" s="27"/>
      <c r="I163" s="27"/>
      <c r="J163" s="27"/>
      <c r="K163" s="27"/>
    </row>
    <row r="164" spans="1:11" ht="15" x14ac:dyDescent="0.2">
      <c r="A164" s="27"/>
      <c r="B164" s="27"/>
      <c r="C164" s="116"/>
      <c r="D164" s="27"/>
      <c r="E164" s="27"/>
      <c r="F164" s="27"/>
      <c r="G164" s="27"/>
      <c r="H164" s="27"/>
      <c r="I164" s="27"/>
      <c r="J164" s="27"/>
      <c r="K164" s="27"/>
    </row>
    <row r="165" spans="1:11" ht="15" x14ac:dyDescent="0.2">
      <c r="A165" s="27"/>
      <c r="B165" s="27"/>
      <c r="C165" s="116"/>
      <c r="D165" s="27"/>
      <c r="E165" s="27"/>
      <c r="F165" s="27"/>
      <c r="G165" s="27"/>
      <c r="H165" s="27"/>
      <c r="I165" s="27"/>
      <c r="J165" s="27"/>
      <c r="K165" s="27"/>
    </row>
    <row r="166" spans="1:11" ht="15" x14ac:dyDescent="0.2">
      <c r="A166" s="27"/>
      <c r="B166" s="246">
        <v>2011</v>
      </c>
      <c r="C166" s="249">
        <f>'res bce'!G55</f>
        <v>4.2254108991707159E-2</v>
      </c>
      <c r="D166" s="27"/>
      <c r="E166" s="27"/>
      <c r="F166" s="27"/>
      <c r="G166" s="27"/>
      <c r="H166" s="27"/>
      <c r="I166" s="27"/>
      <c r="J166" s="27"/>
      <c r="K166" s="27"/>
    </row>
    <row r="167" spans="1:11" ht="15" x14ac:dyDescent="0.2">
      <c r="A167" s="27"/>
      <c r="B167" s="246">
        <v>2012</v>
      </c>
      <c r="C167" s="249">
        <f>'res bce'!E55</f>
        <v>2.5278840291409355E-2</v>
      </c>
      <c r="D167" s="27"/>
      <c r="E167" s="27"/>
      <c r="F167" s="27"/>
      <c r="G167" s="27"/>
      <c r="H167" s="27"/>
      <c r="I167" s="27"/>
      <c r="J167" s="27"/>
      <c r="K167" s="27"/>
    </row>
    <row r="168" spans="1:11" ht="15" x14ac:dyDescent="0.2">
      <c r="A168" s="27"/>
      <c r="B168" s="246">
        <v>2013</v>
      </c>
      <c r="C168" s="249">
        <f>'res bce'!C55</f>
        <v>3.2295911731176581E-2</v>
      </c>
      <c r="D168" s="27"/>
      <c r="E168" s="27"/>
      <c r="F168" s="27"/>
      <c r="G168" s="27"/>
      <c r="H168" s="27"/>
      <c r="I168" s="27"/>
      <c r="J168" s="27"/>
      <c r="K168" s="27"/>
    </row>
    <row r="169" spans="1:11" ht="15" x14ac:dyDescent="0.2">
      <c r="A169" s="27"/>
      <c r="B169" s="27"/>
      <c r="C169" s="116"/>
      <c r="D169" s="27"/>
      <c r="E169" s="27"/>
      <c r="F169" s="27"/>
      <c r="G169" s="27"/>
      <c r="H169" s="27"/>
      <c r="I169" s="27"/>
      <c r="J169" s="27"/>
      <c r="K169" s="27"/>
    </row>
    <row r="170" spans="1:11" ht="15" x14ac:dyDescent="0.2">
      <c r="A170" s="27"/>
      <c r="B170" s="27"/>
      <c r="C170" s="116"/>
      <c r="D170" s="27"/>
      <c r="E170" s="27"/>
      <c r="F170" s="27"/>
      <c r="G170" s="27"/>
      <c r="H170" s="27"/>
      <c r="I170" s="27"/>
      <c r="J170" s="27"/>
      <c r="K170" s="27"/>
    </row>
    <row r="171" spans="1:11" ht="15" x14ac:dyDescent="0.2">
      <c r="A171" s="27"/>
      <c r="B171" s="27"/>
      <c r="C171" s="116"/>
      <c r="D171" s="27"/>
      <c r="E171" s="27"/>
      <c r="F171" s="27"/>
      <c r="G171" s="27"/>
      <c r="H171" s="27"/>
      <c r="I171" s="27"/>
      <c r="J171" s="27"/>
      <c r="K171" s="27"/>
    </row>
    <row r="172" spans="1:11" ht="15" x14ac:dyDescent="0.2">
      <c r="A172" s="27"/>
      <c r="B172" s="29"/>
      <c r="C172" s="116"/>
      <c r="D172" s="27"/>
      <c r="E172" s="27"/>
      <c r="F172" s="27"/>
      <c r="G172" s="27"/>
      <c r="H172" s="27"/>
      <c r="I172" s="27"/>
      <c r="J172" s="27"/>
      <c r="K172" s="27"/>
    </row>
    <row r="173" spans="1:11" ht="15" x14ac:dyDescent="0.2">
      <c r="A173" s="27"/>
      <c r="B173" s="32"/>
      <c r="C173" s="116"/>
      <c r="D173" s="27"/>
      <c r="E173" s="27"/>
      <c r="F173" s="27"/>
      <c r="G173" s="27"/>
      <c r="H173" s="27"/>
      <c r="I173" s="27"/>
      <c r="J173" s="27"/>
      <c r="K173" s="27"/>
    </row>
    <row r="174" spans="1:11" ht="15" x14ac:dyDescent="0.2">
      <c r="A174" s="27"/>
      <c r="B174" s="27"/>
      <c r="C174" s="116"/>
      <c r="D174" s="27"/>
      <c r="E174" s="27"/>
      <c r="F174" s="27"/>
      <c r="G174" s="27"/>
      <c r="H174" s="27"/>
      <c r="I174" s="27"/>
      <c r="J174" s="27"/>
      <c r="K174" s="27"/>
    </row>
    <row r="175" spans="1:11" ht="15" x14ac:dyDescent="0.2">
      <c r="A175" s="27"/>
      <c r="B175" s="27"/>
      <c r="C175" s="116"/>
      <c r="D175" s="27"/>
      <c r="E175" s="27"/>
      <c r="F175" s="27"/>
      <c r="G175" s="27"/>
      <c r="H175" s="27"/>
      <c r="I175" s="27"/>
      <c r="J175" s="27"/>
      <c r="K175" s="27"/>
    </row>
    <row r="176" spans="1:11" ht="15" x14ac:dyDescent="0.2">
      <c r="A176" s="27"/>
      <c r="B176" s="27"/>
      <c r="C176" s="116"/>
      <c r="D176" s="27"/>
      <c r="E176" s="27"/>
      <c r="F176" s="27"/>
      <c r="G176" s="27"/>
      <c r="H176" s="27"/>
      <c r="I176" s="27"/>
      <c r="J176" s="27"/>
      <c r="K176" s="27"/>
    </row>
    <row r="177" spans="1:11" ht="15" x14ac:dyDescent="0.2">
      <c r="A177" s="27"/>
      <c r="B177" s="27"/>
      <c r="C177" s="116"/>
      <c r="D177" s="27"/>
      <c r="E177" s="27"/>
      <c r="F177" s="27"/>
      <c r="G177" s="27"/>
      <c r="H177" s="27"/>
      <c r="I177" s="27"/>
      <c r="J177" s="27"/>
      <c r="K177" s="27"/>
    </row>
    <row r="178" spans="1:11" ht="15.75" x14ac:dyDescent="0.25">
      <c r="A178" s="27"/>
      <c r="B178" s="318" t="s">
        <v>74</v>
      </c>
      <c r="C178" s="322"/>
      <c r="D178" s="27"/>
      <c r="E178" s="27"/>
      <c r="F178" s="27"/>
      <c r="G178" s="27"/>
      <c r="H178" s="27"/>
      <c r="I178" s="27"/>
      <c r="J178" s="27"/>
      <c r="K178" s="27"/>
    </row>
    <row r="179" spans="1:11" ht="15" x14ac:dyDescent="0.2">
      <c r="A179" s="27"/>
      <c r="B179" s="319" t="s">
        <v>86</v>
      </c>
      <c r="C179" s="116"/>
      <c r="D179" s="27"/>
      <c r="E179" s="27"/>
      <c r="F179" s="27"/>
      <c r="G179" s="27"/>
      <c r="H179" s="27"/>
      <c r="I179" s="27"/>
      <c r="J179" s="27"/>
      <c r="K179" s="27"/>
    </row>
    <row r="180" spans="1:11" ht="15" x14ac:dyDescent="0.2">
      <c r="A180" s="27"/>
      <c r="B180" s="27"/>
      <c r="C180" s="116"/>
      <c r="D180" s="27"/>
      <c r="E180" s="27"/>
      <c r="F180" s="27"/>
      <c r="G180" s="27"/>
      <c r="H180" s="27"/>
      <c r="I180" s="27"/>
      <c r="J180" s="27"/>
      <c r="K180" s="27"/>
    </row>
    <row r="181" spans="1:11" ht="15" x14ac:dyDescent="0.2">
      <c r="A181" s="27"/>
      <c r="B181" s="27"/>
      <c r="C181" s="116"/>
      <c r="D181" s="27"/>
      <c r="E181" s="27"/>
      <c r="F181" s="27"/>
      <c r="G181" s="27"/>
      <c r="H181" s="27"/>
      <c r="I181" s="27"/>
      <c r="J181" s="27"/>
      <c r="K181" s="27"/>
    </row>
    <row r="182" spans="1:11" ht="15" x14ac:dyDescent="0.2">
      <c r="A182" s="27"/>
      <c r="B182" s="27"/>
      <c r="C182" s="116"/>
      <c r="D182" s="27"/>
      <c r="E182" s="27"/>
      <c r="F182" s="27"/>
      <c r="G182" s="27"/>
      <c r="H182" s="27"/>
      <c r="I182" s="27"/>
      <c r="J182" s="27"/>
      <c r="K182" s="27"/>
    </row>
    <row r="183" spans="1:11" ht="15" x14ac:dyDescent="0.2">
      <c r="A183" s="27"/>
      <c r="B183" s="27"/>
      <c r="C183" s="116"/>
      <c r="D183" s="27"/>
      <c r="E183" s="27"/>
      <c r="F183" s="27"/>
      <c r="G183" s="27"/>
      <c r="H183" s="27"/>
      <c r="I183" s="27"/>
      <c r="J183" s="27"/>
      <c r="K183" s="27"/>
    </row>
    <row r="184" spans="1:11" ht="15" x14ac:dyDescent="0.2">
      <c r="A184" s="27"/>
      <c r="B184" s="27"/>
      <c r="C184" s="116"/>
      <c r="D184" s="27"/>
      <c r="E184" s="27"/>
      <c r="F184" s="27"/>
      <c r="G184" s="27"/>
      <c r="H184" s="27"/>
      <c r="I184" s="27"/>
      <c r="J184" s="27"/>
      <c r="K184" s="27"/>
    </row>
    <row r="185" spans="1:11" ht="15" x14ac:dyDescent="0.2">
      <c r="A185" s="27"/>
      <c r="B185" s="27"/>
      <c r="C185" s="116"/>
      <c r="D185" s="27"/>
      <c r="E185" s="27"/>
      <c r="F185" s="27"/>
      <c r="G185" s="27"/>
      <c r="H185" s="27"/>
      <c r="I185" s="27"/>
      <c r="J185" s="27"/>
      <c r="K185" s="27"/>
    </row>
    <row r="186" spans="1:11" ht="15" x14ac:dyDescent="0.2">
      <c r="A186" s="27"/>
      <c r="B186" s="246">
        <v>2011</v>
      </c>
      <c r="C186" s="250">
        <f>'res bce'!G61</f>
        <v>3.822915741442598</v>
      </c>
      <c r="D186" s="27"/>
      <c r="E186" s="27"/>
      <c r="F186" s="27"/>
      <c r="G186" s="27"/>
      <c r="H186" s="27"/>
      <c r="I186" s="27"/>
      <c r="J186" s="27"/>
      <c r="K186" s="27"/>
    </row>
    <row r="187" spans="1:11" ht="15" x14ac:dyDescent="0.2">
      <c r="A187" s="27"/>
      <c r="B187" s="246">
        <v>2012</v>
      </c>
      <c r="C187" s="250">
        <f>'res bce'!E61</f>
        <v>4.2823214369206575</v>
      </c>
      <c r="D187" s="27"/>
      <c r="E187" s="27"/>
      <c r="F187" s="27"/>
      <c r="G187" s="27"/>
      <c r="H187" s="27"/>
      <c r="I187" s="27"/>
      <c r="J187" s="27"/>
      <c r="K187" s="27"/>
    </row>
    <row r="188" spans="1:11" ht="15" x14ac:dyDescent="0.2">
      <c r="A188" s="27"/>
      <c r="B188" s="246">
        <v>2013</v>
      </c>
      <c r="C188" s="250">
        <f>'res bce'!C61</f>
        <v>3.8448960678267361</v>
      </c>
      <c r="D188" s="27"/>
      <c r="E188" s="27"/>
      <c r="F188" s="27"/>
      <c r="G188" s="27"/>
      <c r="H188" s="27"/>
      <c r="I188" s="27"/>
      <c r="J188" s="27"/>
      <c r="K188" s="27"/>
    </row>
    <row r="189" spans="1:11" ht="15" x14ac:dyDescent="0.2">
      <c r="A189" s="27"/>
      <c r="B189" s="321"/>
      <c r="C189" s="322"/>
      <c r="D189" s="27"/>
      <c r="E189" s="27"/>
      <c r="F189" s="27"/>
      <c r="G189" s="27"/>
      <c r="H189" s="27"/>
      <c r="I189" s="27"/>
      <c r="J189" s="27"/>
      <c r="K189" s="27"/>
    </row>
    <row r="190" spans="1:11" ht="15" x14ac:dyDescent="0.2">
      <c r="A190" s="27"/>
      <c r="B190" s="321"/>
      <c r="C190" s="322"/>
      <c r="D190" s="27"/>
      <c r="E190" s="27"/>
      <c r="F190" s="27"/>
      <c r="G190" s="27"/>
      <c r="H190" s="27"/>
      <c r="I190" s="27"/>
      <c r="J190" s="27"/>
      <c r="K190" s="27"/>
    </row>
    <row r="191" spans="1:11" ht="15" x14ac:dyDescent="0.2">
      <c r="A191" s="27"/>
      <c r="B191" s="28"/>
      <c r="C191" s="117"/>
      <c r="D191" s="27"/>
      <c r="E191" s="27"/>
      <c r="F191" s="27"/>
      <c r="G191" s="27"/>
      <c r="H191" s="27"/>
      <c r="I191" s="27"/>
      <c r="J191" s="27"/>
      <c r="K191" s="27"/>
    </row>
    <row r="192" spans="1:11" ht="15" x14ac:dyDescent="0.2">
      <c r="A192" s="27"/>
      <c r="B192" s="28"/>
      <c r="C192" s="117"/>
      <c r="D192" s="27"/>
      <c r="E192" s="27"/>
      <c r="F192" s="27"/>
      <c r="G192" s="27"/>
      <c r="H192" s="27"/>
      <c r="I192" s="27"/>
      <c r="J192" s="27"/>
      <c r="K192" s="27"/>
    </row>
    <row r="193" spans="1:11" ht="15" x14ac:dyDescent="0.2">
      <c r="A193" s="27"/>
      <c r="B193" s="28"/>
      <c r="C193" s="117"/>
      <c r="D193" s="27"/>
      <c r="E193" s="27"/>
      <c r="F193" s="27"/>
      <c r="G193" s="27"/>
      <c r="H193" s="27"/>
      <c r="I193" s="27"/>
      <c r="J193" s="27"/>
      <c r="K193" s="27"/>
    </row>
    <row r="194" spans="1:11" ht="15" x14ac:dyDescent="0.2">
      <c r="A194" s="27"/>
      <c r="B194" s="29"/>
      <c r="C194" s="116"/>
      <c r="D194" s="27"/>
      <c r="E194" s="27"/>
      <c r="F194" s="27"/>
      <c r="G194" s="27"/>
      <c r="H194" s="27"/>
      <c r="I194" s="27"/>
      <c r="J194" s="27"/>
      <c r="K194" s="27"/>
    </row>
    <row r="195" spans="1:11" ht="15" x14ac:dyDescent="0.2">
      <c r="A195" s="321"/>
      <c r="B195" s="27"/>
      <c r="C195" s="120"/>
      <c r="D195" s="27"/>
      <c r="E195" s="27"/>
      <c r="F195" s="27"/>
      <c r="G195" s="27"/>
      <c r="H195" s="27"/>
      <c r="I195" s="27"/>
      <c r="J195" s="27"/>
      <c r="K195" s="27"/>
    </row>
    <row r="196" spans="1:11" ht="15" x14ac:dyDescent="0.2">
      <c r="A196" s="321"/>
      <c r="B196" s="27"/>
      <c r="C196" s="120"/>
      <c r="D196" s="27"/>
      <c r="E196" s="27"/>
      <c r="F196" s="27"/>
      <c r="G196" s="27"/>
      <c r="H196" s="27"/>
      <c r="I196" s="27"/>
      <c r="J196" s="27"/>
      <c r="K196" s="27"/>
    </row>
    <row r="197" spans="1:11" ht="15" x14ac:dyDescent="0.2">
      <c r="A197" s="321"/>
      <c r="B197" s="27"/>
      <c r="C197" s="120"/>
      <c r="D197" s="27"/>
      <c r="E197" s="27"/>
      <c r="F197" s="27"/>
      <c r="G197" s="27"/>
      <c r="H197" s="27"/>
      <c r="I197" s="27"/>
      <c r="J197" s="27"/>
      <c r="K197" s="27"/>
    </row>
    <row r="198" spans="1:11" ht="15" x14ac:dyDescent="0.2">
      <c r="A198" s="321"/>
      <c r="B198" s="27"/>
      <c r="C198" s="120"/>
      <c r="D198" s="27"/>
      <c r="E198" s="27"/>
      <c r="F198" s="27"/>
      <c r="G198" s="27"/>
      <c r="H198" s="27"/>
      <c r="I198" s="27"/>
      <c r="J198" s="27"/>
      <c r="K198" s="27"/>
    </row>
    <row r="199" spans="1:11" ht="15" x14ac:dyDescent="0.2">
      <c r="A199" s="321"/>
      <c r="B199" s="27"/>
      <c r="C199" s="120"/>
      <c r="D199" s="27"/>
      <c r="E199" s="27"/>
      <c r="F199" s="27"/>
      <c r="G199" s="116"/>
      <c r="H199" s="27"/>
      <c r="I199" s="27"/>
      <c r="J199" s="27"/>
      <c r="K199" s="27"/>
    </row>
    <row r="200" spans="1:11" ht="15" x14ac:dyDescent="0.2">
      <c r="A200" s="321"/>
      <c r="B200" s="27"/>
      <c r="C200" s="120"/>
      <c r="D200" s="27"/>
      <c r="E200" s="27"/>
      <c r="F200" s="27"/>
      <c r="H200" s="27"/>
      <c r="I200" s="27"/>
      <c r="J200" s="27"/>
      <c r="K200" s="27"/>
    </row>
    <row r="201" spans="1:11" ht="15" x14ac:dyDescent="0.2">
      <c r="A201" s="321"/>
      <c r="B201" s="27"/>
      <c r="C201" s="120"/>
      <c r="D201" s="27"/>
      <c r="E201" s="27"/>
      <c r="G201" s="27"/>
      <c r="H201" s="27"/>
      <c r="I201" s="27"/>
      <c r="J201" s="27"/>
      <c r="K201" s="27"/>
    </row>
    <row r="202" spans="1:11" ht="15" x14ac:dyDescent="0.2">
      <c r="A202" s="321"/>
      <c r="B202" s="27"/>
      <c r="C202" s="120"/>
      <c r="D202" s="27"/>
      <c r="E202" s="27"/>
      <c r="F202" s="28">
        <v>18</v>
      </c>
      <c r="G202" s="27"/>
      <c r="H202" s="27"/>
      <c r="I202" s="27"/>
      <c r="J202" s="27"/>
      <c r="K202" s="27"/>
    </row>
    <row r="203" spans="1:11" ht="15" x14ac:dyDescent="0.2">
      <c r="A203" s="321"/>
      <c r="B203" s="27"/>
      <c r="C203" s="120"/>
      <c r="D203" s="27"/>
      <c r="E203" s="27"/>
      <c r="F203" s="27"/>
      <c r="G203" s="27"/>
      <c r="H203" s="27"/>
      <c r="I203" s="27"/>
      <c r="J203" s="27"/>
      <c r="K203" s="27"/>
    </row>
    <row r="204" spans="1:11" ht="15" x14ac:dyDescent="0.2">
      <c r="A204" s="321"/>
      <c r="B204" s="27"/>
      <c r="C204" s="120"/>
      <c r="D204" s="27"/>
      <c r="E204" s="27"/>
      <c r="F204" s="27"/>
      <c r="G204" s="27"/>
      <c r="H204" s="27"/>
      <c r="I204" s="27"/>
      <c r="J204" s="27"/>
      <c r="K204" s="27"/>
    </row>
    <row r="205" spans="1:11" s="153" customFormat="1" ht="15" x14ac:dyDescent="0.2">
      <c r="A205" s="321"/>
      <c r="B205" s="27"/>
      <c r="C205" s="120"/>
      <c r="D205" s="27"/>
      <c r="E205" s="27"/>
      <c r="F205" s="27"/>
      <c r="G205" s="27"/>
      <c r="H205" s="27"/>
      <c r="I205" s="27"/>
      <c r="J205" s="27"/>
      <c r="K205" s="27"/>
    </row>
    <row r="206" spans="1:11" ht="15.75" x14ac:dyDescent="0.25">
      <c r="A206" s="321"/>
      <c r="B206" s="318" t="s">
        <v>480</v>
      </c>
      <c r="C206" s="322"/>
      <c r="D206" s="23"/>
      <c r="E206" s="23"/>
      <c r="F206" s="23"/>
      <c r="G206" s="23"/>
      <c r="H206" s="23"/>
      <c r="I206" s="23"/>
      <c r="J206" s="23"/>
      <c r="K206" s="23"/>
    </row>
    <row r="207" spans="1:11" ht="15.75" x14ac:dyDescent="0.25">
      <c r="A207" s="321"/>
      <c r="B207" s="318"/>
      <c r="C207" s="322"/>
      <c r="D207" s="23"/>
      <c r="E207" s="23"/>
      <c r="F207" s="23"/>
      <c r="G207" s="23"/>
      <c r="H207" s="23"/>
      <c r="I207" s="23"/>
      <c r="J207" s="23"/>
      <c r="K207" s="23"/>
    </row>
    <row r="208" spans="1:11" x14ac:dyDescent="0.2">
      <c r="A208" s="321"/>
      <c r="B208" s="321"/>
      <c r="C208" s="322"/>
      <c r="D208" s="23"/>
      <c r="E208" s="23"/>
      <c r="F208" s="23"/>
      <c r="G208" s="23"/>
      <c r="H208" s="23"/>
      <c r="I208" s="23"/>
      <c r="J208" s="23"/>
      <c r="K208" s="23"/>
    </row>
    <row r="209" spans="1:11" x14ac:dyDescent="0.2">
      <c r="A209" s="321"/>
      <c r="B209" s="321"/>
      <c r="C209" s="322"/>
      <c r="D209" s="23"/>
      <c r="E209" s="23"/>
      <c r="F209" s="23"/>
      <c r="G209" s="23"/>
      <c r="H209" s="23"/>
      <c r="I209" s="23"/>
      <c r="J209" s="23"/>
      <c r="K209" s="23"/>
    </row>
    <row r="210" spans="1:11" ht="15.75" x14ac:dyDescent="0.25">
      <c r="A210" s="321"/>
      <c r="B210" s="321"/>
      <c r="C210" s="26"/>
      <c r="D210" s="23"/>
      <c r="E210" s="23"/>
      <c r="F210" s="23"/>
      <c r="G210" s="23"/>
      <c r="H210" s="23"/>
      <c r="I210" s="23"/>
      <c r="J210" s="23"/>
      <c r="K210" s="23"/>
    </row>
    <row r="211" spans="1:11" x14ac:dyDescent="0.2">
      <c r="A211" s="321"/>
      <c r="B211" s="321"/>
      <c r="C211" s="322"/>
      <c r="D211" s="23"/>
      <c r="E211" s="23"/>
      <c r="F211" s="23"/>
      <c r="G211" s="23"/>
      <c r="H211" s="23"/>
      <c r="I211" s="23"/>
      <c r="J211" s="23"/>
      <c r="K211" s="23"/>
    </row>
    <row r="212" spans="1:11" x14ac:dyDescent="0.2">
      <c r="A212" s="321"/>
      <c r="B212" s="321"/>
      <c r="C212" s="322"/>
      <c r="D212" s="23"/>
      <c r="E212" s="23"/>
      <c r="F212" s="23"/>
      <c r="G212" s="23"/>
      <c r="H212" s="23"/>
      <c r="I212" s="23"/>
      <c r="J212" s="23"/>
      <c r="K212" s="23"/>
    </row>
    <row r="213" spans="1:11" x14ac:dyDescent="0.2">
      <c r="A213" s="321"/>
      <c r="B213" s="321"/>
      <c r="C213" s="322"/>
      <c r="D213" s="23"/>
      <c r="E213" s="23"/>
      <c r="F213" s="23"/>
      <c r="G213" s="23"/>
      <c r="H213" s="23"/>
      <c r="I213" s="23"/>
      <c r="J213" s="23"/>
      <c r="K213" s="23"/>
    </row>
    <row r="214" spans="1:11" x14ac:dyDescent="0.2">
      <c r="A214" s="321"/>
      <c r="B214" s="321"/>
      <c r="C214" s="322"/>
      <c r="D214" s="23"/>
      <c r="E214" s="23"/>
      <c r="F214" s="23"/>
      <c r="G214" s="23"/>
      <c r="H214" s="23"/>
      <c r="I214" s="23"/>
      <c r="J214" s="23"/>
      <c r="K214" s="23"/>
    </row>
    <row r="215" spans="1:11" x14ac:dyDescent="0.2">
      <c r="A215" s="321"/>
      <c r="B215" s="321"/>
      <c r="C215" s="322"/>
      <c r="D215" s="23"/>
      <c r="E215" s="23"/>
      <c r="F215" s="23"/>
      <c r="G215" s="23"/>
      <c r="H215" s="23"/>
      <c r="I215" s="23"/>
      <c r="J215" s="23"/>
      <c r="K215" s="23"/>
    </row>
    <row r="216" spans="1:11" ht="15" x14ac:dyDescent="0.2">
      <c r="A216" s="321"/>
      <c r="B216" s="246">
        <v>2011</v>
      </c>
      <c r="C216" s="251">
        <f>'res bce'!G16</f>
        <v>396445373</v>
      </c>
      <c r="D216" s="23"/>
      <c r="E216" s="23"/>
      <c r="F216" s="23"/>
      <c r="G216" s="23"/>
      <c r="H216" s="23"/>
      <c r="I216" s="23"/>
      <c r="J216" s="23"/>
      <c r="K216" s="23"/>
    </row>
    <row r="217" spans="1:11" ht="15" x14ac:dyDescent="0.2">
      <c r="A217" s="321"/>
      <c r="B217" s="246">
        <v>2012</v>
      </c>
      <c r="C217" s="251">
        <f>'res bce'!E16</f>
        <v>438346533</v>
      </c>
      <c r="D217" s="23"/>
      <c r="E217" s="23"/>
      <c r="F217" s="23"/>
      <c r="G217" s="23"/>
      <c r="H217" s="23"/>
      <c r="I217" s="23"/>
      <c r="J217" s="23"/>
      <c r="K217" s="23"/>
    </row>
    <row r="218" spans="1:11" ht="15" x14ac:dyDescent="0.2">
      <c r="A218" s="321"/>
      <c r="B218" s="246">
        <v>2013</v>
      </c>
      <c r="C218" s="251">
        <f>'res bce'!C16</f>
        <v>475178782</v>
      </c>
      <c r="D218" s="23"/>
      <c r="E218" s="23"/>
      <c r="F218" s="23"/>
      <c r="G218" s="23"/>
      <c r="H218" s="23"/>
      <c r="I218" s="23"/>
      <c r="J218" s="23"/>
      <c r="K218" s="23"/>
    </row>
    <row r="219" spans="1:11" x14ac:dyDescent="0.2">
      <c r="A219" s="321"/>
      <c r="B219" s="321"/>
      <c r="C219" s="322"/>
      <c r="D219" s="23"/>
      <c r="E219" s="23"/>
      <c r="F219" s="23"/>
      <c r="G219" s="23"/>
      <c r="H219" s="23"/>
      <c r="I219" s="23"/>
      <c r="J219" s="23"/>
      <c r="K219" s="23"/>
    </row>
    <row r="220" spans="1:11" x14ac:dyDescent="0.2">
      <c r="A220" s="321"/>
      <c r="B220" s="321"/>
      <c r="C220" s="322"/>
      <c r="D220" s="23"/>
      <c r="E220" s="23"/>
      <c r="F220" s="23"/>
      <c r="G220" s="23"/>
      <c r="H220" s="23"/>
      <c r="I220" s="23"/>
      <c r="J220" s="23"/>
      <c r="K220" s="23"/>
    </row>
    <row r="221" spans="1:11" x14ac:dyDescent="0.2">
      <c r="A221" s="321"/>
      <c r="B221" s="321"/>
      <c r="C221" s="322"/>
      <c r="D221" s="23"/>
      <c r="E221" s="23"/>
      <c r="F221" s="23"/>
      <c r="G221" s="23"/>
      <c r="H221" s="23"/>
      <c r="I221" s="23"/>
      <c r="J221" s="23"/>
      <c r="K221" s="23"/>
    </row>
    <row r="222" spans="1:11" x14ac:dyDescent="0.2">
      <c r="A222" s="321"/>
      <c r="B222" s="321"/>
      <c r="C222" s="322"/>
      <c r="D222" s="23"/>
      <c r="E222" s="23"/>
      <c r="F222" s="23"/>
      <c r="G222" s="23"/>
      <c r="H222" s="23"/>
      <c r="I222" s="23"/>
      <c r="J222" s="23"/>
      <c r="K222" s="23"/>
    </row>
    <row r="223" spans="1:11" x14ac:dyDescent="0.2">
      <c r="A223" s="321"/>
      <c r="B223" s="321"/>
      <c r="C223" s="322"/>
      <c r="D223" s="23"/>
      <c r="E223" s="23"/>
      <c r="F223" s="23"/>
      <c r="G223" s="23"/>
      <c r="H223" s="23"/>
      <c r="I223" s="23"/>
      <c r="J223" s="23"/>
      <c r="K223" s="23"/>
    </row>
    <row r="224" spans="1:11" x14ac:dyDescent="0.2">
      <c r="A224" s="321"/>
      <c r="B224" s="321"/>
      <c r="C224" s="322"/>
      <c r="D224" s="23"/>
      <c r="E224" s="23"/>
      <c r="F224" s="23"/>
      <c r="G224" s="23"/>
      <c r="H224" s="23"/>
      <c r="I224" s="23"/>
      <c r="J224" s="23"/>
      <c r="K224" s="23"/>
    </row>
    <row r="225" spans="1:11" x14ac:dyDescent="0.2">
      <c r="A225" s="321"/>
      <c r="B225" s="321"/>
      <c r="C225" s="322"/>
      <c r="D225" s="23"/>
      <c r="E225" s="23"/>
      <c r="F225" s="23"/>
      <c r="G225" s="23"/>
      <c r="H225" s="23"/>
      <c r="I225" s="23"/>
      <c r="J225" s="23"/>
      <c r="K225" s="23"/>
    </row>
    <row r="226" spans="1:11" x14ac:dyDescent="0.2">
      <c r="A226" s="321"/>
      <c r="B226" s="321"/>
      <c r="C226" s="322"/>
      <c r="D226" s="23"/>
      <c r="E226" s="23"/>
      <c r="F226" s="23"/>
      <c r="G226" s="23"/>
      <c r="H226" s="23"/>
      <c r="I226" s="23"/>
      <c r="J226" s="23"/>
      <c r="K226" s="23"/>
    </row>
    <row r="227" spans="1:11" x14ac:dyDescent="0.2">
      <c r="A227" s="321"/>
      <c r="B227" s="321"/>
      <c r="C227" s="322"/>
      <c r="D227" s="23"/>
      <c r="E227" s="23"/>
      <c r="F227" s="23"/>
      <c r="G227" s="23"/>
      <c r="H227" s="23"/>
      <c r="I227" s="23"/>
      <c r="J227" s="23"/>
      <c r="K227" s="23"/>
    </row>
    <row r="228" spans="1:11" x14ac:dyDescent="0.2">
      <c r="A228" s="321"/>
      <c r="B228" s="321"/>
      <c r="C228" s="322"/>
      <c r="D228" s="23"/>
      <c r="E228" s="23"/>
      <c r="F228" s="23"/>
      <c r="G228" s="23"/>
      <c r="H228" s="23"/>
      <c r="I228" s="23"/>
      <c r="J228" s="23"/>
      <c r="K228" s="23"/>
    </row>
    <row r="229" spans="1:11" ht="15.75" x14ac:dyDescent="0.25">
      <c r="A229" s="321"/>
      <c r="B229" s="318" t="s">
        <v>481</v>
      </c>
      <c r="C229" s="26"/>
      <c r="D229" s="23"/>
      <c r="E229" s="23"/>
      <c r="F229" s="23"/>
      <c r="G229" s="23"/>
      <c r="H229" s="23"/>
      <c r="I229" s="23"/>
      <c r="J229" s="23"/>
      <c r="K229" s="23"/>
    </row>
    <row r="230" spans="1:11" x14ac:dyDescent="0.2">
      <c r="A230" s="321"/>
      <c r="B230" s="321"/>
      <c r="C230" s="322"/>
      <c r="D230" s="23"/>
      <c r="E230" s="23"/>
      <c r="F230" s="23"/>
      <c r="G230" s="23"/>
      <c r="H230" s="23"/>
      <c r="I230" s="23"/>
      <c r="J230" s="23"/>
      <c r="K230" s="23"/>
    </row>
    <row r="231" spans="1:11" x14ac:dyDescent="0.2">
      <c r="A231" s="321"/>
      <c r="B231" s="321"/>
      <c r="C231" s="322"/>
      <c r="D231" s="23"/>
      <c r="E231" s="23"/>
      <c r="F231" s="23"/>
      <c r="G231" s="23"/>
      <c r="H231" s="23"/>
      <c r="I231" s="23"/>
      <c r="J231" s="23"/>
      <c r="K231" s="23"/>
    </row>
    <row r="232" spans="1:11" x14ac:dyDescent="0.2">
      <c r="A232" s="321"/>
      <c r="B232" s="321"/>
      <c r="C232" s="322"/>
      <c r="D232" s="23"/>
      <c r="E232" s="23"/>
      <c r="F232" s="23"/>
      <c r="G232" s="23"/>
      <c r="H232" s="23"/>
      <c r="I232" s="23"/>
      <c r="J232" s="23"/>
      <c r="K232" s="23"/>
    </row>
    <row r="233" spans="1:11" x14ac:dyDescent="0.2">
      <c r="A233" s="321"/>
      <c r="B233" s="321"/>
      <c r="C233" s="322"/>
      <c r="D233" s="23"/>
      <c r="E233" s="23"/>
      <c r="F233" s="23"/>
      <c r="G233" s="23"/>
      <c r="H233" s="23"/>
      <c r="I233" s="23"/>
      <c r="J233" s="23"/>
      <c r="K233" s="23"/>
    </row>
    <row r="234" spans="1:11" x14ac:dyDescent="0.2">
      <c r="A234" s="321"/>
      <c r="B234" s="321"/>
      <c r="C234" s="322"/>
      <c r="D234" s="23"/>
      <c r="E234" s="23"/>
      <c r="F234" s="23"/>
      <c r="G234" s="23"/>
      <c r="H234" s="23"/>
      <c r="I234" s="23"/>
      <c r="J234" s="23"/>
      <c r="K234" s="23"/>
    </row>
    <row r="235" spans="1:11" x14ac:dyDescent="0.2">
      <c r="A235" s="321"/>
      <c r="B235" s="321"/>
      <c r="C235" s="322"/>
      <c r="D235" s="23"/>
      <c r="E235" s="23"/>
      <c r="F235" s="23"/>
      <c r="G235" s="23"/>
      <c r="H235" s="23"/>
      <c r="I235" s="23"/>
      <c r="J235" s="23"/>
      <c r="K235" s="23"/>
    </row>
    <row r="236" spans="1:11" x14ac:dyDescent="0.2">
      <c r="A236" s="321"/>
      <c r="B236" s="321"/>
      <c r="C236" s="322"/>
      <c r="D236" s="23"/>
      <c r="E236" s="23"/>
      <c r="F236" s="23"/>
      <c r="G236" s="23"/>
      <c r="H236" s="23"/>
      <c r="I236" s="23"/>
      <c r="J236" s="23"/>
      <c r="K236" s="23"/>
    </row>
    <row r="237" spans="1:11" ht="15" x14ac:dyDescent="0.2">
      <c r="A237" s="321"/>
      <c r="B237" s="246">
        <v>2011</v>
      </c>
      <c r="C237" s="251">
        <f>'res bce'!G21</f>
        <v>103702357</v>
      </c>
      <c r="D237" s="23"/>
      <c r="E237" s="23"/>
      <c r="F237" s="23"/>
      <c r="G237" s="23"/>
      <c r="H237" s="23"/>
      <c r="I237" s="23"/>
      <c r="J237" s="23"/>
      <c r="K237" s="23"/>
    </row>
    <row r="238" spans="1:11" ht="15" x14ac:dyDescent="0.2">
      <c r="A238" s="321"/>
      <c r="B238" s="246">
        <v>2012</v>
      </c>
      <c r="C238" s="251">
        <f>'res bce'!E21</f>
        <v>102361894</v>
      </c>
      <c r="D238" s="23"/>
      <c r="E238" s="23"/>
      <c r="F238" s="23"/>
      <c r="G238" s="23"/>
      <c r="H238" s="23"/>
      <c r="I238" s="23"/>
      <c r="J238" s="23"/>
      <c r="K238" s="23"/>
    </row>
    <row r="239" spans="1:11" ht="15" x14ac:dyDescent="0.2">
      <c r="A239" s="321"/>
      <c r="B239" s="246">
        <v>2013</v>
      </c>
      <c r="C239" s="251">
        <f>'res bce'!C21</f>
        <v>123586899</v>
      </c>
      <c r="D239" s="23"/>
      <c r="E239" s="23"/>
      <c r="F239" s="23"/>
      <c r="G239" s="23"/>
      <c r="H239" s="23"/>
      <c r="I239" s="23"/>
      <c r="J239" s="23"/>
      <c r="K239" s="23"/>
    </row>
    <row r="240" spans="1:11" x14ac:dyDescent="0.2">
      <c r="A240" s="321"/>
      <c r="B240" s="321"/>
      <c r="C240" s="322"/>
      <c r="D240" s="23"/>
      <c r="E240" s="23"/>
      <c r="F240" s="23"/>
      <c r="G240" s="23"/>
      <c r="H240" s="23"/>
      <c r="I240" s="23"/>
      <c r="J240" s="23"/>
      <c r="K240" s="23"/>
    </row>
    <row r="241" spans="1:11" x14ac:dyDescent="0.2">
      <c r="A241" s="321"/>
      <c r="B241" s="321"/>
      <c r="C241" s="322"/>
      <c r="D241" s="23"/>
      <c r="E241" s="23"/>
      <c r="F241" s="23"/>
      <c r="G241" s="23"/>
      <c r="H241" s="23"/>
      <c r="I241" s="23"/>
      <c r="J241" s="23"/>
      <c r="K241" s="23"/>
    </row>
    <row r="242" spans="1:11" x14ac:dyDescent="0.2">
      <c r="A242" s="321"/>
      <c r="B242" s="321"/>
      <c r="C242" s="322"/>
      <c r="D242" s="23"/>
      <c r="E242" s="23"/>
      <c r="F242" s="23"/>
      <c r="G242" s="23"/>
      <c r="H242" s="23"/>
      <c r="I242" s="23"/>
      <c r="J242" s="23"/>
      <c r="K242" s="23"/>
    </row>
    <row r="243" spans="1:11" x14ac:dyDescent="0.2">
      <c r="A243" s="321"/>
      <c r="B243" s="321"/>
      <c r="C243" s="322"/>
      <c r="D243" s="23"/>
      <c r="E243" s="23"/>
      <c r="F243" s="23"/>
      <c r="G243" s="23"/>
      <c r="H243" s="23"/>
      <c r="I243" s="23"/>
      <c r="J243" s="23"/>
      <c r="K243" s="23"/>
    </row>
    <row r="244" spans="1:11" x14ac:dyDescent="0.2">
      <c r="A244" s="321"/>
      <c r="B244" s="321"/>
      <c r="C244" s="322"/>
      <c r="D244" s="23"/>
      <c r="E244" s="23"/>
      <c r="F244" s="23"/>
      <c r="G244" s="23"/>
      <c r="H244" s="23"/>
      <c r="I244" s="23"/>
      <c r="J244" s="23"/>
      <c r="K244" s="23"/>
    </row>
    <row r="245" spans="1:11" x14ac:dyDescent="0.2">
      <c r="A245" s="321"/>
      <c r="B245" s="321"/>
      <c r="C245" s="322"/>
      <c r="D245" s="23"/>
      <c r="E245" s="23"/>
      <c r="F245" s="23"/>
      <c r="G245" s="23"/>
      <c r="H245" s="23"/>
      <c r="I245" s="23"/>
      <c r="J245" s="23"/>
      <c r="K245" s="23"/>
    </row>
    <row r="246" spans="1:11" x14ac:dyDescent="0.2">
      <c r="A246" s="321"/>
      <c r="B246" s="321"/>
      <c r="C246" s="322"/>
      <c r="D246" s="23"/>
      <c r="E246" s="23"/>
      <c r="F246" s="23"/>
      <c r="G246" s="23"/>
      <c r="H246" s="23"/>
      <c r="I246" s="23"/>
      <c r="J246" s="23"/>
      <c r="K246" s="23"/>
    </row>
    <row r="247" spans="1:11" x14ac:dyDescent="0.2">
      <c r="A247" s="321"/>
      <c r="B247" s="321"/>
      <c r="C247" s="322"/>
      <c r="D247" s="23"/>
      <c r="E247" s="23"/>
      <c r="F247" s="23"/>
      <c r="G247" s="23"/>
      <c r="H247" s="23"/>
      <c r="I247" s="23"/>
      <c r="J247" s="23"/>
      <c r="K247" s="23"/>
    </row>
    <row r="248" spans="1:11" x14ac:dyDescent="0.2">
      <c r="A248" s="321"/>
      <c r="B248" s="321"/>
      <c r="C248" s="322"/>
      <c r="D248" s="23"/>
      <c r="E248" s="23"/>
      <c r="F248" s="23"/>
      <c r="G248" s="23"/>
      <c r="H248" s="23"/>
      <c r="I248" s="23"/>
      <c r="J248" s="23"/>
      <c r="K248" s="23"/>
    </row>
    <row r="249" spans="1:11" x14ac:dyDescent="0.2">
      <c r="A249" s="321"/>
      <c r="B249" s="321"/>
      <c r="C249" s="322"/>
      <c r="D249" s="23"/>
      <c r="E249" s="23"/>
      <c r="F249" s="23"/>
      <c r="G249" s="23"/>
      <c r="H249" s="23"/>
      <c r="I249" s="23"/>
      <c r="J249" s="23"/>
      <c r="K249" s="23"/>
    </row>
    <row r="250" spans="1:11" x14ac:dyDescent="0.2">
      <c r="A250" s="321"/>
      <c r="B250" s="321"/>
      <c r="C250" s="322"/>
      <c r="D250" s="23"/>
      <c r="E250" s="23"/>
      <c r="F250" s="23"/>
      <c r="G250" s="23"/>
      <c r="H250" s="23"/>
      <c r="I250" s="23"/>
      <c r="J250" s="23"/>
      <c r="K250" s="23"/>
    </row>
    <row r="251" spans="1:11" x14ac:dyDescent="0.2">
      <c r="A251" s="321"/>
      <c r="B251" s="321"/>
      <c r="C251" s="322"/>
      <c r="D251" s="23"/>
      <c r="E251" s="23"/>
      <c r="F251" s="23"/>
      <c r="G251" s="23"/>
      <c r="H251" s="23"/>
      <c r="I251" s="23"/>
      <c r="J251" s="23"/>
      <c r="K251" s="23"/>
    </row>
    <row r="252" spans="1:11" x14ac:dyDescent="0.2">
      <c r="A252" s="321"/>
      <c r="B252" s="321"/>
      <c r="C252" s="322"/>
      <c r="D252" s="23"/>
      <c r="E252" s="23"/>
      <c r="F252" s="23"/>
      <c r="G252" s="23"/>
      <c r="H252" s="23"/>
      <c r="I252" s="23"/>
      <c r="J252" s="23"/>
      <c r="K252" s="23"/>
    </row>
    <row r="253" spans="1:11" ht="15.75" x14ac:dyDescent="0.25">
      <c r="A253" s="321"/>
      <c r="B253" s="318" t="s">
        <v>482</v>
      </c>
      <c r="C253" s="26"/>
      <c r="D253" s="23"/>
      <c r="E253" s="23"/>
      <c r="F253" s="23"/>
      <c r="G253" s="23"/>
      <c r="H253" s="23"/>
      <c r="I253" s="23"/>
      <c r="J253" s="23"/>
      <c r="K253" s="23"/>
    </row>
    <row r="254" spans="1:11" x14ac:dyDescent="0.2">
      <c r="A254" s="321"/>
      <c r="B254" s="321"/>
      <c r="C254" s="322"/>
      <c r="D254" s="23"/>
      <c r="E254" s="23"/>
      <c r="F254" s="23"/>
      <c r="G254" s="23"/>
      <c r="H254" s="23"/>
      <c r="I254" s="23"/>
      <c r="J254" s="23"/>
      <c r="K254" s="23"/>
    </row>
    <row r="255" spans="1:11" x14ac:dyDescent="0.2">
      <c r="A255" s="321"/>
      <c r="B255" s="321"/>
      <c r="C255" s="322"/>
      <c r="D255" s="23"/>
      <c r="E255" s="23"/>
      <c r="F255" s="23"/>
      <c r="G255" s="23"/>
      <c r="H255" s="23"/>
      <c r="I255" s="23"/>
      <c r="J255" s="23"/>
      <c r="K255" s="23"/>
    </row>
    <row r="256" spans="1:11" x14ac:dyDescent="0.2">
      <c r="A256" s="321"/>
      <c r="B256" s="321"/>
      <c r="C256" s="322"/>
      <c r="D256" s="23"/>
      <c r="E256" s="23"/>
      <c r="F256" s="23"/>
      <c r="G256" s="23"/>
      <c r="H256" s="23"/>
      <c r="I256" s="23"/>
      <c r="J256" s="23"/>
      <c r="K256" s="23"/>
    </row>
    <row r="257" spans="1:11" x14ac:dyDescent="0.2">
      <c r="A257" s="321"/>
      <c r="B257" s="321"/>
      <c r="C257" s="322"/>
      <c r="D257" s="23"/>
      <c r="E257" s="23"/>
      <c r="F257" s="23"/>
      <c r="G257" s="23"/>
      <c r="H257" s="23"/>
      <c r="I257" s="23"/>
      <c r="J257" s="23"/>
      <c r="K257" s="23"/>
    </row>
    <row r="258" spans="1:11" x14ac:dyDescent="0.2">
      <c r="A258" s="321"/>
      <c r="B258" s="321"/>
      <c r="C258" s="322"/>
      <c r="D258" s="23"/>
      <c r="E258" s="23"/>
      <c r="F258" s="23"/>
      <c r="G258" s="23"/>
      <c r="H258" s="23"/>
      <c r="I258" s="23"/>
      <c r="J258" s="23"/>
      <c r="K258" s="23"/>
    </row>
    <row r="259" spans="1:11" x14ac:dyDescent="0.2">
      <c r="A259" s="321"/>
      <c r="B259" s="321"/>
      <c r="C259" s="322"/>
      <c r="D259" s="23"/>
      <c r="E259" s="23"/>
      <c r="F259" s="23"/>
      <c r="G259" s="23"/>
      <c r="H259" s="23"/>
      <c r="I259" s="23"/>
      <c r="J259" s="23"/>
      <c r="K259" s="23"/>
    </row>
    <row r="260" spans="1:11" ht="15" x14ac:dyDescent="0.2">
      <c r="A260" s="321"/>
      <c r="B260" s="246">
        <v>2011</v>
      </c>
      <c r="C260" s="251">
        <f>'resumen pyg'!G23</f>
        <v>160697729</v>
      </c>
      <c r="D260" s="23"/>
      <c r="E260" s="23"/>
      <c r="F260" s="23"/>
      <c r="G260" s="23"/>
      <c r="H260" s="23"/>
      <c r="I260" s="23"/>
      <c r="J260" s="23"/>
      <c r="K260" s="23"/>
    </row>
    <row r="261" spans="1:11" ht="15" x14ac:dyDescent="0.2">
      <c r="A261" s="321"/>
      <c r="B261" s="246">
        <v>2012</v>
      </c>
      <c r="C261" s="251">
        <f>'resumen pyg'!E23</f>
        <v>184821561</v>
      </c>
      <c r="D261" s="23"/>
      <c r="E261" s="23"/>
      <c r="F261" s="23"/>
      <c r="G261" s="23"/>
      <c r="H261" s="23"/>
      <c r="I261" s="23"/>
      <c r="J261" s="23"/>
      <c r="K261" s="23"/>
    </row>
    <row r="262" spans="1:11" ht="15" x14ac:dyDescent="0.2">
      <c r="A262" s="321"/>
      <c r="B262" s="246">
        <v>2013</v>
      </c>
      <c r="C262" s="251">
        <f>'resumen pyg'!C23</f>
        <v>210544266</v>
      </c>
      <c r="D262" s="23"/>
      <c r="E262" s="23"/>
      <c r="F262" s="23"/>
      <c r="G262" s="23"/>
      <c r="H262" s="23"/>
      <c r="I262" s="23"/>
      <c r="J262" s="23"/>
      <c r="K262" s="23"/>
    </row>
    <row r="263" spans="1:11" x14ac:dyDescent="0.2">
      <c r="A263" s="321"/>
      <c r="B263" s="321"/>
      <c r="C263" s="322"/>
      <c r="D263" s="23"/>
      <c r="E263" s="23"/>
      <c r="F263" s="23"/>
      <c r="G263" s="23"/>
      <c r="H263" s="23"/>
      <c r="I263" s="23"/>
      <c r="J263" s="23"/>
      <c r="K263" s="23"/>
    </row>
    <row r="264" spans="1:11" x14ac:dyDescent="0.2">
      <c r="A264" s="321"/>
      <c r="B264" s="321"/>
      <c r="C264" s="322"/>
      <c r="D264" s="23"/>
      <c r="E264" s="23"/>
      <c r="F264" s="23"/>
      <c r="G264" s="23"/>
      <c r="H264" s="23"/>
      <c r="I264" s="23"/>
      <c r="J264" s="23"/>
      <c r="K264" s="23"/>
    </row>
    <row r="265" spans="1:11" x14ac:dyDescent="0.2">
      <c r="A265" s="321"/>
      <c r="B265" s="321"/>
      <c r="C265" s="322"/>
      <c r="D265" s="23"/>
      <c r="E265" s="23"/>
      <c r="F265" s="23"/>
      <c r="G265" s="23"/>
      <c r="H265" s="23"/>
      <c r="I265" s="23"/>
      <c r="J265" s="23"/>
      <c r="K265" s="23"/>
    </row>
    <row r="266" spans="1:11" x14ac:dyDescent="0.2">
      <c r="A266" s="321"/>
      <c r="B266" s="321"/>
      <c r="C266" s="322"/>
      <c r="D266" s="23"/>
      <c r="E266" s="23"/>
      <c r="F266" s="23"/>
      <c r="G266" s="23"/>
      <c r="H266" s="23"/>
      <c r="I266" s="23"/>
      <c r="J266" s="23"/>
      <c r="K266" s="23"/>
    </row>
    <row r="267" spans="1:11" x14ac:dyDescent="0.2">
      <c r="A267" s="321"/>
      <c r="B267" s="321"/>
      <c r="C267" s="322"/>
      <c r="D267" s="23"/>
      <c r="E267" s="23"/>
      <c r="F267" s="23"/>
      <c r="G267" s="23"/>
      <c r="H267" s="23"/>
      <c r="I267" s="23"/>
      <c r="J267" s="23"/>
      <c r="K267" s="23"/>
    </row>
    <row r="268" spans="1:11" x14ac:dyDescent="0.2">
      <c r="A268" s="321"/>
      <c r="B268" s="321"/>
      <c r="C268" s="322"/>
      <c r="D268" s="23"/>
      <c r="E268" s="23"/>
      <c r="F268" s="23"/>
      <c r="G268" s="23"/>
      <c r="H268" s="23"/>
      <c r="I268" s="23"/>
      <c r="J268" s="23"/>
      <c r="K268" s="23"/>
    </row>
    <row r="269" spans="1:11" x14ac:dyDescent="0.2">
      <c r="A269" s="321"/>
      <c r="B269" s="321"/>
      <c r="C269" s="322"/>
      <c r="D269" s="23"/>
      <c r="E269" s="23"/>
      <c r="F269" s="23"/>
      <c r="G269" s="23"/>
      <c r="H269" s="23"/>
      <c r="I269" s="23"/>
      <c r="J269" s="23"/>
      <c r="K269" s="23"/>
    </row>
    <row r="270" spans="1:11" x14ac:dyDescent="0.2">
      <c r="A270" s="321"/>
      <c r="B270" s="321"/>
      <c r="C270" s="322"/>
      <c r="D270" s="23"/>
      <c r="E270" s="23"/>
      <c r="F270" s="23"/>
      <c r="G270" s="23"/>
      <c r="H270" s="23"/>
      <c r="I270" s="23"/>
      <c r="J270" s="23"/>
      <c r="K270" s="23"/>
    </row>
    <row r="271" spans="1:11" x14ac:dyDescent="0.2">
      <c r="A271" s="321"/>
      <c r="B271" s="321"/>
      <c r="C271" s="322"/>
      <c r="D271" s="23"/>
      <c r="E271" s="23"/>
      <c r="F271" s="23"/>
      <c r="G271" s="23"/>
      <c r="H271" s="23"/>
      <c r="I271" s="23"/>
      <c r="J271" s="23"/>
      <c r="K271" s="23"/>
    </row>
    <row r="272" spans="1:11" x14ac:dyDescent="0.2">
      <c r="A272" s="321"/>
      <c r="B272" s="321"/>
      <c r="C272" s="322"/>
      <c r="D272" s="23"/>
      <c r="E272" s="23"/>
      <c r="F272" s="23"/>
      <c r="G272" s="23"/>
      <c r="H272" s="23"/>
      <c r="I272" s="23"/>
      <c r="J272" s="23"/>
      <c r="K272" s="23"/>
    </row>
    <row r="273" spans="1:11" x14ac:dyDescent="0.2">
      <c r="A273" s="321"/>
      <c r="B273" s="321"/>
      <c r="C273" s="322"/>
      <c r="D273" s="23"/>
      <c r="E273" s="23"/>
      <c r="F273" s="23"/>
      <c r="G273" s="23"/>
      <c r="H273" s="23"/>
      <c r="I273" s="23"/>
      <c r="J273" s="23"/>
      <c r="K273" s="23"/>
    </row>
    <row r="274" spans="1:11" x14ac:dyDescent="0.2">
      <c r="A274" s="321"/>
      <c r="B274" s="321"/>
      <c r="C274" s="322"/>
      <c r="D274" s="23"/>
      <c r="E274" s="23"/>
      <c r="F274" s="23"/>
      <c r="H274" s="23"/>
      <c r="I274" s="23"/>
      <c r="J274" s="23"/>
      <c r="K274" s="23"/>
    </row>
    <row r="275" spans="1:11" x14ac:dyDescent="0.2">
      <c r="A275" s="321"/>
      <c r="B275" s="321"/>
      <c r="C275" s="322"/>
      <c r="D275" s="23"/>
      <c r="E275" s="23"/>
      <c r="F275" s="23"/>
      <c r="G275" s="23"/>
      <c r="H275" s="23"/>
      <c r="I275" s="23"/>
      <c r="J275" s="23"/>
      <c r="K275" s="23"/>
    </row>
    <row r="276" spans="1:11" x14ac:dyDescent="0.2">
      <c r="A276" s="321"/>
      <c r="B276" s="321"/>
      <c r="C276" s="322"/>
      <c r="D276" s="23"/>
      <c r="E276" s="23"/>
      <c r="F276" s="23"/>
      <c r="G276" s="115"/>
      <c r="H276" s="23"/>
      <c r="I276" s="23"/>
      <c r="J276" s="23"/>
      <c r="K276" s="23"/>
    </row>
    <row r="277" spans="1:11" x14ac:dyDescent="0.2">
      <c r="A277" s="321"/>
      <c r="B277" s="321"/>
      <c r="C277" s="322"/>
      <c r="D277" s="23"/>
      <c r="E277" s="23"/>
      <c r="F277" s="23"/>
      <c r="H277" s="23"/>
      <c r="I277" s="23"/>
      <c r="J277" s="23"/>
      <c r="K277" s="23"/>
    </row>
    <row r="278" spans="1:11" ht="15" x14ac:dyDescent="0.2">
      <c r="A278" s="321"/>
      <c r="B278" s="321"/>
      <c r="C278" s="322"/>
      <c r="D278" s="23"/>
      <c r="E278" s="23"/>
      <c r="F278" s="28">
        <v>19</v>
      </c>
      <c r="G278" s="23"/>
      <c r="H278" s="23"/>
      <c r="I278" s="23"/>
      <c r="J278" s="23"/>
      <c r="K278" s="23"/>
    </row>
    <row r="279" spans="1:11" x14ac:dyDescent="0.2">
      <c r="A279" s="321"/>
      <c r="B279" s="321"/>
      <c r="C279" s="322"/>
      <c r="D279" s="23"/>
      <c r="E279" s="23"/>
      <c r="F279" s="23"/>
      <c r="G279" s="23"/>
      <c r="H279" s="23"/>
      <c r="I279" s="23"/>
      <c r="J279" s="23"/>
      <c r="K279" s="23"/>
    </row>
    <row r="280" spans="1:11" x14ac:dyDescent="0.2">
      <c r="A280" s="321"/>
      <c r="B280" s="321"/>
      <c r="C280" s="322"/>
      <c r="D280" s="23"/>
      <c r="E280" s="23"/>
      <c r="F280" s="23"/>
      <c r="G280" s="23"/>
      <c r="H280" s="23"/>
      <c r="I280" s="23"/>
      <c r="J280" s="23"/>
      <c r="K280" s="23"/>
    </row>
    <row r="281" spans="1:11" s="153" customFormat="1" x14ac:dyDescent="0.2">
      <c r="A281" s="321"/>
      <c r="B281" s="321"/>
      <c r="C281" s="322"/>
      <c r="D281" s="23"/>
      <c r="E281" s="23"/>
      <c r="F281" s="23"/>
      <c r="G281" s="23"/>
      <c r="H281" s="23"/>
      <c r="I281" s="23"/>
      <c r="J281" s="23"/>
      <c r="K281" s="23"/>
    </row>
    <row r="282" spans="1:11" x14ac:dyDescent="0.2">
      <c r="A282" s="321"/>
      <c r="B282" s="321"/>
      <c r="C282" s="322"/>
      <c r="D282" s="23"/>
      <c r="E282" s="23"/>
      <c r="F282" s="23"/>
      <c r="G282" s="23"/>
      <c r="H282" s="23"/>
      <c r="I282" s="23"/>
      <c r="J282" s="23"/>
      <c r="K282" s="23"/>
    </row>
    <row r="283" spans="1:11" ht="15.75" x14ac:dyDescent="0.25">
      <c r="A283" s="321"/>
      <c r="B283" s="318" t="s">
        <v>483</v>
      </c>
      <c r="C283" s="26"/>
      <c r="D283" s="23"/>
      <c r="E283" s="23"/>
      <c r="F283" s="23"/>
      <c r="G283" s="23"/>
      <c r="H283" s="23"/>
      <c r="I283" s="23"/>
      <c r="J283" s="23"/>
      <c r="K283" s="23"/>
    </row>
    <row r="284" spans="1:11" x14ac:dyDescent="0.2">
      <c r="A284" s="321"/>
      <c r="B284" s="321"/>
      <c r="C284" s="322"/>
      <c r="D284" s="23"/>
      <c r="E284" s="23"/>
      <c r="F284" s="23"/>
      <c r="G284" s="23"/>
      <c r="H284" s="23"/>
      <c r="I284" s="23"/>
      <c r="J284" s="23"/>
      <c r="K284" s="23"/>
    </row>
    <row r="285" spans="1:11" x14ac:dyDescent="0.2">
      <c r="A285" s="321"/>
      <c r="B285" s="321"/>
      <c r="C285" s="322"/>
      <c r="D285" s="23"/>
      <c r="E285" s="23"/>
      <c r="F285" s="23"/>
      <c r="G285" s="23"/>
      <c r="H285" s="23"/>
      <c r="I285" s="23"/>
      <c r="J285" s="23"/>
      <c r="K285" s="23"/>
    </row>
    <row r="286" spans="1:11" x14ac:dyDescent="0.2">
      <c r="A286" s="321"/>
      <c r="B286" s="321"/>
      <c r="C286" s="322"/>
      <c r="D286" s="23"/>
      <c r="E286" s="23"/>
      <c r="F286" s="23"/>
      <c r="G286" s="23"/>
      <c r="H286" s="23"/>
      <c r="I286" s="23"/>
      <c r="J286" s="23"/>
      <c r="K286" s="23"/>
    </row>
    <row r="287" spans="1:11" x14ac:dyDescent="0.2">
      <c r="A287" s="321"/>
      <c r="B287" s="321"/>
      <c r="C287" s="322"/>
      <c r="D287" s="23"/>
      <c r="E287" s="23"/>
      <c r="F287" s="23"/>
      <c r="G287" s="23"/>
      <c r="H287" s="23"/>
      <c r="I287" s="23"/>
      <c r="J287" s="23"/>
      <c r="K287" s="23"/>
    </row>
    <row r="288" spans="1:11" x14ac:dyDescent="0.2">
      <c r="A288" s="321"/>
      <c r="B288" s="321"/>
      <c r="C288" s="322"/>
      <c r="D288" s="23"/>
      <c r="E288" s="23"/>
      <c r="F288" s="23"/>
      <c r="G288" s="23"/>
      <c r="H288" s="23"/>
      <c r="I288" s="23"/>
      <c r="J288" s="23"/>
      <c r="K288" s="23"/>
    </row>
    <row r="289" spans="1:11" x14ac:dyDescent="0.2">
      <c r="A289" s="321"/>
      <c r="B289" s="321"/>
      <c r="C289" s="322"/>
      <c r="D289" s="23"/>
      <c r="E289" s="23"/>
      <c r="F289" s="23"/>
      <c r="G289" s="23"/>
      <c r="H289" s="23"/>
      <c r="I289" s="23"/>
      <c r="J289" s="23"/>
      <c r="K289" s="23"/>
    </row>
    <row r="290" spans="1:11" ht="15" x14ac:dyDescent="0.2">
      <c r="A290" s="321"/>
      <c r="B290" s="246">
        <v>2011</v>
      </c>
      <c r="C290" s="251">
        <f>'resumen pyg'!G45</f>
        <v>144884873</v>
      </c>
      <c r="D290" s="23"/>
      <c r="E290" s="23"/>
      <c r="F290" s="23"/>
      <c r="G290" s="23"/>
      <c r="H290" s="23"/>
      <c r="I290" s="23"/>
      <c r="J290" s="23"/>
      <c r="K290" s="23"/>
    </row>
    <row r="291" spans="1:11" ht="15" x14ac:dyDescent="0.2">
      <c r="A291" s="321"/>
      <c r="B291" s="246">
        <v>2012</v>
      </c>
      <c r="C291" s="251">
        <f>'resumen pyg'!E45</f>
        <v>173740672</v>
      </c>
      <c r="D291" s="23"/>
      <c r="E291" s="23"/>
      <c r="F291" s="23"/>
      <c r="G291" s="23"/>
      <c r="H291" s="23"/>
      <c r="I291" s="23"/>
      <c r="J291" s="23"/>
      <c r="K291" s="23"/>
    </row>
    <row r="292" spans="1:11" ht="15" x14ac:dyDescent="0.2">
      <c r="A292" s="321"/>
      <c r="B292" s="246">
        <v>2013</v>
      </c>
      <c r="C292" s="251">
        <f>'resumen pyg'!C45</f>
        <v>195197934</v>
      </c>
      <c r="D292" s="23"/>
      <c r="E292" s="23"/>
      <c r="F292" s="23"/>
      <c r="G292" s="23"/>
      <c r="H292" s="23"/>
      <c r="I292" s="23"/>
      <c r="J292" s="23"/>
      <c r="K292" s="23"/>
    </row>
    <row r="293" spans="1:11" x14ac:dyDescent="0.2">
      <c r="A293" s="321"/>
      <c r="B293" s="321"/>
      <c r="C293" s="322"/>
      <c r="D293" s="23"/>
      <c r="E293" s="23"/>
      <c r="F293" s="23"/>
      <c r="G293" s="23"/>
      <c r="H293" s="23"/>
      <c r="I293" s="23"/>
      <c r="J293" s="23"/>
      <c r="K293" s="23"/>
    </row>
    <row r="294" spans="1:11" x14ac:dyDescent="0.2">
      <c r="A294" s="321"/>
      <c r="B294" s="321"/>
      <c r="C294" s="322"/>
      <c r="D294" s="23"/>
      <c r="E294" s="23"/>
      <c r="F294" s="23"/>
      <c r="G294" s="23"/>
      <c r="H294" s="23"/>
      <c r="I294" s="23"/>
      <c r="J294" s="23"/>
      <c r="K294" s="23"/>
    </row>
    <row r="295" spans="1:11" x14ac:dyDescent="0.2">
      <c r="A295" s="321"/>
      <c r="B295" s="321"/>
      <c r="C295" s="322"/>
      <c r="D295" s="23"/>
      <c r="E295" s="23"/>
      <c r="F295" s="23"/>
      <c r="G295" s="23"/>
      <c r="H295" s="23"/>
      <c r="I295" s="23"/>
      <c r="J295" s="23"/>
      <c r="K295" s="23"/>
    </row>
    <row r="296" spans="1:11" x14ac:dyDescent="0.2">
      <c r="A296" s="321"/>
      <c r="B296" s="321"/>
      <c r="C296" s="322"/>
      <c r="D296" s="23"/>
      <c r="E296" s="23"/>
      <c r="F296" s="23"/>
      <c r="G296" s="23"/>
      <c r="H296" s="23"/>
      <c r="I296" s="23"/>
      <c r="J296" s="23"/>
      <c r="K296" s="23"/>
    </row>
    <row r="297" spans="1:11" x14ac:dyDescent="0.2">
      <c r="A297" s="321"/>
      <c r="B297" s="321"/>
      <c r="C297" s="322"/>
      <c r="D297" s="23"/>
      <c r="E297" s="23"/>
      <c r="F297" s="23"/>
      <c r="G297" s="23"/>
      <c r="H297" s="23"/>
      <c r="I297" s="23"/>
      <c r="J297" s="23"/>
      <c r="K297" s="23"/>
    </row>
    <row r="298" spans="1:11" x14ac:dyDescent="0.2">
      <c r="A298" s="321"/>
      <c r="B298" s="321"/>
      <c r="C298" s="322"/>
      <c r="D298" s="23"/>
      <c r="E298" s="23"/>
      <c r="F298" s="23"/>
      <c r="G298" s="23"/>
      <c r="H298" s="23"/>
      <c r="I298" s="23"/>
      <c r="J298" s="23"/>
      <c r="K298" s="23"/>
    </row>
    <row r="299" spans="1:11" x14ac:dyDescent="0.2">
      <c r="A299" s="321"/>
      <c r="B299" s="321"/>
      <c r="C299" s="322"/>
      <c r="D299" s="23"/>
      <c r="E299" s="23"/>
      <c r="F299" s="23"/>
      <c r="G299" s="23"/>
      <c r="H299" s="23"/>
      <c r="I299" s="23"/>
      <c r="J299" s="23"/>
      <c r="K299" s="23"/>
    </row>
    <row r="300" spans="1:11" x14ac:dyDescent="0.2">
      <c r="A300" s="321"/>
      <c r="B300" s="321"/>
      <c r="C300" s="322"/>
      <c r="D300" s="23"/>
      <c r="E300" s="23"/>
      <c r="F300" s="23"/>
      <c r="G300" s="23"/>
      <c r="H300" s="23"/>
      <c r="I300" s="23"/>
      <c r="J300" s="23"/>
      <c r="K300" s="23"/>
    </row>
    <row r="301" spans="1:11" x14ac:dyDescent="0.2">
      <c r="A301" s="321"/>
      <c r="B301" s="321"/>
      <c r="C301" s="322"/>
      <c r="D301" s="23"/>
      <c r="E301" s="23"/>
      <c r="F301" s="23"/>
      <c r="G301" s="23"/>
      <c r="H301" s="23"/>
      <c r="I301" s="23"/>
      <c r="J301" s="23"/>
      <c r="K301" s="23"/>
    </row>
    <row r="302" spans="1:11" x14ac:dyDescent="0.2">
      <c r="A302" s="321"/>
      <c r="B302" s="321"/>
      <c r="C302" s="322"/>
      <c r="D302" s="23"/>
      <c r="E302" s="23"/>
      <c r="F302" s="23"/>
      <c r="G302" s="23"/>
      <c r="H302" s="23"/>
      <c r="I302" s="23"/>
      <c r="J302" s="23"/>
      <c r="K302" s="23"/>
    </row>
    <row r="303" spans="1:11" x14ac:dyDescent="0.2">
      <c r="A303" s="321"/>
      <c r="B303" s="321"/>
      <c r="C303" s="322"/>
      <c r="D303" s="23"/>
      <c r="E303" s="23"/>
      <c r="F303" s="23"/>
      <c r="G303" s="23"/>
      <c r="H303" s="23"/>
      <c r="I303" s="23"/>
      <c r="J303" s="23"/>
      <c r="K303" s="23"/>
    </row>
    <row r="304" spans="1:11" x14ac:dyDescent="0.2">
      <c r="A304" s="321"/>
      <c r="B304" s="321"/>
      <c r="C304" s="322"/>
      <c r="D304" s="23"/>
      <c r="E304" s="23"/>
      <c r="F304" s="23"/>
      <c r="G304" s="23"/>
      <c r="H304" s="23"/>
      <c r="I304" s="23"/>
      <c r="J304" s="23"/>
      <c r="K304" s="23"/>
    </row>
    <row r="305" spans="1:11" x14ac:dyDescent="0.2">
      <c r="A305" s="321"/>
      <c r="B305" s="321"/>
      <c r="C305" s="322"/>
      <c r="D305" s="23"/>
      <c r="E305" s="23"/>
      <c r="F305" s="23"/>
      <c r="G305" s="23"/>
      <c r="H305" s="23"/>
      <c r="I305" s="23"/>
      <c r="J305" s="23"/>
      <c r="K305" s="23"/>
    </row>
    <row r="306" spans="1:11" x14ac:dyDescent="0.2">
      <c r="A306" s="321"/>
      <c r="B306" s="321"/>
      <c r="C306" s="322"/>
      <c r="D306" s="23"/>
      <c r="E306" s="23"/>
      <c r="F306" s="23"/>
      <c r="G306" s="23"/>
      <c r="H306" s="23"/>
      <c r="I306" s="23"/>
      <c r="J306" s="23"/>
      <c r="K306" s="23"/>
    </row>
    <row r="307" spans="1:11" ht="15.75" x14ac:dyDescent="0.25">
      <c r="A307" s="321"/>
      <c r="B307" s="318" t="s">
        <v>484</v>
      </c>
      <c r="C307" s="26"/>
      <c r="D307" s="23"/>
      <c r="E307" s="23"/>
      <c r="F307" s="23"/>
      <c r="G307" s="23"/>
      <c r="H307" s="23"/>
      <c r="I307" s="23"/>
      <c r="J307" s="23"/>
      <c r="K307" s="23"/>
    </row>
    <row r="308" spans="1:11" x14ac:dyDescent="0.2">
      <c r="A308" s="321"/>
      <c r="B308" s="321"/>
      <c r="C308" s="322"/>
      <c r="D308" s="23"/>
      <c r="E308" s="23"/>
      <c r="F308" s="23"/>
      <c r="G308" s="23"/>
      <c r="H308" s="23"/>
      <c r="I308" s="23"/>
      <c r="J308" s="23"/>
      <c r="K308" s="23"/>
    </row>
    <row r="309" spans="1:11" x14ac:dyDescent="0.2">
      <c r="A309" s="321"/>
      <c r="B309" s="321"/>
      <c r="C309" s="322"/>
      <c r="D309" s="23"/>
      <c r="E309" s="23"/>
      <c r="F309" s="23"/>
      <c r="G309" s="23"/>
      <c r="H309" s="23"/>
      <c r="I309" s="23"/>
      <c r="J309" s="23"/>
      <c r="K309" s="23"/>
    </row>
    <row r="310" spans="1:11" x14ac:dyDescent="0.2">
      <c r="A310" s="321"/>
      <c r="B310" s="321"/>
      <c r="C310" s="322"/>
      <c r="D310" s="23"/>
      <c r="E310" s="23"/>
      <c r="F310" s="23"/>
      <c r="G310" s="23"/>
      <c r="H310" s="23"/>
      <c r="I310" s="23"/>
      <c r="J310" s="23"/>
      <c r="K310" s="23"/>
    </row>
    <row r="311" spans="1:11" x14ac:dyDescent="0.2">
      <c r="A311" s="321"/>
      <c r="B311" s="321"/>
      <c r="C311" s="322"/>
      <c r="D311" s="23"/>
      <c r="E311" s="23"/>
      <c r="F311" s="23"/>
      <c r="G311" s="23"/>
      <c r="H311" s="23"/>
      <c r="I311" s="23"/>
      <c r="J311" s="23"/>
      <c r="K311" s="23"/>
    </row>
    <row r="312" spans="1:11" x14ac:dyDescent="0.2">
      <c r="A312" s="321"/>
      <c r="B312" s="321"/>
      <c r="C312" s="322"/>
      <c r="D312" s="23"/>
      <c r="E312" s="23"/>
      <c r="F312" s="23"/>
      <c r="G312" s="23"/>
      <c r="H312" s="23"/>
      <c r="I312" s="23"/>
      <c r="J312" s="23"/>
      <c r="K312" s="23"/>
    </row>
    <row r="313" spans="1:11" x14ac:dyDescent="0.2">
      <c r="A313" s="321"/>
      <c r="B313" s="321"/>
      <c r="C313" s="322"/>
      <c r="D313" s="23"/>
      <c r="E313" s="23"/>
      <c r="F313" s="23"/>
      <c r="G313" s="23"/>
      <c r="H313" s="23"/>
      <c r="I313" s="23"/>
      <c r="J313" s="23"/>
      <c r="K313" s="23"/>
    </row>
    <row r="314" spans="1:11" x14ac:dyDescent="0.2">
      <c r="A314" s="321"/>
      <c r="B314" s="321"/>
      <c r="C314" s="322"/>
      <c r="D314" s="23"/>
      <c r="E314" s="23"/>
      <c r="F314" s="23"/>
      <c r="G314" s="23"/>
      <c r="H314" s="23"/>
      <c r="I314" s="23"/>
      <c r="J314" s="23"/>
      <c r="K314" s="23"/>
    </row>
    <row r="315" spans="1:11" x14ac:dyDescent="0.2">
      <c r="A315" s="321"/>
      <c r="B315" s="321"/>
      <c r="C315" s="322"/>
      <c r="D315" s="23"/>
      <c r="E315" s="23"/>
      <c r="F315" s="23"/>
      <c r="G315" s="23"/>
      <c r="H315" s="23"/>
      <c r="I315" s="23"/>
      <c r="J315" s="23"/>
      <c r="K315" s="23"/>
    </row>
    <row r="316" spans="1:11" ht="15" x14ac:dyDescent="0.2">
      <c r="A316" s="321"/>
      <c r="B316" s="246">
        <v>2011</v>
      </c>
      <c r="C316" s="251">
        <f>'resumen pyg'!G47</f>
        <v>15812856</v>
      </c>
      <c r="D316" s="23"/>
      <c r="E316" s="23"/>
      <c r="F316" s="23"/>
      <c r="G316" s="23"/>
      <c r="H316" s="23"/>
      <c r="I316" s="23"/>
      <c r="J316" s="23"/>
      <c r="K316" s="23"/>
    </row>
    <row r="317" spans="1:11" ht="15" x14ac:dyDescent="0.2">
      <c r="A317" s="321"/>
      <c r="B317" s="246">
        <v>2012</v>
      </c>
      <c r="C317" s="251">
        <f>'resumen pyg'!E47</f>
        <v>11080889</v>
      </c>
      <c r="D317" s="23"/>
      <c r="E317" s="23"/>
      <c r="F317" s="23"/>
      <c r="G317" s="23"/>
      <c r="H317" s="23"/>
      <c r="I317" s="23"/>
      <c r="J317" s="23"/>
      <c r="K317" s="23"/>
    </row>
    <row r="318" spans="1:11" ht="15" x14ac:dyDescent="0.2">
      <c r="A318" s="321"/>
      <c r="B318" s="246">
        <v>2013</v>
      </c>
      <c r="C318" s="251">
        <f>'resumen pyg'!C47</f>
        <v>15346332</v>
      </c>
      <c r="D318" s="23"/>
      <c r="E318" s="23"/>
      <c r="F318" s="23"/>
      <c r="G318" s="23"/>
      <c r="H318" s="23"/>
      <c r="I318" s="23"/>
      <c r="J318" s="23"/>
      <c r="K318" s="23"/>
    </row>
    <row r="319" spans="1:11" ht="15" x14ac:dyDescent="0.2">
      <c r="A319" s="321"/>
      <c r="B319" s="27"/>
      <c r="C319" s="116"/>
      <c r="D319" s="23"/>
      <c r="E319" s="23"/>
      <c r="F319" s="23"/>
      <c r="G319" s="23"/>
      <c r="H319" s="23"/>
      <c r="I319" s="23"/>
      <c r="J319" s="23"/>
      <c r="K319" s="23"/>
    </row>
    <row r="320" spans="1:11" ht="15" x14ac:dyDescent="0.2">
      <c r="A320" s="321"/>
      <c r="B320" s="27"/>
      <c r="C320" s="116"/>
      <c r="D320" s="23"/>
      <c r="E320" s="23"/>
      <c r="F320" s="23"/>
      <c r="G320" s="23"/>
      <c r="H320" s="23"/>
      <c r="I320" s="23"/>
      <c r="J320" s="23"/>
      <c r="K320" s="23"/>
    </row>
    <row r="321" spans="1:11" x14ac:dyDescent="0.2">
      <c r="A321" s="321"/>
      <c r="B321" s="321"/>
      <c r="C321" s="322"/>
      <c r="D321" s="23"/>
      <c r="E321" s="23"/>
      <c r="F321" s="23"/>
      <c r="G321" s="23"/>
      <c r="H321" s="23"/>
      <c r="I321" s="23"/>
      <c r="J321" s="23"/>
      <c r="K321" s="23"/>
    </row>
    <row r="322" spans="1:11" x14ac:dyDescent="0.2">
      <c r="A322" s="321"/>
      <c r="B322" s="321"/>
      <c r="C322" s="322"/>
      <c r="D322" s="23"/>
      <c r="E322" s="23"/>
      <c r="F322" s="23"/>
      <c r="G322" s="23"/>
      <c r="H322" s="23"/>
      <c r="I322" s="23"/>
      <c r="J322" s="23"/>
      <c r="K322" s="23"/>
    </row>
    <row r="323" spans="1:11" x14ac:dyDescent="0.2">
      <c r="A323" s="321"/>
      <c r="B323" s="321"/>
      <c r="C323" s="322"/>
      <c r="D323" s="23"/>
      <c r="E323" s="23"/>
      <c r="F323" s="23"/>
      <c r="G323" s="23"/>
      <c r="H323" s="23"/>
      <c r="I323" s="23"/>
      <c r="J323" s="23"/>
      <c r="K323" s="23"/>
    </row>
    <row r="324" spans="1:11" x14ac:dyDescent="0.2">
      <c r="A324" s="321"/>
      <c r="B324" s="321"/>
      <c r="C324" s="322"/>
      <c r="D324" s="23"/>
      <c r="E324" s="23"/>
      <c r="F324" s="23"/>
      <c r="G324" s="23"/>
      <c r="H324" s="23"/>
      <c r="I324" s="23"/>
      <c r="J324" s="23"/>
      <c r="K324" s="23"/>
    </row>
    <row r="325" spans="1:11" x14ac:dyDescent="0.2">
      <c r="A325" s="321"/>
      <c r="B325" s="321"/>
      <c r="C325" s="322"/>
      <c r="D325" s="23"/>
      <c r="E325" s="23"/>
      <c r="F325" s="23"/>
      <c r="G325" s="23"/>
      <c r="H325" s="23"/>
      <c r="I325" s="23"/>
      <c r="J325" s="23"/>
      <c r="K325" s="23"/>
    </row>
    <row r="326" spans="1:11" x14ac:dyDescent="0.2">
      <c r="A326" s="321"/>
      <c r="B326" s="321"/>
      <c r="C326" s="322"/>
      <c r="D326" s="23"/>
      <c r="E326" s="23"/>
      <c r="F326" s="23"/>
      <c r="G326" s="23"/>
      <c r="H326" s="23"/>
      <c r="I326" s="23"/>
      <c r="J326" s="23"/>
      <c r="K326" s="23"/>
    </row>
    <row r="327" spans="1:11" x14ac:dyDescent="0.2">
      <c r="A327" s="321"/>
      <c r="B327" s="321"/>
      <c r="C327" s="322"/>
      <c r="D327" s="23"/>
      <c r="E327" s="23"/>
      <c r="F327" s="23"/>
      <c r="G327" s="23"/>
      <c r="H327" s="23"/>
      <c r="I327" s="23"/>
      <c r="J327" s="23"/>
      <c r="K327" s="23"/>
    </row>
    <row r="328" spans="1:11" x14ac:dyDescent="0.2">
      <c r="A328" s="321"/>
      <c r="B328" s="321"/>
      <c r="C328" s="322"/>
      <c r="D328" s="23"/>
      <c r="E328" s="23"/>
      <c r="F328" s="23"/>
      <c r="G328" s="23"/>
      <c r="H328" s="23"/>
      <c r="I328" s="23"/>
      <c r="J328" s="23"/>
      <c r="K328" s="23"/>
    </row>
    <row r="329" spans="1:11" x14ac:dyDescent="0.2">
      <c r="A329" s="321"/>
      <c r="B329" s="321"/>
      <c r="C329" s="322"/>
      <c r="D329" s="23"/>
      <c r="E329" s="23"/>
      <c r="F329" s="23"/>
      <c r="G329" s="23"/>
      <c r="H329" s="23"/>
      <c r="I329" s="23"/>
      <c r="J329" s="23"/>
      <c r="K329" s="23"/>
    </row>
    <row r="330" spans="1:11" ht="15.75" x14ac:dyDescent="0.25">
      <c r="A330" s="321"/>
      <c r="B330" s="318" t="s">
        <v>485</v>
      </c>
      <c r="C330" s="324"/>
      <c r="D330" s="25"/>
      <c r="E330" s="23"/>
      <c r="F330" s="23"/>
      <c r="G330" s="23"/>
      <c r="H330" s="23"/>
      <c r="I330" s="23"/>
      <c r="J330" s="23"/>
      <c r="K330" s="23"/>
    </row>
    <row r="331" spans="1:11" x14ac:dyDescent="0.2">
      <c r="A331" s="321"/>
      <c r="B331" s="95" t="s">
        <v>152</v>
      </c>
      <c r="C331" s="323"/>
      <c r="D331" s="25"/>
      <c r="E331" s="23"/>
      <c r="F331" s="23"/>
      <c r="G331" s="23"/>
      <c r="H331" s="23"/>
      <c r="I331" s="23"/>
      <c r="J331" s="23"/>
      <c r="K331" s="23"/>
    </row>
    <row r="332" spans="1:11" x14ac:dyDescent="0.2">
      <c r="A332" s="321"/>
      <c r="B332" s="95"/>
      <c r="C332" s="323"/>
      <c r="D332" s="25"/>
      <c r="E332" s="23"/>
      <c r="F332" s="23"/>
      <c r="G332" s="23"/>
      <c r="H332" s="23"/>
      <c r="I332" s="23"/>
      <c r="J332" s="23"/>
      <c r="K332" s="23"/>
    </row>
    <row r="333" spans="1:11" x14ac:dyDescent="0.2">
      <c r="A333" s="321"/>
      <c r="B333" s="321"/>
      <c r="C333" s="322"/>
      <c r="D333" s="23"/>
      <c r="E333" s="23"/>
      <c r="F333" s="23"/>
      <c r="G333" s="23"/>
      <c r="H333" s="23"/>
      <c r="I333" s="23"/>
      <c r="J333" s="23"/>
      <c r="K333" s="23"/>
    </row>
    <row r="334" spans="1:11" x14ac:dyDescent="0.2">
      <c r="A334" s="321"/>
      <c r="B334" s="321"/>
      <c r="C334" s="322"/>
      <c r="D334" s="23"/>
      <c r="E334" s="23"/>
      <c r="F334" s="23"/>
      <c r="G334" s="23"/>
      <c r="H334" s="23"/>
      <c r="I334" s="23"/>
      <c r="J334" s="23"/>
      <c r="K334" s="23"/>
    </row>
    <row r="335" spans="1:11" x14ac:dyDescent="0.2">
      <c r="A335" s="321"/>
      <c r="B335" s="321"/>
      <c r="C335" s="322"/>
      <c r="D335" s="23"/>
      <c r="E335" s="23"/>
      <c r="F335" s="23"/>
      <c r="G335" s="23"/>
      <c r="H335" s="23"/>
      <c r="I335" s="23"/>
      <c r="J335" s="23"/>
      <c r="K335" s="23"/>
    </row>
    <row r="336" spans="1:11" x14ac:dyDescent="0.2">
      <c r="A336" s="321"/>
      <c r="B336" s="321"/>
      <c r="C336" s="322"/>
      <c r="D336" s="23"/>
      <c r="E336" s="23"/>
      <c r="F336" s="23"/>
      <c r="G336" s="23"/>
      <c r="H336" s="23"/>
      <c r="I336" s="23"/>
      <c r="J336" s="23"/>
      <c r="K336" s="23"/>
    </row>
    <row r="337" spans="1:11" x14ac:dyDescent="0.2">
      <c r="A337" s="321"/>
      <c r="B337" s="321"/>
      <c r="C337" s="322"/>
      <c r="D337" s="23"/>
      <c r="E337" s="23"/>
      <c r="F337" s="23"/>
      <c r="G337" s="23"/>
      <c r="H337" s="23"/>
      <c r="I337" s="23"/>
      <c r="J337" s="23"/>
      <c r="K337" s="23"/>
    </row>
    <row r="338" spans="1:11" x14ac:dyDescent="0.2">
      <c r="A338" s="321"/>
      <c r="B338" s="321"/>
      <c r="C338" s="322"/>
      <c r="D338" s="23"/>
      <c r="E338" s="23"/>
      <c r="F338" s="23"/>
      <c r="G338" s="23"/>
      <c r="H338" s="23"/>
      <c r="I338" s="23"/>
      <c r="J338" s="23"/>
      <c r="K338" s="23"/>
    </row>
    <row r="339" spans="1:11" x14ac:dyDescent="0.2">
      <c r="A339" s="321"/>
      <c r="B339" s="321"/>
      <c r="C339" s="322"/>
      <c r="D339" s="23"/>
      <c r="E339" s="23"/>
      <c r="F339" s="23"/>
      <c r="G339" s="23"/>
      <c r="H339" s="23"/>
      <c r="I339" s="23"/>
      <c r="J339" s="23"/>
      <c r="K339" s="23"/>
    </row>
    <row r="340" spans="1:11" ht="15" x14ac:dyDescent="0.2">
      <c r="A340" s="321"/>
      <c r="B340" s="246">
        <v>2011</v>
      </c>
      <c r="C340" s="252">
        <f>'res bce'!G49</f>
        <v>13.192549771314161</v>
      </c>
      <c r="D340" s="23"/>
      <c r="E340" s="23"/>
      <c r="F340" s="23"/>
      <c r="G340" s="23"/>
      <c r="H340" s="23"/>
      <c r="I340" s="23"/>
      <c r="J340" s="23"/>
      <c r="K340" s="23"/>
    </row>
    <row r="341" spans="1:11" ht="15" x14ac:dyDescent="0.2">
      <c r="A341" s="321"/>
      <c r="B341" s="246">
        <v>2012</v>
      </c>
      <c r="C341" s="252">
        <f>'res bce'!E49</f>
        <v>7.4921346721207014</v>
      </c>
      <c r="D341" s="23"/>
      <c r="E341" s="23"/>
      <c r="F341" s="23"/>
      <c r="G341" s="23"/>
      <c r="H341" s="23"/>
      <c r="I341" s="23"/>
      <c r="J341" s="23"/>
      <c r="K341" s="23"/>
    </row>
    <row r="342" spans="1:11" ht="15" x14ac:dyDescent="0.2">
      <c r="A342" s="321"/>
      <c r="B342" s="246">
        <v>2013</v>
      </c>
      <c r="C342" s="252">
        <f>'res bce'!C49</f>
        <v>15.250446407041055</v>
      </c>
      <c r="D342" s="23"/>
      <c r="E342" s="23"/>
      <c r="F342" s="23"/>
      <c r="G342" s="23"/>
      <c r="H342" s="23"/>
      <c r="I342" s="23"/>
      <c r="J342" s="23"/>
      <c r="K342" s="23"/>
    </row>
    <row r="343" spans="1:11" ht="15" x14ac:dyDescent="0.2">
      <c r="A343" s="321"/>
      <c r="B343" s="27"/>
      <c r="C343" s="116"/>
      <c r="D343" s="23"/>
      <c r="E343" s="23"/>
      <c r="F343" s="23"/>
      <c r="G343" s="23"/>
      <c r="H343" s="23"/>
      <c r="I343" s="23"/>
      <c r="J343" s="23"/>
      <c r="K343" s="23"/>
    </row>
    <row r="344" spans="1:11" ht="15" x14ac:dyDescent="0.2">
      <c r="A344" s="321"/>
      <c r="B344" s="27"/>
      <c r="C344" s="116"/>
      <c r="D344" s="23"/>
      <c r="E344" s="23"/>
      <c r="F344" s="23"/>
      <c r="G344" s="23"/>
      <c r="H344" s="23"/>
      <c r="I344" s="23"/>
      <c r="J344" s="23"/>
      <c r="K344" s="23"/>
    </row>
    <row r="345" spans="1:11" x14ac:dyDescent="0.2">
      <c r="A345" s="321"/>
      <c r="B345" s="321"/>
      <c r="C345" s="322"/>
      <c r="D345" s="23"/>
      <c r="E345" s="23"/>
      <c r="F345" s="23"/>
      <c r="G345" s="23"/>
      <c r="H345" s="23"/>
      <c r="I345" s="23"/>
      <c r="J345" s="23"/>
      <c r="K345" s="23"/>
    </row>
    <row r="346" spans="1:11" x14ac:dyDescent="0.2">
      <c r="A346" s="321"/>
      <c r="B346" s="321"/>
      <c r="C346" s="322"/>
      <c r="D346" s="23"/>
      <c r="E346" s="23"/>
      <c r="F346" s="23"/>
      <c r="G346" s="23"/>
      <c r="H346" s="23"/>
      <c r="I346" s="23"/>
      <c r="J346" s="23"/>
      <c r="K346" s="23"/>
    </row>
    <row r="347" spans="1:11" x14ac:dyDescent="0.2">
      <c r="A347" s="321"/>
      <c r="B347" s="321"/>
      <c r="C347" s="322"/>
      <c r="D347" s="23"/>
      <c r="E347" s="23"/>
      <c r="F347" s="23"/>
      <c r="G347" s="23"/>
      <c r="H347" s="23"/>
      <c r="I347" s="23"/>
      <c r="J347" s="23"/>
      <c r="K347" s="23"/>
    </row>
    <row r="348" spans="1:11" x14ac:dyDescent="0.2">
      <c r="A348" s="321"/>
      <c r="B348" s="321"/>
      <c r="C348" s="322"/>
      <c r="D348" s="23"/>
      <c r="E348" s="23"/>
      <c r="F348" s="23"/>
      <c r="G348" s="23"/>
      <c r="H348" s="23"/>
      <c r="I348" s="23"/>
      <c r="J348" s="23"/>
      <c r="K348" s="23"/>
    </row>
    <row r="349" spans="1:11" x14ac:dyDescent="0.2">
      <c r="A349" s="321"/>
      <c r="B349" s="321"/>
      <c r="C349" s="322"/>
      <c r="D349" s="23"/>
      <c r="E349" s="23"/>
      <c r="F349" s="23"/>
      <c r="G349" s="23"/>
      <c r="H349" s="23"/>
      <c r="I349" s="23"/>
      <c r="J349" s="23"/>
      <c r="K349" s="23"/>
    </row>
    <row r="350" spans="1:11" x14ac:dyDescent="0.2">
      <c r="A350" s="321"/>
      <c r="B350" s="321"/>
      <c r="C350" s="322"/>
      <c r="D350" s="23"/>
      <c r="E350" s="23"/>
      <c r="F350" s="23"/>
      <c r="G350" s="23"/>
      <c r="H350" s="23"/>
      <c r="I350" s="23"/>
      <c r="J350" s="23"/>
      <c r="K350" s="23"/>
    </row>
    <row r="351" spans="1:11" x14ac:dyDescent="0.2">
      <c r="A351" s="321"/>
      <c r="B351" s="321"/>
      <c r="C351" s="322"/>
      <c r="D351" s="23"/>
      <c r="E351" s="23"/>
      <c r="F351" s="23"/>
      <c r="G351" s="23"/>
      <c r="H351" s="23"/>
      <c r="I351" s="23"/>
      <c r="J351" s="23"/>
      <c r="K351" s="23"/>
    </row>
    <row r="352" spans="1:11" x14ac:dyDescent="0.2">
      <c r="A352" s="321"/>
      <c r="B352" s="321"/>
      <c r="C352" s="322"/>
      <c r="D352" s="23"/>
      <c r="E352" s="23"/>
      <c r="F352" s="23"/>
      <c r="G352" s="23"/>
      <c r="H352" s="23"/>
      <c r="I352" s="23"/>
      <c r="J352" s="23"/>
      <c r="K352" s="23"/>
    </row>
    <row r="353" spans="1:11" x14ac:dyDescent="0.2">
      <c r="A353" s="321"/>
      <c r="B353" s="321"/>
      <c r="C353" s="322"/>
      <c r="D353" s="23"/>
      <c r="E353" s="23"/>
      <c r="G353" s="115"/>
      <c r="H353" s="23"/>
      <c r="I353" s="23"/>
      <c r="J353" s="23"/>
      <c r="K353" s="23"/>
    </row>
    <row r="354" spans="1:11" ht="15" x14ac:dyDescent="0.2">
      <c r="A354" s="321"/>
      <c r="B354" s="321"/>
      <c r="C354" s="322"/>
      <c r="D354" s="23"/>
      <c r="E354" s="23"/>
      <c r="F354" s="28">
        <v>20</v>
      </c>
      <c r="H354" s="23"/>
      <c r="I354" s="23"/>
      <c r="J354" s="23"/>
      <c r="K354" s="23"/>
    </row>
    <row r="355" spans="1:11" x14ac:dyDescent="0.2">
      <c r="A355" s="321"/>
      <c r="B355" s="321"/>
      <c r="C355" s="322"/>
      <c r="D355" s="23"/>
      <c r="E355" s="23"/>
      <c r="G355" s="23"/>
      <c r="H355" s="23"/>
      <c r="I355" s="23"/>
      <c r="J355" s="23"/>
      <c r="K355" s="23"/>
    </row>
    <row r="356" spans="1:11" x14ac:dyDescent="0.2">
      <c r="A356" s="321"/>
      <c r="B356" s="321"/>
      <c r="C356" s="322"/>
      <c r="D356" s="23"/>
      <c r="E356" s="23"/>
      <c r="F356" s="23"/>
      <c r="G356" s="23"/>
      <c r="H356" s="23"/>
      <c r="I356" s="23"/>
      <c r="J356" s="23"/>
      <c r="K356" s="23"/>
    </row>
    <row r="357" spans="1:11" x14ac:dyDescent="0.2">
      <c r="A357" s="321"/>
      <c r="B357" s="321"/>
      <c r="C357" s="322"/>
      <c r="D357" s="23"/>
      <c r="E357" s="23"/>
      <c r="F357" s="23"/>
      <c r="G357" s="23"/>
      <c r="H357" s="23"/>
      <c r="I357" s="23"/>
      <c r="J357" s="23"/>
      <c r="K357" s="23"/>
    </row>
    <row r="358" spans="1:11" x14ac:dyDescent="0.2">
      <c r="A358" s="321"/>
      <c r="B358" s="321"/>
      <c r="C358" s="322"/>
      <c r="D358" s="23"/>
      <c r="E358" s="23"/>
      <c r="F358" s="23"/>
      <c r="G358" s="23"/>
      <c r="H358" s="23"/>
      <c r="I358" s="23"/>
      <c r="J358" s="23"/>
      <c r="K358" s="23"/>
    </row>
    <row r="359" spans="1:11" s="153" customFormat="1" x14ac:dyDescent="0.2">
      <c r="A359" s="321"/>
      <c r="B359" s="321"/>
      <c r="C359" s="322"/>
      <c r="D359" s="23"/>
      <c r="E359" s="23"/>
      <c r="F359" s="23"/>
      <c r="G359" s="23"/>
      <c r="H359" s="23"/>
      <c r="I359" s="23"/>
      <c r="J359" s="23"/>
      <c r="K359" s="23"/>
    </row>
    <row r="360" spans="1:11" ht="15.75" x14ac:dyDescent="0.25">
      <c r="A360" s="321"/>
      <c r="B360" s="318" t="s">
        <v>151</v>
      </c>
      <c r="C360" s="324"/>
      <c r="D360" s="25"/>
      <c r="E360" s="23"/>
      <c r="F360" s="23"/>
      <c r="G360" s="23"/>
      <c r="H360" s="23"/>
      <c r="I360" s="23"/>
      <c r="J360" s="23"/>
      <c r="K360" s="23"/>
    </row>
    <row r="361" spans="1:11" x14ac:dyDescent="0.2">
      <c r="A361" s="321"/>
      <c r="B361" s="95" t="s">
        <v>536</v>
      </c>
      <c r="C361" s="323"/>
      <c r="D361" s="25"/>
      <c r="E361" s="23"/>
      <c r="F361" s="23"/>
      <c r="G361" s="23"/>
      <c r="H361" s="23"/>
      <c r="I361" s="23"/>
      <c r="J361" s="23"/>
      <c r="K361" s="23"/>
    </row>
    <row r="362" spans="1:11" x14ac:dyDescent="0.2">
      <c r="A362" s="321"/>
      <c r="B362" s="321"/>
      <c r="C362" s="323"/>
      <c r="D362" s="25"/>
      <c r="E362" s="23"/>
      <c r="F362" s="23"/>
      <c r="G362" s="23"/>
      <c r="H362" s="23"/>
      <c r="I362" s="23"/>
      <c r="J362" s="23"/>
      <c r="K362" s="23"/>
    </row>
    <row r="363" spans="1:11" x14ac:dyDescent="0.2">
      <c r="A363" s="321"/>
      <c r="B363" s="95"/>
      <c r="C363" s="323"/>
      <c r="D363" s="25"/>
      <c r="E363" s="23"/>
      <c r="F363" s="23"/>
      <c r="G363" s="23"/>
      <c r="H363" s="23"/>
      <c r="I363" s="23"/>
      <c r="J363" s="23"/>
      <c r="K363" s="23"/>
    </row>
    <row r="364" spans="1:11" x14ac:dyDescent="0.2">
      <c r="A364" s="321"/>
      <c r="B364" s="321"/>
      <c r="C364" s="322"/>
      <c r="D364" s="23"/>
      <c r="E364" s="23"/>
      <c r="F364" s="23"/>
      <c r="G364" s="23"/>
      <c r="H364" s="23"/>
      <c r="I364" s="23"/>
      <c r="J364" s="23"/>
      <c r="K364" s="23"/>
    </row>
    <row r="365" spans="1:11" x14ac:dyDescent="0.2">
      <c r="A365" s="321"/>
      <c r="B365" s="321"/>
      <c r="C365" s="322"/>
      <c r="D365" s="23"/>
      <c r="E365" s="23"/>
      <c r="F365" s="23"/>
      <c r="G365" s="23"/>
      <c r="H365" s="23"/>
      <c r="I365" s="23"/>
      <c r="J365" s="23"/>
      <c r="K365" s="23"/>
    </row>
    <row r="366" spans="1:11" x14ac:dyDescent="0.2">
      <c r="A366" s="321"/>
      <c r="B366" s="321"/>
      <c r="C366" s="322"/>
      <c r="D366" s="23"/>
      <c r="E366" s="23"/>
      <c r="F366" s="23"/>
      <c r="G366" s="23"/>
      <c r="H366" s="23"/>
      <c r="I366" s="23"/>
      <c r="J366" s="23"/>
      <c r="K366" s="23"/>
    </row>
    <row r="367" spans="1:11" x14ac:dyDescent="0.2">
      <c r="A367" s="321"/>
      <c r="B367" s="321"/>
      <c r="C367" s="322"/>
      <c r="D367" s="23"/>
      <c r="E367" s="23"/>
      <c r="F367" s="23"/>
      <c r="G367" s="23"/>
      <c r="H367" s="23"/>
      <c r="I367" s="23"/>
      <c r="J367" s="23"/>
      <c r="K367" s="23"/>
    </row>
    <row r="368" spans="1:11" x14ac:dyDescent="0.2">
      <c r="A368" s="321"/>
      <c r="B368" s="321"/>
      <c r="C368" s="322"/>
      <c r="D368" s="23"/>
      <c r="E368" s="23"/>
      <c r="F368" s="23"/>
      <c r="G368" s="23"/>
      <c r="H368" s="23"/>
      <c r="I368" s="23"/>
      <c r="J368" s="23"/>
      <c r="K368" s="23"/>
    </row>
    <row r="369" spans="1:11" x14ac:dyDescent="0.2">
      <c r="A369" s="321"/>
      <c r="B369" s="321"/>
      <c r="C369" s="322"/>
      <c r="D369" s="23"/>
      <c r="E369" s="23"/>
      <c r="F369" s="23"/>
      <c r="G369" s="23"/>
      <c r="H369" s="23"/>
      <c r="I369" s="23"/>
      <c r="J369" s="23"/>
      <c r="K369" s="23"/>
    </row>
    <row r="370" spans="1:11" x14ac:dyDescent="0.2">
      <c r="A370" s="321"/>
      <c r="B370" s="321"/>
      <c r="C370" s="322"/>
      <c r="D370" s="23"/>
      <c r="E370" s="23"/>
      <c r="F370" s="23"/>
      <c r="G370" s="23"/>
      <c r="H370" s="23"/>
      <c r="I370" s="23"/>
      <c r="J370" s="23"/>
      <c r="K370" s="23"/>
    </row>
    <row r="371" spans="1:11" ht="15" x14ac:dyDescent="0.2">
      <c r="A371" s="321"/>
      <c r="B371" s="246">
        <v>2011</v>
      </c>
      <c r="C371" s="253">
        <f>'res bce'!G56</f>
        <v>23496538</v>
      </c>
      <c r="D371" s="23"/>
      <c r="E371" s="23"/>
      <c r="F371" s="23"/>
      <c r="G371" s="23"/>
      <c r="H371" s="23"/>
      <c r="I371" s="23"/>
      <c r="J371" s="23"/>
      <c r="K371" s="23"/>
    </row>
    <row r="372" spans="1:11" ht="15" x14ac:dyDescent="0.2">
      <c r="A372" s="321"/>
      <c r="B372" s="246">
        <v>2012</v>
      </c>
      <c r="C372" s="253">
        <f>'res bce'!E56</f>
        <v>15638048</v>
      </c>
      <c r="D372" s="23"/>
      <c r="E372" s="23"/>
      <c r="F372" s="23"/>
      <c r="G372" s="23"/>
      <c r="H372" s="23"/>
      <c r="I372" s="23"/>
      <c r="J372" s="23"/>
      <c r="K372" s="23"/>
    </row>
    <row r="373" spans="1:11" ht="15" x14ac:dyDescent="0.2">
      <c r="A373" s="321"/>
      <c r="B373" s="246">
        <v>2013</v>
      </c>
      <c r="C373" s="253">
        <f>'res bce'!C56</f>
        <v>25613445</v>
      </c>
      <c r="D373" s="23"/>
      <c r="E373" s="23"/>
      <c r="F373" s="23"/>
      <c r="G373" s="23"/>
      <c r="H373" s="23"/>
      <c r="I373" s="23"/>
      <c r="J373" s="23"/>
      <c r="K373" s="23"/>
    </row>
    <row r="374" spans="1:11" ht="15" x14ac:dyDescent="0.2">
      <c r="A374" s="321"/>
      <c r="B374" s="27"/>
      <c r="C374" s="116"/>
      <c r="D374" s="23"/>
      <c r="E374" s="23"/>
      <c r="F374" s="23"/>
      <c r="G374" s="23"/>
      <c r="H374" s="23"/>
      <c r="I374" s="23"/>
      <c r="J374" s="23"/>
      <c r="K374" s="23"/>
    </row>
    <row r="375" spans="1:11" ht="15" x14ac:dyDescent="0.2">
      <c r="A375" s="321"/>
      <c r="B375" s="27"/>
      <c r="C375" s="116"/>
      <c r="D375" s="23"/>
      <c r="E375" s="23"/>
      <c r="F375" s="23"/>
      <c r="G375" s="23"/>
      <c r="H375" s="23"/>
      <c r="I375" s="23"/>
      <c r="J375" s="23"/>
      <c r="K375" s="23"/>
    </row>
    <row r="376" spans="1:11" x14ac:dyDescent="0.2">
      <c r="A376" s="321"/>
      <c r="B376" s="321"/>
      <c r="C376" s="322"/>
      <c r="D376" s="23"/>
      <c r="E376" s="23"/>
      <c r="F376" s="23"/>
      <c r="G376" s="23"/>
      <c r="H376" s="23"/>
      <c r="I376" s="23"/>
      <c r="J376" s="23"/>
      <c r="K376" s="23"/>
    </row>
    <row r="377" spans="1:11" x14ac:dyDescent="0.2">
      <c r="A377" s="321"/>
      <c r="B377" s="321"/>
      <c r="C377" s="322"/>
      <c r="D377" s="23"/>
      <c r="E377" s="23"/>
      <c r="F377" s="23"/>
      <c r="G377" s="23"/>
      <c r="H377" s="23"/>
      <c r="I377" s="23"/>
      <c r="J377" s="23"/>
      <c r="K377" s="23"/>
    </row>
    <row r="378" spans="1:11" x14ac:dyDescent="0.2">
      <c r="A378" s="321"/>
      <c r="B378" s="321"/>
      <c r="C378" s="322"/>
      <c r="D378" s="23"/>
      <c r="E378" s="23"/>
      <c r="F378" s="23"/>
      <c r="G378" s="23"/>
      <c r="H378" s="23"/>
      <c r="I378" s="23"/>
      <c r="J378" s="23"/>
      <c r="K378" s="23"/>
    </row>
    <row r="379" spans="1:11" x14ac:dyDescent="0.2">
      <c r="A379" s="321"/>
      <c r="B379" s="321"/>
      <c r="C379" s="322"/>
      <c r="D379" s="23"/>
      <c r="E379" s="23"/>
      <c r="F379" s="23"/>
      <c r="G379" s="23"/>
      <c r="H379" s="23"/>
      <c r="I379" s="23"/>
      <c r="J379" s="23"/>
      <c r="K379" s="23"/>
    </row>
    <row r="380" spans="1:11" x14ac:dyDescent="0.2">
      <c r="A380" s="321"/>
      <c r="B380" s="321"/>
      <c r="C380" s="322"/>
      <c r="D380" s="23"/>
      <c r="E380" s="23"/>
      <c r="F380" s="23"/>
      <c r="G380" s="23"/>
      <c r="H380" s="23"/>
      <c r="I380" s="23"/>
      <c r="J380" s="23"/>
      <c r="K380" s="23"/>
    </row>
    <row r="381" spans="1:11" x14ac:dyDescent="0.2">
      <c r="A381" s="321"/>
      <c r="B381" s="321"/>
      <c r="C381" s="322"/>
      <c r="D381" s="23"/>
      <c r="E381" s="23"/>
      <c r="F381" s="23"/>
      <c r="G381" s="23"/>
      <c r="H381" s="23"/>
      <c r="I381" s="23"/>
      <c r="J381" s="23"/>
      <c r="K381" s="23"/>
    </row>
    <row r="382" spans="1:11" x14ac:dyDescent="0.2">
      <c r="A382" s="321"/>
      <c r="B382" s="321"/>
      <c r="C382" s="322"/>
      <c r="D382" s="23"/>
      <c r="E382" s="23"/>
      <c r="F382" s="23"/>
      <c r="G382" s="23"/>
      <c r="H382" s="23"/>
      <c r="I382" s="23"/>
      <c r="J382" s="23"/>
      <c r="K382" s="23"/>
    </row>
    <row r="383" spans="1:11" x14ac:dyDescent="0.2">
      <c r="A383" s="321"/>
      <c r="B383" s="321"/>
      <c r="C383" s="322"/>
      <c r="D383" s="23"/>
      <c r="E383" s="23"/>
      <c r="F383" s="23"/>
      <c r="G383" s="23"/>
      <c r="H383" s="23"/>
      <c r="I383" s="23"/>
      <c r="J383" s="23"/>
      <c r="K383" s="23"/>
    </row>
    <row r="384" spans="1:11" ht="15.75" x14ac:dyDescent="0.25">
      <c r="A384" s="321"/>
      <c r="B384" s="318" t="s">
        <v>123</v>
      </c>
      <c r="C384" s="324"/>
      <c r="D384" s="23"/>
      <c r="E384" s="23"/>
      <c r="F384" s="23"/>
      <c r="G384" s="23"/>
      <c r="H384" s="23"/>
      <c r="I384" s="23"/>
      <c r="J384" s="23"/>
      <c r="K384" s="23"/>
    </row>
    <row r="385" spans="1:11" x14ac:dyDescent="0.2">
      <c r="A385" s="321"/>
      <c r="B385" s="95" t="s">
        <v>254</v>
      </c>
      <c r="C385" s="323"/>
      <c r="D385" s="23"/>
      <c r="E385" s="23"/>
      <c r="F385" s="23"/>
      <c r="G385" s="23"/>
      <c r="H385" s="23"/>
      <c r="I385" s="23"/>
      <c r="J385" s="23"/>
      <c r="K385" s="23"/>
    </row>
    <row r="386" spans="1:11" x14ac:dyDescent="0.2">
      <c r="A386" s="321"/>
      <c r="B386" s="321"/>
      <c r="C386" s="323"/>
      <c r="D386" s="23"/>
      <c r="E386" s="23"/>
      <c r="F386" s="23"/>
      <c r="G386" s="23"/>
      <c r="H386" s="23"/>
      <c r="I386" s="23"/>
      <c r="J386" s="23"/>
      <c r="K386" s="23"/>
    </row>
    <row r="387" spans="1:11" x14ac:dyDescent="0.2">
      <c r="A387" s="321"/>
      <c r="B387" s="95"/>
      <c r="C387" s="323"/>
      <c r="D387" s="25"/>
      <c r="E387" s="23"/>
      <c r="F387" s="23"/>
      <c r="G387" s="23"/>
      <c r="H387" s="23"/>
      <c r="I387" s="23"/>
      <c r="J387" s="23"/>
      <c r="K387" s="23"/>
    </row>
    <row r="388" spans="1:11" x14ac:dyDescent="0.2">
      <c r="A388" s="321"/>
      <c r="B388" s="321"/>
      <c r="C388" s="322"/>
      <c r="D388" s="23"/>
      <c r="E388" s="23"/>
      <c r="F388" s="23"/>
      <c r="G388" s="23"/>
      <c r="H388" s="23"/>
      <c r="I388" s="23"/>
      <c r="J388" s="23"/>
      <c r="K388" s="23"/>
    </row>
    <row r="389" spans="1:11" x14ac:dyDescent="0.2">
      <c r="A389" s="321"/>
      <c r="B389" s="321"/>
      <c r="C389" s="322"/>
      <c r="D389" s="23"/>
      <c r="E389" s="23"/>
      <c r="F389" s="23"/>
      <c r="G389" s="23"/>
      <c r="H389" s="23"/>
      <c r="I389" s="23"/>
      <c r="J389" s="23"/>
      <c r="K389" s="23"/>
    </row>
    <row r="390" spans="1:11" x14ac:dyDescent="0.2">
      <c r="A390" s="321"/>
      <c r="B390" s="321"/>
      <c r="C390" s="322"/>
      <c r="D390" s="23"/>
      <c r="E390" s="23"/>
      <c r="F390" s="23"/>
      <c r="G390" s="23"/>
      <c r="H390" s="23"/>
      <c r="I390" s="23"/>
      <c r="J390" s="23"/>
      <c r="K390" s="23"/>
    </row>
    <row r="391" spans="1:11" x14ac:dyDescent="0.2">
      <c r="A391" s="321"/>
      <c r="B391" s="321"/>
      <c r="C391" s="322"/>
      <c r="D391" s="23"/>
      <c r="E391" s="23"/>
      <c r="F391" s="23"/>
      <c r="G391" s="23"/>
      <c r="H391" s="23"/>
      <c r="I391" s="23"/>
      <c r="J391" s="23"/>
      <c r="K391" s="23"/>
    </row>
    <row r="392" spans="1:11" x14ac:dyDescent="0.2">
      <c r="A392" s="321"/>
      <c r="B392" s="321"/>
      <c r="C392" s="322"/>
      <c r="D392" s="23"/>
      <c r="E392" s="23"/>
      <c r="F392" s="23"/>
      <c r="G392" s="23"/>
      <c r="H392" s="23"/>
      <c r="I392" s="23"/>
      <c r="J392" s="23"/>
      <c r="K392" s="23"/>
    </row>
    <row r="393" spans="1:11" x14ac:dyDescent="0.2">
      <c r="A393" s="321"/>
      <c r="B393" s="321"/>
      <c r="C393" s="322"/>
      <c r="D393" s="23"/>
      <c r="E393" s="23"/>
      <c r="F393" s="23"/>
      <c r="G393" s="23"/>
      <c r="H393" s="23"/>
      <c r="I393" s="23"/>
      <c r="J393" s="23"/>
      <c r="K393" s="23"/>
    </row>
    <row r="394" spans="1:11" x14ac:dyDescent="0.2">
      <c r="A394" s="321"/>
      <c r="B394" s="321"/>
      <c r="C394" s="322"/>
      <c r="D394" s="23"/>
      <c r="E394" s="23"/>
      <c r="F394" s="23"/>
      <c r="G394" s="23"/>
      <c r="H394" s="23"/>
      <c r="I394" s="23"/>
      <c r="J394" s="23"/>
      <c r="K394" s="23"/>
    </row>
    <row r="395" spans="1:11" ht="15" x14ac:dyDescent="0.2">
      <c r="A395" s="321"/>
      <c r="B395" s="246">
        <v>2011</v>
      </c>
      <c r="C395" s="249">
        <f>'res bce'!G57</f>
        <v>0.13905477115136441</v>
      </c>
      <c r="D395" s="23"/>
      <c r="E395" s="23"/>
      <c r="F395" s="23"/>
      <c r="G395" s="23"/>
      <c r="H395" s="23"/>
      <c r="I395" s="23"/>
      <c r="J395" s="23"/>
      <c r="K395" s="23"/>
    </row>
    <row r="396" spans="1:11" ht="15" x14ac:dyDescent="0.2">
      <c r="A396" s="321"/>
      <c r="B396" s="246">
        <v>2012</v>
      </c>
      <c r="C396" s="249">
        <f>'res bce'!E57</f>
        <v>9.1129054872109816E-2</v>
      </c>
      <c r="D396" s="23"/>
      <c r="E396" s="23"/>
      <c r="F396" s="23"/>
      <c r="G396" s="23"/>
      <c r="H396" s="23"/>
      <c r="I396" s="23"/>
      <c r="J396" s="23"/>
      <c r="K396" s="23"/>
    </row>
    <row r="397" spans="1:11" ht="15" x14ac:dyDescent="0.2">
      <c r="A397" s="321"/>
      <c r="B397" s="246">
        <v>2013</v>
      </c>
      <c r="C397" s="249">
        <f>'res bce'!C57</f>
        <v>0.12822558166997869</v>
      </c>
      <c r="D397" s="23"/>
      <c r="E397" s="23"/>
      <c r="F397" s="23"/>
      <c r="G397" s="23"/>
      <c r="H397" s="23"/>
      <c r="I397" s="23"/>
      <c r="J397" s="23"/>
      <c r="K397" s="23"/>
    </row>
    <row r="398" spans="1:11" ht="15" x14ac:dyDescent="0.2">
      <c r="A398" s="321"/>
      <c r="B398" s="27"/>
      <c r="C398" s="116"/>
      <c r="D398" s="23"/>
      <c r="E398" s="23"/>
      <c r="F398" s="23"/>
      <c r="G398" s="23"/>
      <c r="H398" s="23"/>
      <c r="I398" s="23"/>
      <c r="J398" s="23"/>
      <c r="K398" s="23"/>
    </row>
    <row r="399" spans="1:11" ht="15" x14ac:dyDescent="0.2">
      <c r="A399" s="321"/>
      <c r="B399" s="27"/>
      <c r="C399" s="116"/>
      <c r="D399" s="23"/>
      <c r="E399" s="23"/>
      <c r="F399" s="23"/>
      <c r="G399" s="23"/>
      <c r="H399" s="23"/>
      <c r="I399" s="23"/>
      <c r="J399" s="23"/>
      <c r="K399" s="23"/>
    </row>
    <row r="400" spans="1:11" x14ac:dyDescent="0.2">
      <c r="A400" s="321"/>
      <c r="B400" s="321"/>
      <c r="C400" s="322"/>
      <c r="D400" s="23"/>
      <c r="E400" s="23"/>
      <c r="F400" s="23"/>
      <c r="G400" s="23"/>
      <c r="H400" s="23"/>
      <c r="I400" s="23"/>
      <c r="J400" s="23"/>
      <c r="K400" s="23"/>
    </row>
    <row r="401" spans="1:11" x14ac:dyDescent="0.2">
      <c r="A401" s="321"/>
      <c r="B401" s="321"/>
      <c r="C401" s="322"/>
      <c r="D401" s="23"/>
      <c r="E401" s="23"/>
      <c r="F401" s="23"/>
      <c r="G401" s="23"/>
      <c r="H401" s="23"/>
      <c r="I401" s="23"/>
      <c r="J401" s="23"/>
      <c r="K401" s="23"/>
    </row>
    <row r="402" spans="1:11" x14ac:dyDescent="0.2">
      <c r="A402" s="321"/>
      <c r="B402" s="321"/>
      <c r="C402" s="322"/>
      <c r="D402" s="23"/>
      <c r="E402" s="23"/>
      <c r="F402" s="23"/>
      <c r="G402" s="23"/>
      <c r="H402" s="23"/>
      <c r="I402" s="23"/>
      <c r="J402" s="23"/>
      <c r="K402" s="23"/>
    </row>
    <row r="403" spans="1:11" x14ac:dyDescent="0.2">
      <c r="A403" s="321"/>
      <c r="B403" s="321"/>
      <c r="C403" s="322"/>
      <c r="D403" s="23"/>
      <c r="E403" s="23"/>
      <c r="F403" s="23"/>
      <c r="G403" s="23"/>
      <c r="H403" s="23"/>
      <c r="I403" s="23"/>
      <c r="J403" s="23"/>
      <c r="K403" s="23"/>
    </row>
    <row r="404" spans="1:11" x14ac:dyDescent="0.2">
      <c r="A404" s="321"/>
      <c r="B404" s="321"/>
      <c r="C404" s="322"/>
      <c r="D404" s="23"/>
      <c r="E404" s="23"/>
      <c r="F404" s="23"/>
      <c r="G404" s="23"/>
      <c r="H404" s="23"/>
      <c r="I404" s="23"/>
      <c r="J404" s="23"/>
      <c r="K404" s="23"/>
    </row>
    <row r="405" spans="1:11" x14ac:dyDescent="0.2">
      <c r="A405" s="321"/>
      <c r="B405" s="321"/>
      <c r="C405" s="322"/>
      <c r="D405" s="23"/>
      <c r="E405" s="23"/>
      <c r="F405" s="23"/>
      <c r="G405" s="23"/>
      <c r="H405" s="23"/>
      <c r="I405" s="23"/>
      <c r="J405" s="23"/>
      <c r="K405" s="23"/>
    </row>
    <row r="406" spans="1:11" x14ac:dyDescent="0.2">
      <c r="A406" s="321"/>
      <c r="B406" s="321"/>
      <c r="C406" s="322"/>
      <c r="D406" s="23"/>
      <c r="E406" s="23"/>
      <c r="F406" s="23"/>
      <c r="G406" s="23"/>
      <c r="H406" s="23"/>
      <c r="I406" s="23"/>
      <c r="J406" s="23"/>
      <c r="K406" s="23"/>
    </row>
    <row r="407" spans="1:11" x14ac:dyDescent="0.2">
      <c r="A407" s="254"/>
      <c r="B407" s="254"/>
      <c r="C407" s="287"/>
    </row>
    <row r="408" spans="1:11" x14ac:dyDescent="0.2">
      <c r="A408" s="254"/>
      <c r="B408" s="254"/>
      <c r="C408" s="287"/>
    </row>
    <row r="409" spans="1:11" x14ac:dyDescent="0.2">
      <c r="A409" s="254"/>
      <c r="B409" s="254"/>
      <c r="C409" s="287"/>
    </row>
    <row r="410" spans="1:11" x14ac:dyDescent="0.2">
      <c r="A410" s="254"/>
      <c r="B410" s="254"/>
      <c r="C410" s="287"/>
    </row>
    <row r="411" spans="1:11" x14ac:dyDescent="0.2">
      <c r="A411" s="254"/>
      <c r="B411" s="254"/>
      <c r="C411" s="287"/>
    </row>
    <row r="412" spans="1:11" x14ac:dyDescent="0.2">
      <c r="A412" s="254"/>
      <c r="B412" s="254"/>
      <c r="C412" s="287"/>
    </row>
    <row r="413" spans="1:11" x14ac:dyDescent="0.2">
      <c r="A413" s="254"/>
      <c r="B413" s="254"/>
      <c r="C413" s="287"/>
    </row>
    <row r="414" spans="1:11" x14ac:dyDescent="0.2">
      <c r="A414" s="254"/>
      <c r="B414" s="254"/>
      <c r="C414" s="287"/>
    </row>
    <row r="415" spans="1:11" x14ac:dyDescent="0.2">
      <c r="A415" s="254"/>
      <c r="B415" s="254"/>
      <c r="C415" s="287"/>
    </row>
    <row r="416" spans="1:11" x14ac:dyDescent="0.2">
      <c r="A416" s="254"/>
      <c r="B416" s="254"/>
      <c r="C416" s="287"/>
    </row>
    <row r="417" spans="1:7" x14ac:dyDescent="0.2">
      <c r="A417" s="254"/>
      <c r="B417" s="254"/>
      <c r="C417" s="287"/>
    </row>
    <row r="418" spans="1:7" x14ac:dyDescent="0.2">
      <c r="A418" s="254"/>
      <c r="B418" s="254"/>
      <c r="C418" s="287"/>
    </row>
    <row r="419" spans="1:7" x14ac:dyDescent="0.2">
      <c r="A419" s="254"/>
      <c r="B419" s="254"/>
      <c r="C419" s="287"/>
    </row>
    <row r="420" spans="1:7" x14ac:dyDescent="0.2">
      <c r="A420" s="254"/>
      <c r="B420" s="254"/>
      <c r="C420" s="287"/>
    </row>
    <row r="421" spans="1:7" x14ac:dyDescent="0.2">
      <c r="A421" s="254"/>
      <c r="B421" s="254"/>
      <c r="C421" s="287"/>
    </row>
    <row r="422" spans="1:7" x14ac:dyDescent="0.2">
      <c r="A422" s="254"/>
      <c r="B422" s="254"/>
      <c r="C422" s="287"/>
    </row>
    <row r="423" spans="1:7" x14ac:dyDescent="0.2">
      <c r="A423" s="254"/>
      <c r="B423" s="254"/>
      <c r="C423" s="287"/>
    </row>
    <row r="424" spans="1:7" x14ac:dyDescent="0.2">
      <c r="A424" s="254"/>
      <c r="B424" s="254"/>
      <c r="C424" s="287"/>
    </row>
    <row r="425" spans="1:7" x14ac:dyDescent="0.2">
      <c r="A425" s="254"/>
      <c r="B425" s="254"/>
      <c r="C425" s="287"/>
    </row>
    <row r="426" spans="1:7" x14ac:dyDescent="0.2">
      <c r="A426" s="254"/>
      <c r="B426" s="254"/>
      <c r="C426" s="287"/>
    </row>
    <row r="427" spans="1:7" x14ac:dyDescent="0.2">
      <c r="A427" s="254"/>
      <c r="B427" s="254"/>
      <c r="C427" s="287"/>
    </row>
    <row r="428" spans="1:7" x14ac:dyDescent="0.2">
      <c r="A428" s="254"/>
      <c r="B428" s="254"/>
      <c r="C428" s="287"/>
    </row>
    <row r="429" spans="1:7" x14ac:dyDescent="0.2">
      <c r="A429" s="254"/>
      <c r="B429" s="254"/>
      <c r="C429" s="287"/>
    </row>
    <row r="430" spans="1:7" x14ac:dyDescent="0.2">
      <c r="A430" s="254"/>
      <c r="B430" s="254"/>
      <c r="C430" s="287"/>
    </row>
    <row r="431" spans="1:7" ht="15" x14ac:dyDescent="0.2">
      <c r="A431" s="254"/>
      <c r="B431" s="254"/>
      <c r="C431" s="287"/>
      <c r="F431" s="28">
        <v>21</v>
      </c>
      <c r="G431" s="8"/>
    </row>
  </sheetData>
  <mergeCells count="1">
    <mergeCell ref="A1:K1"/>
  </mergeCells>
  <printOptions horizontalCentered="1" verticalCentered="1"/>
  <pageMargins left="0.98425196850393704" right="0.70866141732283472" top="0.94488188976377963" bottom="0.74803149606299213" header="0" footer="0.39370078740157483"/>
  <pageSetup paperSize="122" scale="65" orientation="portrait" r:id="rId1"/>
  <headerFooter alignWithMargins="0">
    <oddFooter xml:space="preserve">&amp;L&amp;"Garamond,Cursiva"&amp;14        Informe Financiero a diciembre de 2013&amp;C
</oddFooter>
    <evenFooter>&amp;L&amp;"Garamond,Cursiva"&amp;14Informe Financiero a Enero de 2013</evenFooter>
    <firstFooter>&amp;C&amp;P+7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indexed="10"/>
  </sheetPr>
  <dimension ref="A1:AD73"/>
  <sheetViews>
    <sheetView showGridLines="0" tabSelected="1" zoomScale="85" zoomScaleNormal="85" workbookViewId="0">
      <selection activeCell="E19" sqref="E19"/>
    </sheetView>
  </sheetViews>
  <sheetFormatPr baseColWidth="10" defaultRowHeight="12.75" x14ac:dyDescent="0.2"/>
  <cols>
    <col min="1" max="1" width="2.28515625" customWidth="1"/>
    <col min="2" max="2" width="4" customWidth="1"/>
    <col min="3" max="3" width="22.7109375" customWidth="1"/>
    <col min="4" max="4" width="3.5703125" style="8" customWidth="1"/>
    <col min="5" max="5" width="12.28515625" style="1" customWidth="1"/>
    <col min="6" max="6" width="4" customWidth="1"/>
    <col min="7" max="7" width="11.28515625" style="1" bestFit="1" customWidth="1"/>
    <col min="8" max="8" width="4" customWidth="1"/>
    <col min="9" max="9" width="14.42578125" customWidth="1"/>
    <col min="10" max="10" width="4" customWidth="1"/>
    <col min="11" max="11" width="15.140625" style="15" customWidth="1"/>
    <col min="12" max="12" width="8.7109375" style="151" customWidth="1"/>
    <col min="13" max="13" width="5.28515625" customWidth="1"/>
    <col min="14" max="14" width="27.28515625" customWidth="1"/>
    <col min="15" max="15" width="3" customWidth="1"/>
    <col min="16" max="16" width="4" style="8" customWidth="1"/>
    <col min="17" max="17" width="12.85546875" customWidth="1"/>
    <col min="18" max="18" width="3.28515625" customWidth="1"/>
    <col min="19" max="19" width="11.28515625" bestFit="1" customWidth="1"/>
    <col min="20" max="20" width="2.5703125" customWidth="1"/>
    <col min="21" max="21" width="12.5703125" customWidth="1"/>
    <col min="22" max="22" width="3" customWidth="1"/>
    <col min="23" max="23" width="16.42578125" style="15" customWidth="1"/>
    <col min="24" max="24" width="16.140625" style="121" customWidth="1"/>
    <col min="25" max="25" width="11.42578125" style="151"/>
    <col min="26" max="27" width="11.42578125" customWidth="1"/>
    <col min="28" max="28" width="14.7109375" customWidth="1"/>
    <col min="29" max="30" width="11.42578125" customWidth="1"/>
  </cols>
  <sheetData>
    <row r="1" spans="1:30" s="73" customFormat="1" ht="37.5" customHeight="1" x14ac:dyDescent="0.5">
      <c r="A1" s="63" t="s">
        <v>147</v>
      </c>
      <c r="B1" s="64"/>
      <c r="C1" s="64"/>
      <c r="D1" s="64"/>
      <c r="E1" s="64"/>
      <c r="F1" s="64"/>
      <c r="G1" s="64"/>
      <c r="H1" s="64"/>
      <c r="I1" s="64"/>
      <c r="J1" s="64"/>
      <c r="K1" s="111"/>
      <c r="L1" s="150"/>
      <c r="M1" s="63" t="s">
        <v>147</v>
      </c>
      <c r="N1" s="64"/>
      <c r="O1" s="64"/>
      <c r="P1" s="64"/>
      <c r="Q1" s="64"/>
      <c r="R1" s="64"/>
      <c r="S1" s="64"/>
      <c r="T1" s="64"/>
      <c r="U1" s="64"/>
      <c r="V1" s="64"/>
      <c r="W1" s="111"/>
      <c r="X1" s="122"/>
      <c r="Y1" s="150"/>
    </row>
    <row r="2" spans="1:30" ht="15.75" x14ac:dyDescent="0.25">
      <c r="A2" s="454" t="str">
        <f>Validaciones!B4</f>
        <v>A 31 de diciembre (Cifras expresadas en miles de pesos)</v>
      </c>
      <c r="B2" s="454"/>
      <c r="C2" s="454"/>
      <c r="D2" s="454"/>
      <c r="E2" s="454"/>
      <c r="F2" s="454"/>
      <c r="G2" s="454"/>
      <c r="H2" s="454"/>
      <c r="I2" s="454"/>
      <c r="J2" s="454"/>
      <c r="K2" s="454"/>
      <c r="M2" s="454" t="str">
        <f>A2</f>
        <v>A 31 de diciembre (Cifras expresadas en miles de pesos)</v>
      </c>
      <c r="N2" s="454"/>
      <c r="O2" s="454"/>
      <c r="P2" s="454"/>
      <c r="Q2" s="454"/>
      <c r="R2" s="454"/>
      <c r="S2" s="454"/>
      <c r="T2" s="454"/>
      <c r="U2" s="454"/>
      <c r="V2" s="454"/>
      <c r="W2" s="454"/>
    </row>
    <row r="3" spans="1:30" ht="13.5" x14ac:dyDescent="0.25">
      <c r="A3" s="456"/>
      <c r="B3" s="456"/>
      <c r="C3" s="456"/>
      <c r="D3" s="456"/>
      <c r="E3" s="456"/>
      <c r="F3" s="456"/>
      <c r="G3" s="456"/>
      <c r="H3" s="456"/>
      <c r="I3" s="456"/>
      <c r="J3" s="456"/>
      <c r="K3" s="456"/>
      <c r="M3" s="456"/>
      <c r="N3" s="456"/>
      <c r="O3" s="456"/>
      <c r="P3" s="456"/>
      <c r="Q3" s="456"/>
      <c r="R3" s="456"/>
      <c r="S3" s="456"/>
      <c r="T3" s="456"/>
      <c r="U3" s="456"/>
      <c r="V3" s="456"/>
      <c r="W3" s="456"/>
    </row>
    <row r="4" spans="1:30" ht="13.5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8"/>
    </row>
    <row r="5" spans="1:30" s="254" customFormat="1" ht="16.5" customHeight="1" x14ac:dyDescent="0.25">
      <c r="A5" s="74" t="s">
        <v>49</v>
      </c>
      <c r="B5" s="70"/>
      <c r="C5" s="70"/>
      <c r="D5" s="75"/>
      <c r="E5" s="455">
        <v>2013</v>
      </c>
      <c r="F5" s="76"/>
      <c r="G5" s="455">
        <v>2012</v>
      </c>
      <c r="H5" s="75"/>
      <c r="I5" s="77" t="s">
        <v>19</v>
      </c>
      <c r="J5" s="75"/>
      <c r="K5" s="74" t="s">
        <v>19</v>
      </c>
      <c r="L5" s="151"/>
      <c r="M5" s="74" t="s">
        <v>50</v>
      </c>
      <c r="N5" s="70"/>
      <c r="O5" s="70"/>
      <c r="P5" s="75"/>
      <c r="Q5" s="455">
        <f>E5</f>
        <v>2013</v>
      </c>
      <c r="R5" s="76"/>
      <c r="S5" s="455">
        <f>G5</f>
        <v>2012</v>
      </c>
      <c r="T5" s="75"/>
      <c r="U5" s="77" t="s">
        <v>19</v>
      </c>
      <c r="V5" s="75"/>
      <c r="W5" s="74" t="s">
        <v>19</v>
      </c>
      <c r="X5" s="121">
        <v>2010</v>
      </c>
      <c r="Y5" s="151"/>
    </row>
    <row r="6" spans="1:30" s="254" customFormat="1" ht="17.25" customHeight="1" x14ac:dyDescent="0.25">
      <c r="A6" s="70"/>
      <c r="B6" s="70"/>
      <c r="C6" s="70"/>
      <c r="D6" s="76"/>
      <c r="E6" s="455"/>
      <c r="F6" s="76"/>
      <c r="G6" s="455"/>
      <c r="H6" s="76"/>
      <c r="I6" s="78" t="s">
        <v>20</v>
      </c>
      <c r="J6" s="79"/>
      <c r="K6" s="80" t="s">
        <v>21</v>
      </c>
      <c r="L6" s="151"/>
      <c r="M6" s="70"/>
      <c r="N6" s="70"/>
      <c r="O6" s="70"/>
      <c r="P6" s="76"/>
      <c r="Q6" s="455"/>
      <c r="R6" s="76"/>
      <c r="S6" s="455"/>
      <c r="T6" s="76"/>
      <c r="U6" s="78" t="s">
        <v>20</v>
      </c>
      <c r="V6" s="79"/>
      <c r="W6" s="80" t="s">
        <v>21</v>
      </c>
      <c r="X6" s="121"/>
      <c r="Y6" s="151"/>
    </row>
    <row r="7" spans="1:30" s="254" customFormat="1" x14ac:dyDescent="0.2">
      <c r="D7" s="287"/>
      <c r="E7" s="257"/>
      <c r="G7" s="257"/>
      <c r="K7" s="49"/>
      <c r="L7" s="151"/>
      <c r="P7" s="287"/>
      <c r="W7" s="49"/>
      <c r="X7" s="121"/>
      <c r="Y7" s="151"/>
    </row>
    <row r="8" spans="1:30" s="254" customFormat="1" x14ac:dyDescent="0.2">
      <c r="D8" s="287"/>
      <c r="E8" s="257"/>
      <c r="G8" s="257"/>
      <c r="K8" s="49"/>
      <c r="L8" s="151"/>
      <c r="P8" s="287"/>
      <c r="Q8" s="257"/>
      <c r="W8" s="49"/>
      <c r="X8" s="121"/>
      <c r="Y8" s="151"/>
    </row>
    <row r="9" spans="1:30" s="254" customFormat="1" x14ac:dyDescent="0.2">
      <c r="A9" s="6" t="str">
        <f>'notas bce prueba1'!G7</f>
        <v xml:space="preserve">Activo corriente: </v>
      </c>
      <c r="D9" s="287"/>
      <c r="E9" s="257"/>
      <c r="G9" s="257"/>
      <c r="K9" s="49"/>
      <c r="L9" s="151"/>
      <c r="M9" s="6" t="str">
        <f>'notas bce prueba1'!N7</f>
        <v xml:space="preserve">Pasivo corriente: </v>
      </c>
      <c r="P9" s="287"/>
      <c r="W9" s="49"/>
      <c r="X9" s="121"/>
      <c r="Y9" s="151"/>
    </row>
    <row r="10" spans="1:30" s="254" customFormat="1" x14ac:dyDescent="0.2">
      <c r="A10" s="6"/>
      <c r="D10" s="287"/>
      <c r="E10" s="257"/>
      <c r="G10" s="257"/>
      <c r="I10" s="288"/>
      <c r="K10" s="49"/>
      <c r="L10" s="151"/>
      <c r="P10" s="287"/>
      <c r="W10" s="49"/>
      <c r="X10" s="121"/>
      <c r="Y10" s="151"/>
    </row>
    <row r="11" spans="1:30" s="254" customFormat="1" x14ac:dyDescent="0.2">
      <c r="A11" s="6"/>
      <c r="D11" s="287"/>
      <c r="E11" s="257"/>
      <c r="G11" s="257"/>
      <c r="I11" s="288"/>
      <c r="K11" s="49"/>
      <c r="L11" s="151"/>
      <c r="N11" s="36" t="str">
        <f>'notas bce prueba1'!O8</f>
        <v xml:space="preserve">Obligaciones financieras </v>
      </c>
      <c r="O11" s="36"/>
      <c r="P11" s="54">
        <v>11</v>
      </c>
      <c r="Q11" s="203">
        <f>'notas bce prueba1'!Q8</f>
        <v>2028078</v>
      </c>
      <c r="R11" s="203"/>
      <c r="S11" s="203">
        <f>'notas bce prueba1'!R8</f>
        <v>5950000</v>
      </c>
      <c r="T11" s="203"/>
      <c r="U11" s="203">
        <f t="shared" ref="U11:U16" si="0">Q11-S11</f>
        <v>-3921922</v>
      </c>
      <c r="V11" s="36"/>
      <c r="W11" s="52">
        <f t="shared" ref="W11:W16" si="1">IF((S11&lt;&gt;0),(U11/S11),1)</f>
        <v>-0.65914655462184879</v>
      </c>
      <c r="Y11" s="289"/>
      <c r="AA11" s="290"/>
      <c r="AC11" s="257"/>
      <c r="AD11" s="290"/>
    </row>
    <row r="12" spans="1:30" s="254" customFormat="1" x14ac:dyDescent="0.2">
      <c r="A12" s="6"/>
      <c r="D12" s="287"/>
      <c r="E12" s="257"/>
      <c r="G12" s="257"/>
      <c r="K12" s="49"/>
      <c r="L12" s="151"/>
      <c r="N12" s="36" t="str">
        <f>'notas bce prueba1'!O9</f>
        <v xml:space="preserve">Proveedores nacionales </v>
      </c>
      <c r="O12" s="36"/>
      <c r="P12" s="54"/>
      <c r="Q12" s="203">
        <f>'notas bce prueba1'!Q9</f>
        <v>4069096</v>
      </c>
      <c r="R12" s="203"/>
      <c r="S12" s="203">
        <f>'notas bce prueba1'!R9</f>
        <v>2545153</v>
      </c>
      <c r="T12" s="203"/>
      <c r="U12" s="203">
        <f t="shared" si="0"/>
        <v>1523943</v>
      </c>
      <c r="V12" s="36"/>
      <c r="W12" s="52">
        <f t="shared" si="1"/>
        <v>0.5987628248675031</v>
      </c>
      <c r="Y12" s="289"/>
      <c r="AA12" s="290"/>
      <c r="AC12" s="257"/>
      <c r="AD12" s="290"/>
    </row>
    <row r="13" spans="1:30" s="254" customFormat="1" x14ac:dyDescent="0.2">
      <c r="B13" s="36" t="str">
        <f>'notas bce prueba1'!H8</f>
        <v xml:space="preserve">Disponible </v>
      </c>
      <c r="C13" s="36"/>
      <c r="D13" s="54">
        <v>3</v>
      </c>
      <c r="E13" s="342">
        <f>notas!D14</f>
        <v>45228345</v>
      </c>
      <c r="F13" s="203"/>
      <c r="G13" s="203">
        <f>notas!F14</f>
        <v>3735005</v>
      </c>
      <c r="H13" s="203"/>
      <c r="I13" s="203">
        <f>E13-G13</f>
        <v>41493340</v>
      </c>
      <c r="J13" s="36"/>
      <c r="K13" s="52">
        <f>IF((G13&lt;&gt;0),(I13/G13),1)</f>
        <v>11.109313106675895</v>
      </c>
      <c r="L13" s="291"/>
      <c r="N13" s="36" t="str">
        <f>'notas bce prueba1'!O10</f>
        <v xml:space="preserve">Cuentas por pagar </v>
      </c>
      <c r="O13" s="36"/>
      <c r="P13" s="54">
        <v>12</v>
      </c>
      <c r="Q13" s="203">
        <f>+notas!D245</f>
        <v>9173070</v>
      </c>
      <c r="R13" s="203"/>
      <c r="S13" s="203">
        <f>notas!F245</f>
        <v>8043335</v>
      </c>
      <c r="T13" s="203"/>
      <c r="U13" s="203">
        <f t="shared" si="0"/>
        <v>1129735</v>
      </c>
      <c r="V13" s="36"/>
      <c r="W13" s="52">
        <f t="shared" si="1"/>
        <v>0.14045604217653498</v>
      </c>
      <c r="Y13" s="289"/>
      <c r="AA13" s="290"/>
      <c r="AC13" s="257"/>
      <c r="AD13" s="290"/>
    </row>
    <row r="14" spans="1:30" s="254" customFormat="1" x14ac:dyDescent="0.2">
      <c r="B14" s="36" t="str">
        <f>'notas bce prueba1'!H9</f>
        <v xml:space="preserve">Inversiones </v>
      </c>
      <c r="C14" s="36"/>
      <c r="D14" s="54">
        <v>4</v>
      </c>
      <c r="E14" s="203">
        <f>'notas bce prueba1'!K9-E28</f>
        <v>27768174</v>
      </c>
      <c r="F14" s="203"/>
      <c r="G14" s="203">
        <f>'notas bce prueba1'!L9-G28</f>
        <v>29227470</v>
      </c>
      <c r="H14" s="203"/>
      <c r="I14" s="203">
        <f>E14-G14</f>
        <v>-1459296</v>
      </c>
      <c r="J14" s="36"/>
      <c r="K14" s="52">
        <f>IF((G14&lt;&gt;0),(I14/G14),1)</f>
        <v>-4.9928919608847433E-2</v>
      </c>
      <c r="L14" s="291"/>
      <c r="N14" s="36" t="str">
        <f>'notas bce prueba1'!O11</f>
        <v xml:space="preserve">Obligaciones laborales </v>
      </c>
      <c r="O14" s="36"/>
      <c r="P14" s="54">
        <v>13</v>
      </c>
      <c r="Q14" s="203">
        <f>notas!D257</f>
        <v>4125597</v>
      </c>
      <c r="R14" s="203"/>
      <c r="S14" s="203">
        <f>'notas bce prueba1'!R11</f>
        <v>3669772</v>
      </c>
      <c r="T14" s="203"/>
      <c r="U14" s="203">
        <f t="shared" si="0"/>
        <v>455825</v>
      </c>
      <c r="V14" s="36"/>
      <c r="W14" s="52">
        <f t="shared" si="1"/>
        <v>0.124210713908112</v>
      </c>
      <c r="Y14" s="289"/>
      <c r="AA14" s="290"/>
      <c r="AC14" s="257"/>
      <c r="AD14" s="290"/>
    </row>
    <row r="15" spans="1:30" s="254" customFormat="1" x14ac:dyDescent="0.2">
      <c r="B15" s="36" t="str">
        <f>'notas bce prueba1'!H10</f>
        <v xml:space="preserve">Deudores </v>
      </c>
      <c r="C15" s="36"/>
      <c r="D15" s="54">
        <v>5</v>
      </c>
      <c r="E15" s="203">
        <f>+notas!D104</f>
        <v>71215801</v>
      </c>
      <c r="F15" s="203"/>
      <c r="G15" s="203">
        <f>notas!F104</f>
        <v>65301719</v>
      </c>
      <c r="H15" s="203"/>
      <c r="I15" s="203">
        <f>E15-G15</f>
        <v>5914082</v>
      </c>
      <c r="J15" s="36"/>
      <c r="K15" s="52">
        <f>IF((G15&lt;&gt;0),(I15/G15),1)</f>
        <v>9.0565487257693783E-2</v>
      </c>
      <c r="L15" s="291"/>
      <c r="N15" s="36" t="str">
        <f>'notas bce prueba1'!O12</f>
        <v xml:space="preserve">Diferidos </v>
      </c>
      <c r="O15" s="36"/>
      <c r="P15" s="54">
        <v>14</v>
      </c>
      <c r="Q15" s="203">
        <f>notas!D271</f>
        <v>21010459</v>
      </c>
      <c r="R15" s="203"/>
      <c r="S15" s="203">
        <f>notas!F271</f>
        <v>4919727</v>
      </c>
      <c r="T15" s="203"/>
      <c r="U15" s="203">
        <f t="shared" si="0"/>
        <v>16090732</v>
      </c>
      <c r="V15" s="36"/>
      <c r="W15" s="52">
        <f t="shared" si="1"/>
        <v>3.2706554652321156</v>
      </c>
      <c r="Y15" s="289"/>
      <c r="AA15" s="290"/>
      <c r="AC15" s="257"/>
      <c r="AD15" s="290"/>
    </row>
    <row r="16" spans="1:30" s="254" customFormat="1" x14ac:dyDescent="0.2">
      <c r="B16" s="36" t="str">
        <f>'notas bce prueba1'!H11</f>
        <v xml:space="preserve">Inventarios </v>
      </c>
      <c r="C16" s="36"/>
      <c r="D16" s="54"/>
      <c r="E16" s="434">
        <f>'notas bce prueba1'!K11</f>
        <v>1630428</v>
      </c>
      <c r="F16" s="203"/>
      <c r="G16" s="203">
        <f>'notas bce prueba1'!L11</f>
        <v>1239967</v>
      </c>
      <c r="H16" s="203"/>
      <c r="I16" s="203">
        <f>E16-G16</f>
        <v>390461</v>
      </c>
      <c r="J16" s="36"/>
      <c r="K16" s="52">
        <f>IF((G16&lt;&gt;0),(I16/G16),1)</f>
        <v>0.31489628353012622</v>
      </c>
      <c r="L16" s="291"/>
      <c r="N16" s="36" t="str">
        <f>'notas bce prueba1'!O13</f>
        <v xml:space="preserve">Pasivos estimados y provisiones </v>
      </c>
      <c r="O16" s="36"/>
      <c r="P16" s="54"/>
      <c r="Q16" s="203">
        <f>'notas bce prueba1'!Q13</f>
        <v>1385862</v>
      </c>
      <c r="R16" s="203"/>
      <c r="S16" s="203">
        <f>'notas bce prueba1'!R13</f>
        <v>824907</v>
      </c>
      <c r="T16" s="203"/>
      <c r="U16" s="203">
        <f t="shared" si="0"/>
        <v>560955</v>
      </c>
      <c r="V16" s="36"/>
      <c r="W16" s="52">
        <f t="shared" si="1"/>
        <v>0.68002211158348758</v>
      </c>
      <c r="Y16" s="289"/>
      <c r="AA16" s="290"/>
      <c r="AC16" s="257"/>
      <c r="AD16" s="290"/>
    </row>
    <row r="17" spans="1:30" s="254" customFormat="1" x14ac:dyDescent="0.2">
      <c r="B17" s="36" t="str">
        <f>'notas bce prueba1'!H12</f>
        <v xml:space="preserve">Gastos pagados por anticipado </v>
      </c>
      <c r="C17" s="36"/>
      <c r="D17" s="54">
        <v>6</v>
      </c>
      <c r="E17" s="203">
        <f>notas!D130</f>
        <v>709599</v>
      </c>
      <c r="F17" s="203"/>
      <c r="G17" s="203">
        <f>notas!F130</f>
        <v>759220</v>
      </c>
      <c r="H17" s="203"/>
      <c r="I17" s="203">
        <f>E17-G17</f>
        <v>-49621</v>
      </c>
      <c r="J17" s="36"/>
      <c r="K17" s="52">
        <f>IF((G17&lt;&gt;0),(I17/G17),1)</f>
        <v>-6.5357867284844967E-2</v>
      </c>
      <c r="L17" s="291"/>
      <c r="P17" s="287"/>
      <c r="Q17" s="204"/>
      <c r="R17" s="204"/>
      <c r="S17" s="204"/>
      <c r="T17" s="204"/>
      <c r="U17" s="204"/>
      <c r="W17" s="49"/>
      <c r="Y17" s="289"/>
      <c r="AA17" s="290"/>
      <c r="AC17" s="257"/>
      <c r="AD17" s="290"/>
    </row>
    <row r="18" spans="1:30" s="254" customFormat="1" x14ac:dyDescent="0.2">
      <c r="D18" s="287"/>
      <c r="E18" s="204"/>
      <c r="F18" s="204"/>
      <c r="G18" s="204"/>
      <c r="H18" s="204"/>
      <c r="I18" s="206"/>
      <c r="K18" s="53"/>
      <c r="L18" s="291"/>
      <c r="P18" s="287"/>
      <c r="Q18" s="204"/>
      <c r="R18" s="204"/>
      <c r="S18" s="204"/>
      <c r="T18" s="204"/>
      <c r="U18" s="204"/>
      <c r="W18" s="49"/>
      <c r="Y18" s="289"/>
      <c r="AA18" s="290"/>
      <c r="AC18" s="257"/>
      <c r="AD18" s="290"/>
    </row>
    <row r="19" spans="1:30" s="254" customFormat="1" x14ac:dyDescent="0.2">
      <c r="A19" s="3" t="str">
        <f>'notas bce prueba1'!F14</f>
        <v xml:space="preserve">Total activo corriente </v>
      </c>
      <c r="B19" s="3"/>
      <c r="C19" s="3"/>
      <c r="D19" s="10"/>
      <c r="E19" s="435">
        <f>SUM(E13:E18)</f>
        <v>146552347</v>
      </c>
      <c r="F19" s="197"/>
      <c r="G19" s="197">
        <f>SUM(G13:G18)</f>
        <v>100263381</v>
      </c>
      <c r="H19" s="197"/>
      <c r="I19" s="197">
        <f>SUM(I13:I18)</f>
        <v>46288966</v>
      </c>
      <c r="J19" s="3"/>
      <c r="K19" s="14">
        <f>IF((G19&lt;&gt;0),(I19/G19),1)</f>
        <v>0.46167369919432499</v>
      </c>
      <c r="L19" s="291"/>
      <c r="M19" s="3" t="str">
        <f>'notas bce prueba1'!N16</f>
        <v>Total pasivo corriente</v>
      </c>
      <c r="N19" s="3"/>
      <c r="O19" s="3"/>
      <c r="P19" s="10"/>
      <c r="Q19" s="197">
        <f>SUM(Q11:Q17)</f>
        <v>41792162</v>
      </c>
      <c r="R19" s="197"/>
      <c r="S19" s="197">
        <f>SUM(S11:S17)</f>
        <v>25952894</v>
      </c>
      <c r="T19" s="197"/>
      <c r="U19" s="197">
        <f>SUM(U11:U16)</f>
        <v>15839268</v>
      </c>
      <c r="V19" s="2"/>
      <c r="W19" s="14">
        <f>IF((S19&lt;&gt;0),(U19/S19),1)</f>
        <v>0.61030835328037014</v>
      </c>
      <c r="Y19" s="289"/>
      <c r="AA19" s="290"/>
      <c r="AC19" s="257"/>
      <c r="AD19" s="290"/>
    </row>
    <row r="20" spans="1:30" s="254" customFormat="1" x14ac:dyDescent="0.2">
      <c r="A20" s="12"/>
      <c r="B20" s="12"/>
      <c r="C20" s="12"/>
      <c r="D20" s="47"/>
      <c r="E20" s="198"/>
      <c r="F20" s="198"/>
      <c r="G20" s="198"/>
      <c r="H20" s="198"/>
      <c r="I20" s="205"/>
      <c r="J20" s="12"/>
      <c r="K20" s="50"/>
      <c r="L20" s="291"/>
      <c r="P20" s="287"/>
      <c r="Q20" s="204"/>
      <c r="R20" s="204"/>
      <c r="S20" s="204"/>
      <c r="T20" s="204"/>
      <c r="U20" s="204"/>
      <c r="W20" s="49"/>
      <c r="Y20" s="289"/>
      <c r="AA20" s="290"/>
      <c r="AC20" s="257"/>
      <c r="AD20" s="290"/>
    </row>
    <row r="21" spans="1:30" s="254" customFormat="1" x14ac:dyDescent="0.2">
      <c r="A21" s="12"/>
      <c r="B21" s="12"/>
      <c r="C21" s="12"/>
      <c r="D21" s="47"/>
      <c r="E21" s="198"/>
      <c r="F21" s="198"/>
      <c r="G21" s="198"/>
      <c r="H21" s="198"/>
      <c r="I21" s="205"/>
      <c r="J21" s="12"/>
      <c r="K21" s="50"/>
      <c r="L21" s="291"/>
      <c r="P21" s="287"/>
      <c r="Q21" s="204"/>
      <c r="R21" s="204"/>
      <c r="S21" s="204"/>
      <c r="T21" s="204"/>
      <c r="U21" s="204"/>
      <c r="W21" s="49"/>
      <c r="Y21" s="289"/>
      <c r="AA21" s="290"/>
      <c r="AC21" s="257"/>
      <c r="AD21" s="290"/>
    </row>
    <row r="22" spans="1:30" s="254" customFormat="1" x14ac:dyDescent="0.2">
      <c r="A22" s="12"/>
      <c r="B22" s="12"/>
      <c r="C22" s="12"/>
      <c r="D22" s="47"/>
      <c r="E22" s="198"/>
      <c r="F22" s="198"/>
      <c r="G22" s="198"/>
      <c r="H22" s="198"/>
      <c r="I22" s="402"/>
      <c r="J22" s="403"/>
      <c r="K22" s="404"/>
      <c r="L22" s="401"/>
      <c r="M22" s="409" t="str">
        <f>'notas bce prueba1'!N18</f>
        <v xml:space="preserve">Pasivo no corriente </v>
      </c>
      <c r="N22" s="243"/>
      <c r="O22" s="243"/>
      <c r="P22" s="405"/>
      <c r="Q22" s="366"/>
      <c r="R22" s="366"/>
      <c r="S22" s="366"/>
      <c r="T22" s="366"/>
      <c r="U22" s="366"/>
      <c r="W22" s="49"/>
      <c r="Y22" s="289"/>
      <c r="AA22" s="290"/>
      <c r="AC22" s="257"/>
      <c r="AD22" s="290"/>
    </row>
    <row r="23" spans="1:30" s="254" customFormat="1" x14ac:dyDescent="0.2">
      <c r="A23" s="12"/>
      <c r="B23" s="12"/>
      <c r="C23" s="12"/>
      <c r="D23" s="47"/>
      <c r="E23" s="198"/>
      <c r="F23" s="198"/>
      <c r="G23" s="198"/>
      <c r="H23" s="198"/>
      <c r="I23" s="402"/>
      <c r="J23" s="403"/>
      <c r="K23" s="404"/>
      <c r="L23" s="401"/>
      <c r="M23" s="243"/>
      <c r="N23" s="243"/>
      <c r="O23" s="243"/>
      <c r="P23" s="405"/>
      <c r="Q23" s="366"/>
      <c r="R23" s="366"/>
      <c r="S23" s="366"/>
      <c r="T23" s="366"/>
      <c r="U23" s="366"/>
      <c r="V23" s="243"/>
      <c r="W23" s="49"/>
      <c r="Y23" s="289"/>
      <c r="AA23" s="290"/>
      <c r="AC23" s="257"/>
      <c r="AD23" s="290"/>
    </row>
    <row r="24" spans="1:30" s="254" customFormat="1" x14ac:dyDescent="0.2">
      <c r="A24" s="6" t="str">
        <f>'notas bce prueba1'!G16</f>
        <v xml:space="preserve">Activo no corriente: </v>
      </c>
      <c r="D24" s="287"/>
      <c r="E24" s="204"/>
      <c r="F24" s="204"/>
      <c r="G24" s="198"/>
      <c r="H24" s="204"/>
      <c r="I24" s="402"/>
      <c r="J24" s="243"/>
      <c r="K24" s="406"/>
      <c r="L24" s="401"/>
      <c r="M24" s="243"/>
      <c r="N24" s="407" t="str">
        <f>'notas bce prueba1'!O19</f>
        <v xml:space="preserve">Obligaciones financieras </v>
      </c>
      <c r="O24" s="407"/>
      <c r="P24" s="408">
        <v>11</v>
      </c>
      <c r="Q24" s="342">
        <f>'notas bce prueba1'!Q19</f>
        <v>4871</v>
      </c>
      <c r="R24" s="342"/>
      <c r="S24" s="342">
        <f>notas!F230</f>
        <v>5514372</v>
      </c>
      <c r="T24" s="342"/>
      <c r="U24" s="342">
        <f>Q24-S24</f>
        <v>-5509501</v>
      </c>
      <c r="V24" s="407"/>
      <c r="W24" s="52">
        <f>IF((S24&lt;&gt;0),(U24/S24),1)</f>
        <v>-0.99911667185311404</v>
      </c>
      <c r="Y24" s="289"/>
      <c r="AA24" s="290"/>
      <c r="AC24" s="257"/>
      <c r="AD24" s="290"/>
    </row>
    <row r="25" spans="1:30" s="254" customFormat="1" x14ac:dyDescent="0.2">
      <c r="A25" s="6"/>
      <c r="D25" s="287"/>
      <c r="E25" s="204"/>
      <c r="F25" s="204"/>
      <c r="G25" s="198"/>
      <c r="H25" s="204"/>
      <c r="I25" s="402"/>
      <c r="J25" s="243"/>
      <c r="K25" s="406"/>
      <c r="L25" s="401"/>
      <c r="M25" s="243"/>
      <c r="N25" s="407" t="str">
        <f>'notas bce prueba1'!O20</f>
        <v xml:space="preserve">Otros pasivos </v>
      </c>
      <c r="O25" s="407"/>
      <c r="P25" s="408">
        <v>15</v>
      </c>
      <c r="Q25" s="342">
        <f>notas!D293</f>
        <v>81789866</v>
      </c>
      <c r="R25" s="342"/>
      <c r="S25" s="342">
        <f>notas!F293</f>
        <v>70894628</v>
      </c>
      <c r="T25" s="342"/>
      <c r="U25" s="342">
        <f>Q25-S25</f>
        <v>10895238</v>
      </c>
      <c r="V25" s="407"/>
      <c r="W25" s="52">
        <f>IF((S25&lt;&gt;0),(U25/S25),1)</f>
        <v>0.1536821379470388</v>
      </c>
      <c r="Y25" s="289"/>
      <c r="AA25" s="290"/>
      <c r="AC25" s="257"/>
      <c r="AD25" s="290"/>
    </row>
    <row r="26" spans="1:30" s="254" customFormat="1" x14ac:dyDescent="0.2">
      <c r="A26" s="6"/>
      <c r="D26" s="287"/>
      <c r="E26" s="204"/>
      <c r="F26" s="204"/>
      <c r="G26" s="204"/>
      <c r="H26" s="204"/>
      <c r="I26" s="366"/>
      <c r="J26" s="243"/>
      <c r="K26" s="406"/>
      <c r="L26" s="401"/>
      <c r="M26" s="409"/>
      <c r="N26" s="243"/>
      <c r="O26" s="243"/>
      <c r="P26" s="405"/>
      <c r="Q26" s="366"/>
      <c r="R26" s="366"/>
      <c r="S26" s="366"/>
      <c r="T26" s="366"/>
      <c r="U26" s="402"/>
      <c r="V26" s="298"/>
      <c r="W26" s="50"/>
      <c r="Y26" s="289"/>
      <c r="AA26" s="290"/>
      <c r="AC26" s="257"/>
      <c r="AD26" s="290"/>
    </row>
    <row r="27" spans="1:30" s="254" customFormat="1" x14ac:dyDescent="0.2">
      <c r="B27" s="36" t="str">
        <f>'notas bce prueba1'!H17</f>
        <v>Propiedad, planta y equipo</v>
      </c>
      <c r="C27" s="36"/>
      <c r="D27" s="54">
        <v>7</v>
      </c>
      <c r="E27" s="446">
        <f>notas!D152</f>
        <v>137956712</v>
      </c>
      <c r="F27" s="203"/>
      <c r="G27" s="203">
        <f>notas!F152</f>
        <v>141203834</v>
      </c>
      <c r="H27" s="203"/>
      <c r="I27" s="342">
        <f t="shared" ref="I27:I33" si="2">E27-G27</f>
        <v>-3247122</v>
      </c>
      <c r="J27" s="407"/>
      <c r="K27" s="410">
        <f t="shared" ref="K27:K33" si="3">IF((G27&lt;&gt;0),(I27/G27),1)</f>
        <v>-2.2995990321339293E-2</v>
      </c>
      <c r="L27" s="401"/>
      <c r="M27" s="411" t="str">
        <f>'notas bce prueba1'!N24</f>
        <v xml:space="preserve">Total pasivo no corriente </v>
      </c>
      <c r="N27" s="411"/>
      <c r="O27" s="411"/>
      <c r="P27" s="412"/>
      <c r="Q27" s="367">
        <f>SUM(Q24:Q26)</f>
        <v>81794737</v>
      </c>
      <c r="R27" s="367"/>
      <c r="S27" s="367">
        <f>SUM(S24:S26)</f>
        <v>76409000</v>
      </c>
      <c r="T27" s="367"/>
      <c r="U27" s="367">
        <f>SUM(U24:U26)</f>
        <v>5385737</v>
      </c>
      <c r="V27" s="411"/>
      <c r="W27" s="14">
        <f>IF((S27&lt;&gt;0),(U27/S27),1)</f>
        <v>7.0485636508788238E-2</v>
      </c>
      <c r="Y27" s="289"/>
      <c r="AA27" s="290"/>
      <c r="AC27" s="257"/>
      <c r="AD27" s="290"/>
    </row>
    <row r="28" spans="1:30" s="254" customFormat="1" x14ac:dyDescent="0.2">
      <c r="B28" s="36" t="str">
        <f>'notas bce prueba1'!H18</f>
        <v xml:space="preserve">Inversiones </v>
      </c>
      <c r="C28" s="36"/>
      <c r="D28" s="54">
        <v>4</v>
      </c>
      <c r="E28" s="203">
        <f>Validaciones!B6</f>
        <v>213514</v>
      </c>
      <c r="F28" s="203"/>
      <c r="G28" s="203">
        <f>Validaciones!C6</f>
        <v>490614</v>
      </c>
      <c r="H28" s="203"/>
      <c r="I28" s="342">
        <f t="shared" si="2"/>
        <v>-277100</v>
      </c>
      <c r="J28" s="407"/>
      <c r="K28" s="410">
        <f t="shared" si="3"/>
        <v>-0.56480247200446787</v>
      </c>
      <c r="L28" s="401"/>
      <c r="M28" s="409"/>
      <c r="N28" s="243"/>
      <c r="O28" s="243"/>
      <c r="P28" s="405"/>
      <c r="Q28" s="366"/>
      <c r="R28" s="366"/>
      <c r="S28" s="366"/>
      <c r="T28" s="366"/>
      <c r="U28" s="366"/>
      <c r="V28" s="243"/>
      <c r="W28" s="49"/>
      <c r="Y28" s="289"/>
      <c r="AA28" s="290"/>
      <c r="AC28" s="257"/>
      <c r="AD28" s="290"/>
    </row>
    <row r="29" spans="1:30" s="254" customFormat="1" ht="13.5" customHeight="1" x14ac:dyDescent="0.2">
      <c r="B29" s="36" t="str">
        <f>'notas bce prueba1'!H19</f>
        <v xml:space="preserve">Deudores varios </v>
      </c>
      <c r="C29" s="36"/>
      <c r="D29" s="54">
        <v>5</v>
      </c>
      <c r="E29" s="203">
        <f>notas!D118</f>
        <v>162916</v>
      </c>
      <c r="F29" s="203"/>
      <c r="G29" s="203">
        <f>notas!F118</f>
        <v>7172162</v>
      </c>
      <c r="H29" s="203"/>
      <c r="I29" s="342">
        <f t="shared" si="2"/>
        <v>-7009246</v>
      </c>
      <c r="J29" s="407"/>
      <c r="K29" s="410">
        <f t="shared" si="3"/>
        <v>-0.97728495257078685</v>
      </c>
      <c r="L29" s="401"/>
      <c r="M29" s="411" t="str">
        <f>'notas bce prueba1'!N27</f>
        <v>Total pasivo</v>
      </c>
      <c r="N29" s="411"/>
      <c r="O29" s="411"/>
      <c r="P29" s="412"/>
      <c r="Q29" s="367">
        <f>Q19+Q27</f>
        <v>123586899</v>
      </c>
      <c r="R29" s="367"/>
      <c r="S29" s="367">
        <f>S19+S27</f>
        <v>102361894</v>
      </c>
      <c r="T29" s="367"/>
      <c r="U29" s="367">
        <f>U19+U27</f>
        <v>21225005</v>
      </c>
      <c r="V29" s="413"/>
      <c r="W29" s="14">
        <f>IF((S29&lt;&gt;0),(U29/S29),1)</f>
        <v>0.20735260134987343</v>
      </c>
      <c r="Y29" s="289"/>
      <c r="AA29" s="290"/>
      <c r="AC29" s="257"/>
      <c r="AD29" s="290"/>
    </row>
    <row r="30" spans="1:30" s="254" customFormat="1" x14ac:dyDescent="0.2">
      <c r="B30" s="36" t="str">
        <f>'notas bce prueba1'!H20</f>
        <v xml:space="preserve">Cargos diferidos </v>
      </c>
      <c r="C30" s="36"/>
      <c r="D30" s="54">
        <v>8</v>
      </c>
      <c r="E30" s="203">
        <f>notas!D172</f>
        <v>2463791</v>
      </c>
      <c r="F30" s="203"/>
      <c r="G30" s="203">
        <f>notas!F172</f>
        <v>1730509</v>
      </c>
      <c r="H30" s="203"/>
      <c r="I30" s="342">
        <f t="shared" si="2"/>
        <v>733282</v>
      </c>
      <c r="J30" s="407"/>
      <c r="K30" s="410">
        <f t="shared" si="3"/>
        <v>0.42373775577012313</v>
      </c>
      <c r="L30" s="401"/>
      <c r="M30" s="243"/>
      <c r="N30" s="243"/>
      <c r="O30" s="243"/>
      <c r="P30" s="405"/>
      <c r="Q30" s="414"/>
      <c r="R30" s="414"/>
      <c r="S30" s="414"/>
      <c r="T30" s="414"/>
      <c r="U30" s="414"/>
      <c r="V30" s="243"/>
      <c r="W30" s="49"/>
      <c r="Y30" s="289"/>
      <c r="AA30" s="290"/>
      <c r="AC30" s="257"/>
      <c r="AD30" s="290"/>
    </row>
    <row r="31" spans="1:30" s="254" customFormat="1" ht="15.75" x14ac:dyDescent="0.25">
      <c r="B31" s="36" t="str">
        <f>'notas bce prueba1'!H21</f>
        <v>Intangibles</v>
      </c>
      <c r="C31" s="36"/>
      <c r="D31" s="54">
        <v>9</v>
      </c>
      <c r="E31" s="203">
        <f>'notas bce prueba1'!K21</f>
        <v>895877</v>
      </c>
      <c r="F31" s="203"/>
      <c r="G31" s="203">
        <f>'notas bce prueba1'!L21</f>
        <v>107734</v>
      </c>
      <c r="H31" s="203"/>
      <c r="I31" s="203">
        <f t="shared" si="2"/>
        <v>788143</v>
      </c>
      <c r="J31" s="36"/>
      <c r="K31" s="52">
        <f t="shared" si="3"/>
        <v>7.3156385170883844</v>
      </c>
      <c r="L31" s="291"/>
      <c r="M31" s="74" t="s">
        <v>51</v>
      </c>
      <c r="N31" s="70"/>
      <c r="O31" s="70"/>
      <c r="P31" s="75"/>
      <c r="Q31" s="455">
        <f>E5</f>
        <v>2013</v>
      </c>
      <c r="R31" s="76"/>
      <c r="S31" s="455">
        <f>G5</f>
        <v>2012</v>
      </c>
      <c r="T31" s="200"/>
      <c r="U31" s="201" t="s">
        <v>19</v>
      </c>
      <c r="V31" s="75"/>
      <c r="W31" s="74" t="s">
        <v>19</v>
      </c>
      <c r="Y31" s="289"/>
      <c r="AA31" s="290"/>
      <c r="AC31" s="257"/>
      <c r="AD31" s="290"/>
    </row>
    <row r="32" spans="1:30" s="254" customFormat="1" ht="13.5" customHeight="1" x14ac:dyDescent="0.25">
      <c r="B32" s="36" t="str">
        <f>'notas bce prueba1'!H22</f>
        <v xml:space="preserve">Obras de arte </v>
      </c>
      <c r="C32" s="36"/>
      <c r="D32" s="54"/>
      <c r="E32" s="203">
        <f>'notas bce prueba1'!K22</f>
        <v>433862</v>
      </c>
      <c r="F32" s="203"/>
      <c r="G32" s="203">
        <f>'notas bce prueba1'!L22</f>
        <v>433862</v>
      </c>
      <c r="H32" s="203"/>
      <c r="I32" s="203">
        <f t="shared" si="2"/>
        <v>0</v>
      </c>
      <c r="J32" s="36"/>
      <c r="K32" s="52">
        <f t="shared" si="3"/>
        <v>0</v>
      </c>
      <c r="L32" s="291"/>
      <c r="M32" s="70"/>
      <c r="N32" s="70"/>
      <c r="O32" s="70"/>
      <c r="P32" s="76"/>
      <c r="Q32" s="455"/>
      <c r="R32" s="76"/>
      <c r="S32" s="455"/>
      <c r="T32" s="199"/>
      <c r="U32" s="200" t="s">
        <v>20</v>
      </c>
      <c r="V32" s="79"/>
      <c r="W32" s="80" t="s">
        <v>21</v>
      </c>
      <c r="Y32" s="289"/>
      <c r="AA32" s="290"/>
      <c r="AC32" s="257"/>
      <c r="AD32" s="290"/>
    </row>
    <row r="33" spans="1:30" s="254" customFormat="1" x14ac:dyDescent="0.2">
      <c r="B33" s="36" t="str">
        <f>'notas bce prueba1'!H23</f>
        <v xml:space="preserve">Valorizaciones </v>
      </c>
      <c r="C33" s="36"/>
      <c r="D33" s="54">
        <v>10</v>
      </c>
      <c r="E33" s="203">
        <f>notas!D205</f>
        <v>186499763</v>
      </c>
      <c r="F33" s="203"/>
      <c r="G33" s="203">
        <f>notas!F205</f>
        <v>186944437</v>
      </c>
      <c r="H33" s="203"/>
      <c r="I33" s="203">
        <f t="shared" si="2"/>
        <v>-444674</v>
      </c>
      <c r="J33" s="36"/>
      <c r="K33" s="52">
        <f t="shared" si="3"/>
        <v>-2.378642591006867E-3</v>
      </c>
      <c r="L33" s="291"/>
      <c r="P33" s="287"/>
      <c r="W33" s="49"/>
      <c r="Y33" s="289"/>
      <c r="AA33" s="290"/>
      <c r="AC33" s="257"/>
      <c r="AD33" s="290"/>
    </row>
    <row r="34" spans="1:30" s="254" customFormat="1" x14ac:dyDescent="0.2">
      <c r="A34" s="95"/>
      <c r="B34" s="36"/>
      <c r="C34" s="36"/>
      <c r="D34" s="54"/>
      <c r="E34" s="203"/>
      <c r="F34" s="203"/>
      <c r="G34" s="203"/>
      <c r="H34" s="203"/>
      <c r="I34" s="203"/>
      <c r="J34" s="36"/>
      <c r="K34" s="52"/>
      <c r="L34" s="291"/>
      <c r="N34" s="36" t="str">
        <f>'notas bce prueba1'!O34</f>
        <v>Superávit de capital</v>
      </c>
      <c r="O34" s="36"/>
      <c r="P34" s="54">
        <v>16</v>
      </c>
      <c r="Q34" s="203">
        <f>'notas bce prueba1'!Q34</f>
        <v>9435832</v>
      </c>
      <c r="R34" s="203"/>
      <c r="S34" s="203">
        <f>'notas bce prueba1'!R34</f>
        <v>8730246</v>
      </c>
      <c r="T34" s="203"/>
      <c r="U34" s="203">
        <f>Q34-S34</f>
        <v>705586</v>
      </c>
      <c r="V34" s="36"/>
      <c r="W34" s="52">
        <f t="shared" ref="W34:W40" si="4">IF((S34&lt;&gt;0),(U34/S34),1)</f>
        <v>8.0820861176191375E-2</v>
      </c>
      <c r="Y34" s="289"/>
      <c r="AA34" s="290"/>
      <c r="AC34" s="257"/>
      <c r="AD34" s="290"/>
    </row>
    <row r="35" spans="1:30" s="254" customFormat="1" x14ac:dyDescent="0.2">
      <c r="A35" s="3" t="str">
        <f>'notas bce prueba1'!F27</f>
        <v>Total activo no corriente</v>
      </c>
      <c r="B35" s="3"/>
      <c r="C35" s="3"/>
      <c r="D35" s="10"/>
      <c r="E35" s="449">
        <f>SUM(E26:E34)</f>
        <v>328626435</v>
      </c>
      <c r="F35" s="197"/>
      <c r="G35" s="197">
        <f>SUM(G26:G34)</f>
        <v>338083152</v>
      </c>
      <c r="H35" s="197"/>
      <c r="I35" s="197">
        <f>SUM(I26:I34)</f>
        <v>-9456717</v>
      </c>
      <c r="J35" s="3"/>
      <c r="K35" s="14">
        <f>IF((G35&lt;&gt;0),(I35/G35),1)</f>
        <v>-2.7971571325151393E-2</v>
      </c>
      <c r="L35" s="291"/>
      <c r="N35" s="36" t="str">
        <f>'notas bce prueba1'!O35</f>
        <v>Revalorización del patrimonio</v>
      </c>
      <c r="O35" s="36"/>
      <c r="P35" s="54"/>
      <c r="Q35" s="203">
        <f>'notas bce prueba1'!Q35</f>
        <v>17587438</v>
      </c>
      <c r="R35" s="203"/>
      <c r="S35" s="203">
        <f>'notas bce prueba1'!R35</f>
        <v>17587438</v>
      </c>
      <c r="T35" s="203"/>
      <c r="U35" s="203">
        <f>Q35-S35</f>
        <v>0</v>
      </c>
      <c r="V35" s="36"/>
      <c r="W35" s="52">
        <f t="shared" si="4"/>
        <v>0</v>
      </c>
      <c r="Y35" s="289"/>
      <c r="AA35" s="290"/>
      <c r="AC35" s="257"/>
      <c r="AD35" s="290"/>
    </row>
    <row r="36" spans="1:30" s="254" customFormat="1" x14ac:dyDescent="0.2">
      <c r="A36" s="12"/>
      <c r="B36" s="12"/>
      <c r="C36" s="12"/>
      <c r="D36" s="47"/>
      <c r="E36" s="198"/>
      <c r="F36" s="198"/>
      <c r="G36" s="198"/>
      <c r="H36" s="198"/>
      <c r="I36" s="198"/>
      <c r="J36" s="12"/>
      <c r="K36" s="17"/>
      <c r="L36" s="291"/>
      <c r="N36" s="36" t="str">
        <f>'notas bce prueba1'!O36</f>
        <v>Resultados del ejercicio</v>
      </c>
      <c r="O36" s="36"/>
      <c r="P36" s="54"/>
      <c r="Q36" s="203">
        <f>pyg!D41</f>
        <v>15346332</v>
      </c>
      <c r="R36" s="203"/>
      <c r="S36" s="203">
        <f>'notas bce prueba1'!R36</f>
        <v>11080892</v>
      </c>
      <c r="T36" s="203"/>
      <c r="U36" s="203">
        <f>Q36-S36</f>
        <v>4265440</v>
      </c>
      <c r="V36" s="36"/>
      <c r="W36" s="52">
        <f t="shared" si="4"/>
        <v>0.38493651955095309</v>
      </c>
      <c r="Y36" s="289"/>
      <c r="AA36" s="290"/>
      <c r="AC36" s="257"/>
      <c r="AD36" s="290"/>
    </row>
    <row r="37" spans="1:30" s="254" customFormat="1" x14ac:dyDescent="0.2">
      <c r="A37" s="12"/>
      <c r="B37" s="12"/>
      <c r="C37" s="12"/>
      <c r="D37" s="47"/>
      <c r="E37" s="198"/>
      <c r="F37" s="198"/>
      <c r="G37" s="198"/>
      <c r="H37" s="198"/>
      <c r="I37" s="198"/>
      <c r="J37" s="12"/>
      <c r="K37" s="17"/>
      <c r="L37" s="291"/>
      <c r="N37" s="36" t="str">
        <f>'notas bce prueba1'!O37</f>
        <v>Resultados de ejercicios anteriores</v>
      </c>
      <c r="O37" s="36"/>
      <c r="P37" s="54"/>
      <c r="Q37" s="203">
        <f>'notas bce prueba1'!Q37</f>
        <v>122722518</v>
      </c>
      <c r="R37" s="203"/>
      <c r="S37" s="203">
        <f>'notas bce prueba1'!R37</f>
        <v>111641626</v>
      </c>
      <c r="T37" s="203"/>
      <c r="U37" s="203">
        <f>Q37-S37</f>
        <v>11080892</v>
      </c>
      <c r="V37" s="36"/>
      <c r="W37" s="52">
        <f t="shared" si="4"/>
        <v>9.9254125875952393E-2</v>
      </c>
      <c r="Y37" s="289"/>
      <c r="AA37" s="290"/>
      <c r="AC37" s="257"/>
      <c r="AD37" s="290"/>
    </row>
    <row r="38" spans="1:30" s="254" customFormat="1" x14ac:dyDescent="0.2">
      <c r="A38" s="12"/>
      <c r="B38" s="12"/>
      <c r="C38" s="12"/>
      <c r="D38" s="47"/>
      <c r="E38" s="198"/>
      <c r="F38" s="198"/>
      <c r="G38" s="198"/>
      <c r="H38" s="198"/>
      <c r="I38" s="198"/>
      <c r="J38" s="12"/>
      <c r="K38" s="17"/>
      <c r="L38" s="291"/>
      <c r="N38" s="36" t="str">
        <f>'notas bce prueba1'!O38</f>
        <v>Superávit por valorizaciones</v>
      </c>
      <c r="O38" s="36"/>
      <c r="P38" s="54">
        <v>10</v>
      </c>
      <c r="Q38" s="203">
        <f>'notas bce prueba1'!Q38</f>
        <v>186499763</v>
      </c>
      <c r="R38" s="203"/>
      <c r="S38" s="203">
        <f>notas!F205</f>
        <v>186944437</v>
      </c>
      <c r="T38" s="203"/>
      <c r="U38" s="203">
        <f>Q38-S38</f>
        <v>-444674</v>
      </c>
      <c r="V38" s="36"/>
      <c r="W38" s="52">
        <f t="shared" si="4"/>
        <v>-2.378642591006867E-3</v>
      </c>
      <c r="Y38" s="289"/>
      <c r="AA38" s="290"/>
      <c r="AC38" s="257"/>
      <c r="AD38" s="290"/>
    </row>
    <row r="39" spans="1:30" s="254" customFormat="1" x14ac:dyDescent="0.2">
      <c r="A39" s="12"/>
      <c r="B39" s="12"/>
      <c r="C39" s="12"/>
      <c r="D39" s="47"/>
      <c r="E39" s="198"/>
      <c r="F39" s="198"/>
      <c r="G39" s="198"/>
      <c r="H39" s="198"/>
      <c r="I39" s="198"/>
      <c r="J39" s="12"/>
      <c r="K39" s="17"/>
      <c r="L39" s="291"/>
      <c r="N39" s="95"/>
      <c r="O39" s="95"/>
      <c r="P39" s="292"/>
      <c r="Q39" s="205"/>
      <c r="R39" s="205"/>
      <c r="S39" s="205"/>
      <c r="T39" s="205"/>
      <c r="U39" s="205"/>
      <c r="V39" s="95"/>
      <c r="W39" s="50"/>
      <c r="Y39" s="289"/>
      <c r="AA39" s="290"/>
      <c r="AC39" s="257"/>
      <c r="AD39" s="290"/>
    </row>
    <row r="40" spans="1:30" s="254" customFormat="1" x14ac:dyDescent="0.2">
      <c r="D40" s="287"/>
      <c r="E40" s="204"/>
      <c r="F40" s="204"/>
      <c r="G40" s="204"/>
      <c r="H40" s="204"/>
      <c r="I40" s="204"/>
      <c r="K40" s="49"/>
      <c r="L40" s="291"/>
      <c r="M40" s="3" t="str">
        <f>'notas bce prueba1'!N39</f>
        <v>Total patrimonio</v>
      </c>
      <c r="N40" s="3"/>
      <c r="O40" s="3"/>
      <c r="P40" s="10"/>
      <c r="Q40" s="197">
        <f>SUM(Q34:Q38)</f>
        <v>351591883</v>
      </c>
      <c r="R40" s="197"/>
      <c r="S40" s="197">
        <f>SUM(S34:S38)</f>
        <v>335984639</v>
      </c>
      <c r="T40" s="197"/>
      <c r="U40" s="197">
        <f>SUM(U34:U38)</f>
        <v>15607244</v>
      </c>
      <c r="V40" s="2"/>
      <c r="W40" s="14">
        <f t="shared" si="4"/>
        <v>4.6452254622271587E-2</v>
      </c>
      <c r="Y40" s="289"/>
      <c r="AA40" s="290"/>
      <c r="AC40" s="257"/>
      <c r="AD40" s="290"/>
    </row>
    <row r="41" spans="1:30" s="254" customFormat="1" x14ac:dyDescent="0.2">
      <c r="D41" s="287"/>
      <c r="E41" s="204"/>
      <c r="F41" s="204"/>
      <c r="G41" s="204"/>
      <c r="H41" s="204"/>
      <c r="I41" s="204"/>
      <c r="K41" s="49"/>
      <c r="L41" s="291"/>
      <c r="P41" s="287"/>
      <c r="Q41" s="204"/>
      <c r="R41" s="204"/>
      <c r="S41" s="204"/>
      <c r="T41" s="204"/>
      <c r="U41" s="205"/>
      <c r="V41" s="95"/>
      <c r="W41" s="50"/>
      <c r="Y41" s="289"/>
      <c r="AA41" s="290"/>
      <c r="AC41" s="257"/>
      <c r="AD41" s="290"/>
    </row>
    <row r="42" spans="1:30" s="254" customFormat="1" x14ac:dyDescent="0.2">
      <c r="A42" s="3" t="str">
        <f>'notas bce prueba1'!F29</f>
        <v>TOTAL ACTIVO</v>
      </c>
      <c r="B42" s="3"/>
      <c r="C42" s="3"/>
      <c r="D42" s="450"/>
      <c r="E42" s="449">
        <f>E19+E35</f>
        <v>475178782</v>
      </c>
      <c r="F42" s="197"/>
      <c r="G42" s="197">
        <f>G19+G35</f>
        <v>438346533</v>
      </c>
      <c r="H42" s="197"/>
      <c r="I42" s="197">
        <f>I19+I35</f>
        <v>36832249</v>
      </c>
      <c r="J42" s="3"/>
      <c r="K42" s="14">
        <f>IF((G42&lt;&gt;0),(I42/G42),1)</f>
        <v>8.4025414203515558E-2</v>
      </c>
      <c r="L42" s="291"/>
      <c r="M42" s="3" t="str">
        <f>'notas bce prueba1'!N41</f>
        <v>TOTAL PASIVO + PATRIMONIO</v>
      </c>
      <c r="N42" s="3"/>
      <c r="O42" s="3"/>
      <c r="P42" s="10"/>
      <c r="Q42" s="197">
        <f>Q29+Q40</f>
        <v>475178782</v>
      </c>
      <c r="R42" s="197"/>
      <c r="S42" s="197">
        <f>S29+S40</f>
        <v>438346533</v>
      </c>
      <c r="T42" s="197"/>
      <c r="U42" s="197">
        <f>U29+U40</f>
        <v>36832249</v>
      </c>
      <c r="V42" s="3"/>
      <c r="W42" s="14">
        <f>IF((S42&lt;&gt;0),(U42/S42),1)</f>
        <v>8.4025414203515558E-2</v>
      </c>
      <c r="Y42" s="289"/>
      <c r="AA42" s="290"/>
      <c r="AC42" s="257"/>
      <c r="AD42" s="290"/>
    </row>
    <row r="43" spans="1:30" s="254" customFormat="1" x14ac:dyDescent="0.2">
      <c r="A43" s="12"/>
      <c r="B43" s="12"/>
      <c r="C43" s="12"/>
      <c r="D43" s="47"/>
      <c r="E43" s="198"/>
      <c r="F43" s="198"/>
      <c r="G43" s="198"/>
      <c r="H43" s="198"/>
      <c r="I43" s="198"/>
      <c r="J43" s="12"/>
      <c r="K43" s="17"/>
      <c r="L43" s="151"/>
      <c r="P43" s="287"/>
      <c r="Q43" s="204"/>
      <c r="R43" s="204"/>
      <c r="S43" s="204"/>
      <c r="T43" s="204"/>
      <c r="U43" s="203"/>
      <c r="V43" s="95"/>
      <c r="W43" s="50"/>
      <c r="Y43" s="289"/>
      <c r="AA43" s="290"/>
      <c r="AC43" s="257"/>
      <c r="AD43" s="290"/>
    </row>
    <row r="44" spans="1:30" s="254" customFormat="1" x14ac:dyDescent="0.2">
      <c r="A44" s="36" t="str">
        <f>'notas bce prueba1'!F31</f>
        <v xml:space="preserve">Cuentas de orden- deudoras </v>
      </c>
      <c r="B44" s="36"/>
      <c r="C44" s="36"/>
      <c r="D44" s="54">
        <v>29</v>
      </c>
      <c r="E44" s="203">
        <f>notas!D567</f>
        <v>9701234</v>
      </c>
      <c r="F44" s="203"/>
      <c r="G44" s="203">
        <f>notas!F567</f>
        <v>10240433</v>
      </c>
      <c r="H44" s="203"/>
      <c r="I44" s="203">
        <f>E44-G44</f>
        <v>-539199</v>
      </c>
      <c r="J44" s="36"/>
      <c r="K44" s="52">
        <f>IF((G44&lt;&gt;0),(I44/G44),1)</f>
        <v>-5.2653925864267655E-2</v>
      </c>
      <c r="L44" s="291"/>
      <c r="M44" s="36" t="str">
        <f>'notas bce prueba1'!N43</f>
        <v>Cuentas de orden - acreedoras</v>
      </c>
      <c r="N44" s="36"/>
      <c r="O44" s="36"/>
      <c r="P44" s="54">
        <v>29</v>
      </c>
      <c r="Q44" s="203">
        <f>notas!D575</f>
        <v>442719</v>
      </c>
      <c r="R44" s="203"/>
      <c r="S44" s="203">
        <f>notas!F575</f>
        <v>661026</v>
      </c>
      <c r="T44" s="203"/>
      <c r="U44" s="203">
        <f>Q44-S44</f>
        <v>-218307</v>
      </c>
      <c r="V44" s="36"/>
      <c r="W44" s="52">
        <f>IF((S44&lt;&gt;0),(U44/S44),1)</f>
        <v>-0.33025478574216444</v>
      </c>
      <c r="Y44" s="289"/>
      <c r="AA44" s="290"/>
      <c r="AC44" s="257"/>
      <c r="AD44" s="290"/>
    </row>
    <row r="45" spans="1:30" s="254" customFormat="1" x14ac:dyDescent="0.2">
      <c r="A45" s="254" t="s">
        <v>257</v>
      </c>
      <c r="D45" s="287"/>
      <c r="E45" s="257"/>
      <c r="G45" s="257"/>
      <c r="K45" s="49"/>
      <c r="L45" s="151"/>
      <c r="M45" s="254" t="str">
        <f>A45</f>
        <v>LAS NOTAS DE LA 1 A LA 28 QUE SE ACOMPAÑAN HACEN PARTE INTEGRAL DE LOS ESTADOS FINANCIEROS</v>
      </c>
      <c r="P45" s="287"/>
      <c r="Q45" s="257"/>
      <c r="W45" s="49"/>
      <c r="Y45" s="289"/>
      <c r="AD45" s="290"/>
    </row>
    <row r="46" spans="1:30" s="254" customFormat="1" x14ac:dyDescent="0.2">
      <c r="D46" s="287"/>
      <c r="E46" s="257"/>
      <c r="G46" s="257"/>
      <c r="K46" s="49"/>
      <c r="L46" s="151"/>
      <c r="P46" s="287"/>
      <c r="Q46" s="19"/>
      <c r="R46" s="20"/>
      <c r="S46" s="19"/>
      <c r="T46" s="20"/>
      <c r="W46" s="49"/>
      <c r="Y46" s="289"/>
    </row>
    <row r="47" spans="1:30" s="254" customFormat="1" x14ac:dyDescent="0.2">
      <c r="D47" s="287"/>
      <c r="E47" s="257"/>
      <c r="G47" s="257"/>
      <c r="K47" s="49"/>
      <c r="L47" s="151"/>
      <c r="P47" s="287"/>
      <c r="Q47" s="33"/>
      <c r="R47" s="20"/>
      <c r="S47" s="33"/>
      <c r="T47" s="20"/>
      <c r="W47" s="49"/>
      <c r="X47" s="121"/>
      <c r="Y47" s="289"/>
    </row>
    <row r="48" spans="1:30" s="254" customFormat="1" x14ac:dyDescent="0.2">
      <c r="D48" s="287"/>
      <c r="E48" s="257"/>
      <c r="G48" s="257"/>
      <c r="I48" s="257"/>
      <c r="K48" s="49"/>
      <c r="L48" s="151"/>
      <c r="P48" s="287"/>
      <c r="W48" s="49"/>
      <c r="X48" s="121"/>
      <c r="Y48" s="289"/>
    </row>
    <row r="49" spans="2:25" s="254" customFormat="1" x14ac:dyDescent="0.2">
      <c r="B49" s="258" t="s">
        <v>102</v>
      </c>
      <c r="D49" s="287"/>
      <c r="E49" s="254" t="s">
        <v>42</v>
      </c>
      <c r="I49" s="254" t="s">
        <v>43</v>
      </c>
      <c r="K49" s="287"/>
      <c r="L49" s="151"/>
      <c r="N49" s="258" t="s">
        <v>102</v>
      </c>
      <c r="P49" s="287"/>
      <c r="Q49" s="254" t="s">
        <v>42</v>
      </c>
      <c r="U49" s="254" t="s">
        <v>43</v>
      </c>
      <c r="W49" s="287"/>
      <c r="X49" s="121"/>
      <c r="Y49" s="289"/>
    </row>
    <row r="50" spans="2:25" s="254" customFormat="1" x14ac:dyDescent="0.2">
      <c r="B50" s="293" t="s">
        <v>44</v>
      </c>
      <c r="D50" s="287"/>
      <c r="E50" s="293" t="s">
        <v>45</v>
      </c>
      <c r="F50" s="293"/>
      <c r="G50" s="293"/>
      <c r="H50" s="293"/>
      <c r="I50" s="293" t="s">
        <v>46</v>
      </c>
      <c r="J50" s="293"/>
      <c r="K50" s="294"/>
      <c r="L50" s="151"/>
      <c r="N50" s="293" t="s">
        <v>44</v>
      </c>
      <c r="P50" s="287"/>
      <c r="Q50" s="293" t="s">
        <v>45</v>
      </c>
      <c r="R50" s="293"/>
      <c r="S50" s="293"/>
      <c r="T50" s="293"/>
      <c r="U50" s="293" t="s">
        <v>46</v>
      </c>
      <c r="V50" s="293"/>
      <c r="W50" s="294"/>
      <c r="X50" s="121"/>
      <c r="Y50" s="151"/>
    </row>
    <row r="51" spans="2:25" s="254" customFormat="1" x14ac:dyDescent="0.2">
      <c r="D51" s="287"/>
      <c r="E51" s="293" t="s">
        <v>47</v>
      </c>
      <c r="F51" s="293"/>
      <c r="G51" s="293"/>
      <c r="H51" s="293"/>
      <c r="I51" s="254" t="s">
        <v>48</v>
      </c>
      <c r="J51" s="293"/>
      <c r="K51" s="294"/>
      <c r="L51" s="151"/>
      <c r="M51" s="293"/>
      <c r="P51" s="287"/>
      <c r="Q51" s="293" t="s">
        <v>47</v>
      </c>
      <c r="R51" s="293"/>
      <c r="S51" s="293"/>
      <c r="T51" s="293"/>
      <c r="U51" s="254" t="s">
        <v>48</v>
      </c>
      <c r="V51" s="293"/>
      <c r="W51" s="294"/>
      <c r="X51" s="121"/>
      <c r="Y51" s="151"/>
    </row>
    <row r="52" spans="2:25" s="254" customFormat="1" x14ac:dyDescent="0.2">
      <c r="D52" s="287"/>
      <c r="E52" s="257"/>
      <c r="G52" s="257"/>
      <c r="K52" s="49"/>
      <c r="L52" s="151"/>
      <c r="P52" s="287"/>
      <c r="W52" s="49"/>
      <c r="X52" s="121"/>
      <c r="Y52" s="151"/>
    </row>
    <row r="53" spans="2:25" s="254" customFormat="1" x14ac:dyDescent="0.2">
      <c r="D53" s="287"/>
      <c r="E53" s="257"/>
      <c r="G53" s="257"/>
      <c r="K53" s="49"/>
      <c r="L53" s="151"/>
      <c r="P53" s="287"/>
      <c r="W53" s="49"/>
      <c r="X53" s="121"/>
      <c r="Y53" s="151"/>
    </row>
    <row r="54" spans="2:25" x14ac:dyDescent="0.2">
      <c r="C54" s="1"/>
    </row>
    <row r="56" spans="2:25" x14ac:dyDescent="0.2">
      <c r="I56" s="1"/>
      <c r="K56" s="1"/>
    </row>
    <row r="62" spans="2:25" x14ac:dyDescent="0.2">
      <c r="O62" s="8"/>
      <c r="P62"/>
      <c r="Q62" s="1"/>
      <c r="S62" s="1"/>
    </row>
    <row r="63" spans="2:25" x14ac:dyDescent="0.2">
      <c r="I63" s="1"/>
    </row>
    <row r="64" spans="2:25" x14ac:dyDescent="0.2">
      <c r="I64" s="1"/>
    </row>
    <row r="65" spans="9:9" x14ac:dyDescent="0.2">
      <c r="I65" s="1"/>
    </row>
    <row r="66" spans="9:9" x14ac:dyDescent="0.2">
      <c r="I66" s="1"/>
    </row>
    <row r="67" spans="9:9" x14ac:dyDescent="0.2">
      <c r="I67" s="1"/>
    </row>
    <row r="68" spans="9:9" x14ac:dyDescent="0.2">
      <c r="I68" s="1"/>
    </row>
    <row r="69" spans="9:9" x14ac:dyDescent="0.2">
      <c r="I69" s="1"/>
    </row>
    <row r="70" spans="9:9" x14ac:dyDescent="0.2">
      <c r="I70" s="1"/>
    </row>
    <row r="71" spans="9:9" x14ac:dyDescent="0.2">
      <c r="I71" s="1"/>
    </row>
    <row r="72" spans="9:9" x14ac:dyDescent="0.2">
      <c r="I72" s="1"/>
    </row>
    <row r="73" spans="9:9" x14ac:dyDescent="0.2">
      <c r="I73" s="1"/>
    </row>
  </sheetData>
  <mergeCells count="10">
    <mergeCell ref="A2:K2"/>
    <mergeCell ref="Q31:Q32"/>
    <mergeCell ref="S31:S32"/>
    <mergeCell ref="M2:W2"/>
    <mergeCell ref="M3:W3"/>
    <mergeCell ref="A3:K3"/>
    <mergeCell ref="E5:E6"/>
    <mergeCell ref="G5:G6"/>
    <mergeCell ref="Q5:Q6"/>
    <mergeCell ref="S5:S6"/>
  </mergeCells>
  <phoneticPr fontId="9" type="noConversion"/>
  <pageMargins left="0.78740157480314965" right="0.55118110236220474" top="1.2204724409448819" bottom="0.9055118110236221" header="0" footer="0.39370078740157483"/>
  <pageSetup paperSize="122" scale="85" orientation="portrait" r:id="rId1"/>
  <headerFooter alignWithMargins="0">
    <oddFooter>&amp;L&amp;"Garamond,Cursiva"&amp;14Informe Financiero a diciembre de 2013&amp;C&amp;"Garamond,Normal"&amp;14&amp;P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indexed="10"/>
  </sheetPr>
  <dimension ref="A1:L54"/>
  <sheetViews>
    <sheetView showGridLines="0" zoomScale="85" zoomScaleNormal="85" workbookViewId="0">
      <selection activeCell="L5" sqref="L5"/>
    </sheetView>
  </sheetViews>
  <sheetFormatPr baseColWidth="10" defaultRowHeight="12.75" x14ac:dyDescent="0.2"/>
  <cols>
    <col min="1" max="1" width="2.28515625" customWidth="1"/>
    <col min="2" max="2" width="29.42578125" customWidth="1"/>
    <col min="3" max="3" width="3.7109375" style="8" customWidth="1"/>
    <col min="4" max="4" width="12.42578125" bestFit="1" customWidth="1"/>
    <col min="5" max="5" width="0.85546875" customWidth="1"/>
    <col min="6" max="6" width="12.42578125" bestFit="1" customWidth="1"/>
    <col min="7" max="7" width="0.85546875" customWidth="1"/>
    <col min="8" max="8" width="12.7109375" customWidth="1"/>
    <col min="9" max="9" width="0.85546875" customWidth="1"/>
    <col min="10" max="10" width="10.7109375" style="15" customWidth="1"/>
    <col min="12" max="12" width="15.5703125" bestFit="1" customWidth="1"/>
  </cols>
  <sheetData>
    <row r="1" spans="1:12" ht="36" x14ac:dyDescent="0.2">
      <c r="A1" s="63" t="s">
        <v>143</v>
      </c>
      <c r="B1" s="64"/>
      <c r="C1" s="64"/>
      <c r="D1" s="64"/>
      <c r="E1" s="64"/>
      <c r="F1" s="64"/>
      <c r="G1" s="64"/>
      <c r="H1" s="64"/>
      <c r="I1" s="64"/>
      <c r="J1" s="64"/>
    </row>
    <row r="2" spans="1:12" ht="15.75" x14ac:dyDescent="0.25">
      <c r="A2" s="454" t="str">
        <f>bce!A2</f>
        <v>A 31 de diciembre (Cifras expresadas en miles de pesos)</v>
      </c>
      <c r="B2" s="454"/>
      <c r="C2" s="454"/>
      <c r="D2" s="454"/>
      <c r="E2" s="454"/>
      <c r="F2" s="454"/>
      <c r="G2" s="454"/>
      <c r="H2" s="454"/>
      <c r="I2" s="454"/>
      <c r="J2" s="454"/>
    </row>
    <row r="4" spans="1:12" s="254" customFormat="1" x14ac:dyDescent="0.2">
      <c r="C4" s="287"/>
      <c r="J4" s="49"/>
    </row>
    <row r="5" spans="1:12" s="328" customFormat="1" ht="12.75" customHeight="1" x14ac:dyDescent="0.2">
      <c r="A5" s="69"/>
      <c r="B5" s="69"/>
      <c r="C5" s="69"/>
      <c r="D5" s="66">
        <v>2013</v>
      </c>
      <c r="E5" s="67"/>
      <c r="F5" s="66">
        <v>2012</v>
      </c>
      <c r="G5" s="67"/>
      <c r="H5" s="68" t="s">
        <v>19</v>
      </c>
      <c r="I5" s="66"/>
      <c r="J5" s="295" t="s">
        <v>19</v>
      </c>
    </row>
    <row r="6" spans="1:12" s="328" customFormat="1" x14ac:dyDescent="0.2">
      <c r="A6" s="69"/>
      <c r="B6" s="69"/>
      <c r="C6" s="69"/>
      <c r="D6" s="67"/>
      <c r="E6" s="67"/>
      <c r="F6" s="67"/>
      <c r="G6" s="67"/>
      <c r="H6" s="68" t="s">
        <v>20</v>
      </c>
      <c r="I6" s="296"/>
      <c r="J6" s="295" t="s">
        <v>21</v>
      </c>
    </row>
    <row r="7" spans="1:12" s="328" customFormat="1" x14ac:dyDescent="0.2">
      <c r="C7" s="287"/>
      <c r="J7" s="49"/>
    </row>
    <row r="8" spans="1:12" s="328" customFormat="1" x14ac:dyDescent="0.2">
      <c r="A8" s="6" t="str">
        <f>'pyg y notas'!A3</f>
        <v>Ingresos operacionales</v>
      </c>
      <c r="C8" s="287"/>
      <c r="J8" s="49"/>
    </row>
    <row r="9" spans="1:12" s="328" customFormat="1" x14ac:dyDescent="0.2">
      <c r="B9" s="36" t="str">
        <f>'pyg y notas'!B4</f>
        <v>Servicios de enseñanza</v>
      </c>
      <c r="C9" s="54">
        <v>17</v>
      </c>
      <c r="D9" s="442">
        <f>notas!D343</f>
        <v>183349234</v>
      </c>
      <c r="E9" s="203"/>
      <c r="F9" s="203">
        <f>notas!F343</f>
        <v>159740093</v>
      </c>
      <c r="G9" s="203"/>
      <c r="H9" s="203">
        <f>D9-F9</f>
        <v>23609141</v>
      </c>
      <c r="I9" s="36"/>
      <c r="J9" s="52">
        <f t="shared" ref="J9:J14" si="0">IF((F9&lt;&gt;0),(H9/F9),1)</f>
        <v>0.1477972158185735</v>
      </c>
    </row>
    <row r="10" spans="1:12" s="328" customFormat="1" x14ac:dyDescent="0.2">
      <c r="B10" s="36" t="str">
        <f>'pyg y notas'!B5</f>
        <v>Otros servicios operacionales</v>
      </c>
      <c r="C10" s="54">
        <v>18</v>
      </c>
      <c r="D10" s="442">
        <f>notas!D365</f>
        <v>37266781</v>
      </c>
      <c r="E10" s="203"/>
      <c r="F10" s="203">
        <f>notas!F365</f>
        <v>26138228</v>
      </c>
      <c r="G10" s="203"/>
      <c r="H10" s="203">
        <f>D10-F10</f>
        <v>11128553</v>
      </c>
      <c r="I10" s="36"/>
      <c r="J10" s="52">
        <f t="shared" si="0"/>
        <v>0.42575774455712911</v>
      </c>
    </row>
    <row r="11" spans="1:12" s="328" customFormat="1" x14ac:dyDescent="0.2">
      <c r="B11" s="36" t="s">
        <v>33</v>
      </c>
      <c r="C11" s="54">
        <v>19</v>
      </c>
      <c r="D11" s="203">
        <f>notas!D384</f>
        <v>-2801651</v>
      </c>
      <c r="E11" s="203"/>
      <c r="F11" s="203">
        <f>notas!F384</f>
        <v>-2182842</v>
      </c>
      <c r="G11" s="203"/>
      <c r="H11" s="203">
        <f>D11-F11</f>
        <v>-618809</v>
      </c>
      <c r="I11" s="36"/>
      <c r="J11" s="52">
        <f t="shared" si="0"/>
        <v>0.28348776503292494</v>
      </c>
    </row>
    <row r="12" spans="1:12" s="328" customFormat="1" x14ac:dyDescent="0.2">
      <c r="B12" s="36" t="s">
        <v>32</v>
      </c>
      <c r="C12" s="54">
        <v>20</v>
      </c>
      <c r="D12" s="203">
        <f>notas!D400</f>
        <v>-12146492</v>
      </c>
      <c r="E12" s="203"/>
      <c r="F12" s="203">
        <f>notas!F400</f>
        <v>-7116317</v>
      </c>
      <c r="G12" s="203"/>
      <c r="H12" s="203">
        <f>D12-F12</f>
        <v>-5030175</v>
      </c>
      <c r="I12" s="36"/>
      <c r="J12" s="52">
        <f t="shared" si="0"/>
        <v>0.70685088930130568</v>
      </c>
    </row>
    <row r="13" spans="1:12" s="328" customFormat="1" x14ac:dyDescent="0.2">
      <c r="B13" s="36" t="s">
        <v>34</v>
      </c>
      <c r="C13" s="54">
        <v>21</v>
      </c>
      <c r="D13" s="203">
        <f>notas!D417</f>
        <v>-5914869</v>
      </c>
      <c r="E13" s="203"/>
      <c r="F13" s="203">
        <f>notas!F417</f>
        <v>-4975846</v>
      </c>
      <c r="G13" s="203"/>
      <c r="H13" s="203">
        <f>D13-F13</f>
        <v>-939023</v>
      </c>
      <c r="I13" s="36"/>
      <c r="J13" s="52">
        <f t="shared" si="0"/>
        <v>0.18871625046273538</v>
      </c>
    </row>
    <row r="14" spans="1:12" s="328" customFormat="1" x14ac:dyDescent="0.2">
      <c r="A14" s="5" t="str">
        <f>'pyg y notas'!A9</f>
        <v>Total Ingresos operacionales</v>
      </c>
      <c r="B14" s="5"/>
      <c r="C14" s="9"/>
      <c r="D14" s="443">
        <f>SUM(D9:D13)</f>
        <v>199753003</v>
      </c>
      <c r="E14" s="202"/>
      <c r="F14" s="202">
        <f>SUM(F9:F13)</f>
        <v>171603316</v>
      </c>
      <c r="G14" s="202"/>
      <c r="H14" s="202">
        <f>SUM(H9:H13)</f>
        <v>28149687</v>
      </c>
      <c r="I14" s="5"/>
      <c r="J14" s="16">
        <f t="shared" si="0"/>
        <v>0.16403929513809629</v>
      </c>
      <c r="L14" s="421"/>
    </row>
    <row r="15" spans="1:12" s="328" customFormat="1" x14ac:dyDescent="0.2">
      <c r="C15" s="287"/>
      <c r="D15" s="204"/>
      <c r="E15" s="204"/>
      <c r="F15" s="204"/>
      <c r="G15" s="204"/>
      <c r="H15" s="204"/>
      <c r="J15" s="49"/>
    </row>
    <row r="16" spans="1:12" s="328" customFormat="1" x14ac:dyDescent="0.2">
      <c r="A16" s="6" t="str">
        <f>'pyg y notas'!A11</f>
        <v>Gastos operacionales</v>
      </c>
      <c r="C16" s="287"/>
      <c r="D16" s="204"/>
      <c r="E16" s="204"/>
      <c r="F16" s="204"/>
      <c r="G16" s="204"/>
      <c r="H16" s="204"/>
      <c r="J16" s="49"/>
    </row>
    <row r="17" spans="1:10" s="328" customFormat="1" x14ac:dyDescent="0.2">
      <c r="B17" s="36" t="str">
        <f>'pyg y notas'!B12</f>
        <v>Administración y docencia</v>
      </c>
      <c r="C17" s="54">
        <v>22</v>
      </c>
      <c r="D17" s="444">
        <f>notas!D457</f>
        <v>189560670</v>
      </c>
      <c r="E17" s="203"/>
      <c r="F17" s="203">
        <f>notas!F457</f>
        <v>169285841</v>
      </c>
      <c r="G17" s="203"/>
      <c r="H17" s="203">
        <f>D17-F17</f>
        <v>20274829</v>
      </c>
      <c r="I17" s="36"/>
      <c r="J17" s="52">
        <f>IF((F17&lt;&gt;0),(H17/F17),1)</f>
        <v>0.11976683271461551</v>
      </c>
    </row>
    <row r="18" spans="1:10" s="328" customFormat="1" x14ac:dyDescent="0.2">
      <c r="A18" s="5" t="str">
        <f>'pyg y notas'!A13</f>
        <v>Total Gastos Operacionales</v>
      </c>
      <c r="B18" s="5"/>
      <c r="C18" s="9"/>
      <c r="D18" s="202">
        <f>D17</f>
        <v>189560670</v>
      </c>
      <c r="E18" s="202"/>
      <c r="F18" s="202">
        <f>F17</f>
        <v>169285841</v>
      </c>
      <c r="G18" s="202"/>
      <c r="H18" s="202">
        <f>H17</f>
        <v>20274829</v>
      </c>
      <c r="I18" s="5"/>
      <c r="J18" s="16">
        <f>IF((F18&lt;&gt;0),(H18/F18),1)</f>
        <v>0.11976683271461551</v>
      </c>
    </row>
    <row r="19" spans="1:10" s="328" customFormat="1" x14ac:dyDescent="0.2">
      <c r="B19" s="95"/>
      <c r="C19" s="292"/>
      <c r="D19" s="205"/>
      <c r="E19" s="205"/>
      <c r="F19" s="205"/>
      <c r="G19" s="205"/>
      <c r="H19" s="205"/>
      <c r="I19" s="95"/>
      <c r="J19" s="50"/>
    </row>
    <row r="20" spans="1:10" s="328" customFormat="1" x14ac:dyDescent="0.2">
      <c r="C20" s="287"/>
      <c r="D20" s="204"/>
      <c r="E20" s="204"/>
      <c r="F20" s="204"/>
      <c r="G20" s="204"/>
      <c r="H20" s="204"/>
      <c r="J20" s="49"/>
    </row>
    <row r="21" spans="1:10" s="328" customFormat="1" x14ac:dyDescent="0.2">
      <c r="A21" s="3" t="str">
        <f>'pyg y notas'!A16</f>
        <v>Excedente operacionales</v>
      </c>
      <c r="B21" s="3"/>
      <c r="C21" s="10"/>
      <c r="D21" s="197">
        <f>D14-D18</f>
        <v>10192333</v>
      </c>
      <c r="E21" s="197"/>
      <c r="F21" s="197">
        <f>F14-F18</f>
        <v>2317475</v>
      </c>
      <c r="G21" s="197"/>
      <c r="H21" s="197">
        <f>H14-H18</f>
        <v>7874858</v>
      </c>
      <c r="I21" s="3"/>
      <c r="J21" s="14">
        <f>IF((F21&lt;&gt;0),(H21/F21),1)</f>
        <v>3.3980336357458008</v>
      </c>
    </row>
    <row r="22" spans="1:10" s="328" customFormat="1" x14ac:dyDescent="0.2">
      <c r="C22" s="287"/>
      <c r="D22" s="204"/>
      <c r="E22" s="204"/>
      <c r="F22" s="204"/>
      <c r="G22" s="204"/>
      <c r="H22" s="204"/>
      <c r="J22" s="49"/>
    </row>
    <row r="23" spans="1:10" s="328" customFormat="1" x14ac:dyDescent="0.2">
      <c r="A23" s="6" t="str">
        <f>'pyg y notas'!A18</f>
        <v>Ingresos no operacionales</v>
      </c>
      <c r="C23" s="287"/>
      <c r="D23" s="204"/>
      <c r="E23" s="204"/>
      <c r="F23" s="204"/>
      <c r="G23" s="204"/>
      <c r="H23" s="204"/>
      <c r="J23" s="49"/>
    </row>
    <row r="24" spans="1:10" s="328" customFormat="1" x14ac:dyDescent="0.2">
      <c r="B24" s="36" t="str">
        <f>'pyg y notas'!B19</f>
        <v>Financieros</v>
      </c>
      <c r="C24" s="54">
        <v>23</v>
      </c>
      <c r="D24" s="203">
        <f>notas!D474</f>
        <v>3077437</v>
      </c>
      <c r="E24" s="203"/>
      <c r="F24" s="203">
        <f>notas!F474</f>
        <v>3689290</v>
      </c>
      <c r="G24" s="203"/>
      <c r="H24" s="203">
        <f>D24-F24</f>
        <v>-611853</v>
      </c>
      <c r="I24" s="36"/>
      <c r="J24" s="52">
        <f>IF((F24&lt;&gt;0),(H24/F24),1)</f>
        <v>-0.16584573183458065</v>
      </c>
    </row>
    <row r="25" spans="1:10" s="328" customFormat="1" x14ac:dyDescent="0.2">
      <c r="B25" s="36" t="str">
        <f>'pyg y notas'!B20</f>
        <v>Donaciones</v>
      </c>
      <c r="C25" s="54">
        <v>24</v>
      </c>
      <c r="D25" s="203">
        <f>notas!D486</f>
        <v>1828838</v>
      </c>
      <c r="E25" s="203"/>
      <c r="F25" s="203">
        <f>notas!F486</f>
        <v>2711105</v>
      </c>
      <c r="G25" s="203"/>
      <c r="H25" s="203">
        <f>D25-F25</f>
        <v>-882267</v>
      </c>
      <c r="I25" s="36"/>
      <c r="J25" s="52">
        <f>IF((F25&lt;&gt;0),(H25/F25),1)</f>
        <v>-0.32542708600367748</v>
      </c>
    </row>
    <row r="26" spans="1:10" s="328" customFormat="1" x14ac:dyDescent="0.2">
      <c r="B26" s="6" t="str">
        <f>'pyg y notas'!A21</f>
        <v>Diversos:</v>
      </c>
      <c r="C26" s="287"/>
      <c r="D26" s="204"/>
      <c r="E26" s="204"/>
      <c r="F26" s="204"/>
      <c r="G26" s="204"/>
      <c r="H26" s="203"/>
      <c r="I26" s="36"/>
      <c r="J26" s="52"/>
    </row>
    <row r="27" spans="1:10" s="328" customFormat="1" x14ac:dyDescent="0.2">
      <c r="B27" s="36" t="str">
        <f>'pyg y notas'!B22</f>
        <v>Otras ventas</v>
      </c>
      <c r="C27" s="54">
        <v>25</v>
      </c>
      <c r="D27" s="442">
        <f>notas!D499</f>
        <v>121062</v>
      </c>
      <c r="E27" s="203"/>
      <c r="F27" s="203">
        <f>notas!F499</f>
        <v>216024</v>
      </c>
      <c r="G27" s="203"/>
      <c r="H27" s="203">
        <f t="shared" ref="H27:H32" si="1">D27-F27</f>
        <v>-94962</v>
      </c>
      <c r="I27" s="36"/>
      <c r="J27" s="52">
        <f t="shared" ref="J27:J33" si="2">IF((F27&lt;&gt;0),(H27/F27),1)</f>
        <v>-0.43959004555049441</v>
      </c>
    </row>
    <row r="28" spans="1:10" s="328" customFormat="1" x14ac:dyDescent="0.2">
      <c r="B28" s="36" t="str">
        <f>'pyg y notas'!B23</f>
        <v>Arrendamientos</v>
      </c>
      <c r="C28" s="54"/>
      <c r="D28" s="442">
        <f>'pyg y notas'!D23</f>
        <v>98164</v>
      </c>
      <c r="E28" s="203"/>
      <c r="F28" s="203">
        <f>'pyg y notas'!F23</f>
        <v>104066</v>
      </c>
      <c r="G28" s="203"/>
      <c r="H28" s="203">
        <f t="shared" si="1"/>
        <v>-5902</v>
      </c>
      <c r="I28" s="36"/>
      <c r="J28" s="52">
        <f t="shared" si="2"/>
        <v>-5.6714008417734899E-2</v>
      </c>
    </row>
    <row r="29" spans="1:10" s="328" customFormat="1" x14ac:dyDescent="0.2">
      <c r="B29" s="36" t="str">
        <f>'pyg y notas'!B24</f>
        <v>Concesión de espacios</v>
      </c>
      <c r="C29" s="54"/>
      <c r="D29" s="442">
        <f>'pyg y notas'!D24</f>
        <v>986568</v>
      </c>
      <c r="E29" s="203"/>
      <c r="F29" s="203">
        <f>'pyg y notas'!F24</f>
        <v>1557147</v>
      </c>
      <c r="G29" s="203"/>
      <c r="H29" s="203">
        <f t="shared" si="1"/>
        <v>-570579</v>
      </c>
      <c r="I29" s="36"/>
      <c r="J29" s="52">
        <f t="shared" si="2"/>
        <v>-0.3664259058393331</v>
      </c>
    </row>
    <row r="30" spans="1:10" s="328" customFormat="1" x14ac:dyDescent="0.2">
      <c r="B30" s="36" t="str">
        <f>'pyg y notas'!B25</f>
        <v>Servicios</v>
      </c>
      <c r="C30" s="54"/>
      <c r="D30" s="442">
        <f>'pyg y notas'!D25</f>
        <v>61501</v>
      </c>
      <c r="E30" s="203"/>
      <c r="F30" s="203">
        <f>'pyg y notas'!F25-2</f>
        <v>47420</v>
      </c>
      <c r="G30" s="203"/>
      <c r="H30" s="203">
        <f t="shared" si="1"/>
        <v>14081</v>
      </c>
      <c r="I30" s="36"/>
      <c r="J30" s="52">
        <f t="shared" si="2"/>
        <v>0.29694221847321806</v>
      </c>
    </row>
    <row r="31" spans="1:10" s="328" customFormat="1" x14ac:dyDescent="0.2">
      <c r="B31" s="36" t="str">
        <f>'pyg y notas'!B26</f>
        <v>Recuperaciones</v>
      </c>
      <c r="C31" s="54"/>
      <c r="D31" s="442">
        <f>'pyg y notas'!D26</f>
        <v>2992273</v>
      </c>
      <c r="E31" s="203"/>
      <c r="F31" s="203">
        <f>'pyg y notas'!F26</f>
        <v>2777689</v>
      </c>
      <c r="G31" s="203"/>
      <c r="H31" s="203">
        <f t="shared" si="1"/>
        <v>214584</v>
      </c>
      <c r="I31" s="36"/>
      <c r="J31" s="52">
        <f t="shared" si="2"/>
        <v>7.725270899657953E-2</v>
      </c>
    </row>
    <row r="32" spans="1:10" s="328" customFormat="1" x14ac:dyDescent="0.2">
      <c r="B32" s="36" t="str">
        <f>'pyg y notas'!B27</f>
        <v>Otros</v>
      </c>
      <c r="C32" s="54">
        <v>26</v>
      </c>
      <c r="D32" s="442">
        <f>notas!D519</f>
        <v>1625420</v>
      </c>
      <c r="E32" s="203"/>
      <c r="F32" s="203">
        <f>notas!F519</f>
        <v>2115504</v>
      </c>
      <c r="G32" s="203"/>
      <c r="H32" s="203">
        <f t="shared" si="1"/>
        <v>-490084</v>
      </c>
      <c r="I32" s="36"/>
      <c r="J32" s="52">
        <f t="shared" si="2"/>
        <v>-0.23166299851004774</v>
      </c>
    </row>
    <row r="33" spans="1:10" s="6" customFormat="1" x14ac:dyDescent="0.2">
      <c r="A33" s="5" t="str">
        <f>'pyg y notas'!A28</f>
        <v>Total ingresos no operacionales</v>
      </c>
      <c r="B33" s="5"/>
      <c r="C33" s="9"/>
      <c r="D33" s="202">
        <f>SUM(D24:D32)</f>
        <v>10791263</v>
      </c>
      <c r="E33" s="202"/>
      <c r="F33" s="202">
        <f>SUM(F24:F32)</f>
        <v>13218245</v>
      </c>
      <c r="G33" s="202"/>
      <c r="H33" s="202">
        <f>SUM(H24:H32)</f>
        <v>-2426982</v>
      </c>
      <c r="I33" s="5"/>
      <c r="J33" s="16">
        <f t="shared" si="2"/>
        <v>-0.18360848962929649</v>
      </c>
    </row>
    <row r="34" spans="1:10" s="328" customFormat="1" x14ac:dyDescent="0.2">
      <c r="C34" s="287"/>
      <c r="D34" s="204"/>
      <c r="E34" s="204"/>
      <c r="F34" s="204"/>
      <c r="G34" s="204"/>
      <c r="H34" s="204"/>
      <c r="J34" s="49"/>
    </row>
    <row r="35" spans="1:10" s="328" customFormat="1" x14ac:dyDescent="0.2">
      <c r="A35" s="6" t="str">
        <f>'pyg y notas'!A30</f>
        <v>Gastos no operacionales</v>
      </c>
      <c r="C35" s="287"/>
      <c r="D35" s="204"/>
      <c r="E35" s="204"/>
      <c r="F35" s="204"/>
      <c r="G35" s="204"/>
      <c r="H35" s="204"/>
      <c r="J35" s="49"/>
    </row>
    <row r="36" spans="1:10" s="328" customFormat="1" x14ac:dyDescent="0.2">
      <c r="B36" s="36" t="str">
        <f>'pyg y notas'!B31</f>
        <v>Financieros</v>
      </c>
      <c r="C36" s="54">
        <v>27</v>
      </c>
      <c r="D36" s="203">
        <f>notas!D535</f>
        <v>1679521</v>
      </c>
      <c r="E36" s="203"/>
      <c r="F36" s="203">
        <f>notas!F535</f>
        <v>2087262</v>
      </c>
      <c r="G36" s="203"/>
      <c r="H36" s="203">
        <f>D36-F36</f>
        <v>-407741</v>
      </c>
      <c r="I36" s="36"/>
      <c r="J36" s="52">
        <f>IF((F36&lt;&gt;0),(H36/F36),1)</f>
        <v>-0.19534730187202182</v>
      </c>
    </row>
    <row r="37" spans="1:10" s="328" customFormat="1" x14ac:dyDescent="0.2">
      <c r="B37" s="36" t="str">
        <f>'pyg y notas'!B32</f>
        <v>Gastos diversos</v>
      </c>
      <c r="C37" s="54">
        <v>28</v>
      </c>
      <c r="D37" s="203">
        <f>notas!D552</f>
        <v>3957743</v>
      </c>
      <c r="E37" s="203"/>
      <c r="F37" s="203">
        <f>notas!F552</f>
        <v>2367569</v>
      </c>
      <c r="G37" s="203"/>
      <c r="H37" s="203">
        <f>D37-F37</f>
        <v>1590174</v>
      </c>
      <c r="I37" s="36"/>
      <c r="J37" s="52">
        <f>IF((F37&lt;&gt;0),(H37/F37),1)</f>
        <v>0.67164842925380419</v>
      </c>
    </row>
    <row r="38" spans="1:10" s="328" customFormat="1" x14ac:dyDescent="0.2">
      <c r="A38" s="5" t="str">
        <f>'pyg y notas'!A34</f>
        <v>Total gastos no operacionales</v>
      </c>
      <c r="B38" s="5"/>
      <c r="C38" s="9"/>
      <c r="D38" s="202">
        <f>SUM(D36:D37)</f>
        <v>5637264</v>
      </c>
      <c r="E38" s="202"/>
      <c r="F38" s="202">
        <f>SUM(F36:F37)</f>
        <v>4454831</v>
      </c>
      <c r="G38" s="202"/>
      <c r="H38" s="202">
        <f>SUM(H36:H37)</f>
        <v>1182433</v>
      </c>
      <c r="I38" s="5"/>
      <c r="J38" s="16">
        <f>IF((F38&lt;&gt;0),(H38/F38),1)</f>
        <v>0.26542712843652205</v>
      </c>
    </row>
    <row r="39" spans="1:10" s="328" customFormat="1" x14ac:dyDescent="0.2">
      <c r="C39" s="287"/>
      <c r="D39" s="204"/>
      <c r="E39" s="204"/>
      <c r="F39" s="204"/>
      <c r="G39" s="204"/>
      <c r="H39" s="204"/>
      <c r="J39" s="49"/>
    </row>
    <row r="40" spans="1:10" s="328" customFormat="1" ht="12.75" customHeight="1" x14ac:dyDescent="0.2">
      <c r="C40" s="287"/>
      <c r="D40" s="204"/>
      <c r="E40" s="204"/>
      <c r="F40" s="204"/>
      <c r="G40" s="204"/>
      <c r="H40" s="204"/>
      <c r="J40" s="49"/>
    </row>
    <row r="41" spans="1:10" s="328" customFormat="1" x14ac:dyDescent="0.2">
      <c r="A41" s="3" t="str">
        <f>'pyg y notas'!A36</f>
        <v>EXCEDENTE NETO</v>
      </c>
      <c r="B41" s="3"/>
      <c r="C41" s="10"/>
      <c r="D41" s="197">
        <f>D21+D33-D38</f>
        <v>15346332</v>
      </c>
      <c r="E41" s="197"/>
      <c r="F41" s="197">
        <f>F21+F33-F38</f>
        <v>11080889</v>
      </c>
      <c r="G41" s="197"/>
      <c r="H41" s="197">
        <f>D41-F41</f>
        <v>4265443</v>
      </c>
      <c r="I41" s="3"/>
      <c r="J41" s="14">
        <f>IF((F41&lt;&gt;0),(H41/F41),1)</f>
        <v>0.38493689450368107</v>
      </c>
    </row>
    <row r="42" spans="1:10" s="328" customFormat="1" x14ac:dyDescent="0.2">
      <c r="A42" s="396" t="str">
        <f>bce!A45</f>
        <v>LAS NOTAS DE LA 1 A LA 28 QUE SE ACOMPAÑAN HACEN PARTE INTEGRAL DE LOS ESTADOS FINANCIEROS</v>
      </c>
      <c r="C42" s="287"/>
      <c r="D42" s="257"/>
      <c r="E42" s="257"/>
      <c r="F42" s="257"/>
      <c r="G42" s="257"/>
      <c r="J42" s="49"/>
    </row>
    <row r="43" spans="1:10" s="328" customFormat="1" x14ac:dyDescent="0.2">
      <c r="C43" s="287"/>
      <c r="D43" s="257"/>
      <c r="H43" s="257"/>
      <c r="J43" s="49"/>
    </row>
    <row r="44" spans="1:10" s="328" customFormat="1" x14ac:dyDescent="0.2">
      <c r="C44" s="287"/>
      <c r="D44" s="24"/>
      <c r="E44" s="51"/>
      <c r="F44" s="24"/>
      <c r="J44" s="49"/>
    </row>
    <row r="45" spans="1:10" s="328" customFormat="1" x14ac:dyDescent="0.2">
      <c r="C45" s="287"/>
      <c r="D45" s="24"/>
      <c r="E45" s="51"/>
      <c r="F45" s="24"/>
      <c r="H45" s="257"/>
      <c r="J45" s="49"/>
    </row>
    <row r="46" spans="1:10" s="328" customFormat="1" x14ac:dyDescent="0.2">
      <c r="C46" s="287"/>
      <c r="D46" s="24">
        <f>D44-D45</f>
        <v>0</v>
      </c>
      <c r="E46" s="51"/>
      <c r="F46" s="24">
        <f>F44-F45</f>
        <v>0</v>
      </c>
      <c r="J46" s="49"/>
    </row>
    <row r="47" spans="1:10" s="328" customFormat="1" x14ac:dyDescent="0.2">
      <c r="A47" s="258" t="s">
        <v>102</v>
      </c>
      <c r="D47" s="328" t="s">
        <v>42</v>
      </c>
      <c r="H47" s="328" t="s">
        <v>43</v>
      </c>
    </row>
    <row r="48" spans="1:10" s="328" customFormat="1" x14ac:dyDescent="0.2">
      <c r="A48" s="293" t="s">
        <v>44</v>
      </c>
      <c r="D48" s="293" t="s">
        <v>45</v>
      </c>
      <c r="E48" s="293"/>
      <c r="H48" s="293" t="s">
        <v>46</v>
      </c>
    </row>
    <row r="49" spans="3:10" s="328" customFormat="1" x14ac:dyDescent="0.2">
      <c r="D49" s="293" t="s">
        <v>47</v>
      </c>
      <c r="E49" s="293"/>
      <c r="H49" s="328" t="s">
        <v>48</v>
      </c>
    </row>
    <row r="50" spans="3:10" s="328" customFormat="1" x14ac:dyDescent="0.2">
      <c r="C50" s="287"/>
      <c r="J50" s="49"/>
    </row>
    <row r="51" spans="3:10" s="328" customFormat="1" x14ac:dyDescent="0.2">
      <c r="C51" s="287"/>
      <c r="J51" s="49"/>
    </row>
    <row r="52" spans="3:10" s="328" customFormat="1" x14ac:dyDescent="0.2">
      <c r="C52" s="287"/>
      <c r="F52" s="239"/>
      <c r="J52" s="49"/>
    </row>
    <row r="53" spans="3:10" s="328" customFormat="1" x14ac:dyDescent="0.2">
      <c r="C53" s="287"/>
      <c r="F53" s="257"/>
      <c r="J53" s="49"/>
    </row>
    <row r="54" spans="3:10" s="328" customFormat="1" x14ac:dyDescent="0.2">
      <c r="C54" s="287"/>
      <c r="J54" s="49"/>
    </row>
  </sheetData>
  <mergeCells count="1">
    <mergeCell ref="A2:J2"/>
  </mergeCells>
  <phoneticPr fontId="9" type="noConversion"/>
  <pageMargins left="1.1023622047244095" right="0.55118110236220474" top="1.1811023622047245" bottom="1.1811023622047245" header="0" footer="0.39370078740157483"/>
  <pageSetup scale="80" orientation="portrait" r:id="rId1"/>
  <headerFooter alignWithMargins="0">
    <oddFooter>&amp;L&amp;"Garamond,Cursiva"&amp;14    Informe Financiero a diciembre de 2013&amp;C&amp;"Garamond,Cursiva"&amp;14 4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indexed="10"/>
  </sheetPr>
  <dimension ref="A1:XAM691"/>
  <sheetViews>
    <sheetView showGridLines="0" topLeftCell="A410" zoomScaleNormal="100" zoomScaleSheetLayoutView="80" zoomScalePageLayoutView="75" workbookViewId="0">
      <selection activeCell="B426" sqref="B426"/>
    </sheetView>
  </sheetViews>
  <sheetFormatPr baseColWidth="10" defaultRowHeight="15" customHeight="1" x14ac:dyDescent="0.2"/>
  <cols>
    <col min="1" max="1" width="3.140625" style="72" customWidth="1"/>
    <col min="2" max="2" width="42.28515625" style="72" customWidth="1"/>
    <col min="3" max="3" width="3.5703125" style="72" customWidth="1"/>
    <col min="4" max="4" width="17.7109375" style="48" customWidth="1"/>
    <col min="5" max="5" width="0.85546875" style="72" customWidth="1"/>
    <col min="6" max="6" width="17.7109375" style="48" customWidth="1"/>
    <col min="7" max="7" width="0.85546875" style="72" customWidth="1"/>
    <col min="8" max="8" width="17.7109375" style="72" customWidth="1"/>
    <col min="9" max="9" width="0.85546875" style="72" customWidth="1"/>
    <col min="10" max="10" width="17.7109375" style="49" customWidth="1"/>
    <col min="11" max="16384" width="11.42578125" style="72"/>
  </cols>
  <sheetData>
    <row r="1" spans="1:10" s="38" customFormat="1" ht="36" x14ac:dyDescent="0.2">
      <c r="A1" s="63" t="s">
        <v>121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s="38" customFormat="1" ht="15" customHeight="1" x14ac:dyDescent="0.2">
      <c r="D2" s="58"/>
      <c r="F2" s="58"/>
      <c r="J2" s="81"/>
    </row>
    <row r="3" spans="1:10" s="254" customFormat="1" ht="10.5" customHeight="1" x14ac:dyDescent="0.2">
      <c r="D3" s="257"/>
      <c r="F3" s="257"/>
      <c r="J3" s="49"/>
    </row>
    <row r="4" spans="1:10" s="254" customFormat="1" ht="18" x14ac:dyDescent="0.25">
      <c r="A4" s="37" t="str">
        <f>'notas bce prueba1'!A3</f>
        <v>3. DISPONIBLE</v>
      </c>
      <c r="B4" s="39"/>
      <c r="C4" s="240"/>
      <c r="D4" s="257"/>
      <c r="E4" s="240"/>
      <c r="F4" s="257"/>
      <c r="G4" s="240"/>
      <c r="J4" s="49"/>
    </row>
    <row r="5" spans="1:10" s="254" customFormat="1" ht="12" customHeight="1" x14ac:dyDescent="0.2">
      <c r="A5" s="240"/>
      <c r="B5" s="240"/>
      <c r="C5" s="240"/>
      <c r="D5" s="257"/>
      <c r="E5" s="240"/>
      <c r="F5" s="257"/>
      <c r="G5" s="240"/>
      <c r="J5" s="49"/>
    </row>
    <row r="6" spans="1:10" s="328" customFormat="1" ht="15" customHeight="1" x14ac:dyDescent="0.2">
      <c r="A6" s="69"/>
      <c r="B6" s="69"/>
      <c r="C6" s="69"/>
      <c r="D6" s="66">
        <v>2013</v>
      </c>
      <c r="E6" s="67"/>
      <c r="F6" s="66">
        <v>2012</v>
      </c>
      <c r="G6" s="67"/>
      <c r="H6" s="68" t="s">
        <v>19</v>
      </c>
      <c r="I6" s="66"/>
      <c r="J6" s="295" t="s">
        <v>19</v>
      </c>
    </row>
    <row r="7" spans="1:10" s="328" customFormat="1" ht="15" customHeight="1" x14ac:dyDescent="0.2">
      <c r="A7" s="69"/>
      <c r="B7" s="69"/>
      <c r="C7" s="69"/>
      <c r="D7" s="67"/>
      <c r="E7" s="67"/>
      <c r="F7" s="67"/>
      <c r="G7" s="67"/>
      <c r="H7" s="68" t="s">
        <v>20</v>
      </c>
      <c r="I7" s="296"/>
      <c r="J7" s="295" t="s">
        <v>21</v>
      </c>
    </row>
    <row r="8" spans="1:10" s="328" customFormat="1" ht="15" customHeight="1" x14ac:dyDescent="0.2">
      <c r="A8" s="240"/>
      <c r="B8" s="240"/>
      <c r="C8" s="240"/>
      <c r="D8" s="257"/>
      <c r="E8" s="240"/>
      <c r="F8" s="257"/>
      <c r="G8" s="240"/>
      <c r="J8" s="49"/>
    </row>
    <row r="9" spans="1:10" s="328" customFormat="1" ht="15" customHeight="1" x14ac:dyDescent="0.2">
      <c r="A9" s="344" t="str">
        <f>'notas bce prueba1'!A5</f>
        <v>Caja</v>
      </c>
      <c r="B9" s="344"/>
      <c r="C9" s="344"/>
      <c r="D9" s="444">
        <f>'notas bce prueba1'!C5</f>
        <v>19537</v>
      </c>
      <c r="E9" s="203"/>
      <c r="F9" s="203">
        <f>'notas bce prueba1'!D5</f>
        <v>9391</v>
      </c>
      <c r="G9" s="203"/>
      <c r="H9" s="203">
        <f>D9-F9</f>
        <v>10146</v>
      </c>
      <c r="I9" s="36"/>
      <c r="J9" s="52">
        <f>IF((F9&lt;&gt;0),(H9/F9),1)</f>
        <v>1.0803961239484612</v>
      </c>
    </row>
    <row r="10" spans="1:10" s="328" customFormat="1" ht="15" customHeight="1" x14ac:dyDescent="0.2">
      <c r="A10" s="344" t="str">
        <f>'notas bce prueba1'!A6</f>
        <v>Bancos</v>
      </c>
      <c r="B10" s="344"/>
      <c r="C10" s="344"/>
      <c r="D10" s="203">
        <f>'notas bce prueba1'!C6</f>
        <v>5879583</v>
      </c>
      <c r="E10" s="203"/>
      <c r="F10" s="203">
        <f>'notas bce prueba1'!D6</f>
        <v>1965690</v>
      </c>
      <c r="G10" s="203"/>
      <c r="H10" s="203">
        <f>D10-F10</f>
        <v>3913893</v>
      </c>
      <c r="I10" s="36"/>
      <c r="J10" s="52">
        <f>IF((F10&lt;&gt;0),(H10/F10),1)</f>
        <v>1.9911038871846527</v>
      </c>
    </row>
    <row r="11" spans="1:10" s="328" customFormat="1" ht="15" customHeight="1" x14ac:dyDescent="0.2">
      <c r="A11" s="344" t="str">
        <f>'notas bce prueba1'!A7</f>
        <v>Cuentas de ahorros</v>
      </c>
      <c r="B11" s="344"/>
      <c r="C11" s="344"/>
      <c r="D11" s="203">
        <f>'notas bce prueba1'!C7</f>
        <v>39311085</v>
      </c>
      <c r="E11" s="203"/>
      <c r="F11" s="203">
        <f>'notas bce prueba1'!D7</f>
        <v>1751031</v>
      </c>
      <c r="G11" s="203"/>
      <c r="H11" s="203">
        <f>D11-F11</f>
        <v>37560054</v>
      </c>
      <c r="I11" s="36"/>
      <c r="J11" s="52">
        <f>IF((F11&lt;&gt;0),(H11/F11),1)</f>
        <v>21.450250737993787</v>
      </c>
    </row>
    <row r="12" spans="1:10" s="328" customFormat="1" ht="15" customHeight="1" x14ac:dyDescent="0.2">
      <c r="A12" s="344" t="str">
        <f>'notas bce prueba1'!A8</f>
        <v>Fondos</v>
      </c>
      <c r="B12" s="344"/>
      <c r="C12" s="344"/>
      <c r="D12" s="203">
        <f>'notas bce prueba1'!C8</f>
        <v>18140</v>
      </c>
      <c r="E12" s="203"/>
      <c r="F12" s="203">
        <f>'notas bce prueba1'!D8</f>
        <v>8893</v>
      </c>
      <c r="G12" s="203"/>
      <c r="H12" s="203">
        <f>D12-F12</f>
        <v>9247</v>
      </c>
      <c r="I12" s="36"/>
      <c r="J12" s="52">
        <f>IF((F12&lt;&gt;0),(H12/F12),1)</f>
        <v>1.0398065894523782</v>
      </c>
    </row>
    <row r="13" spans="1:10" s="328" customFormat="1" ht="15" customHeight="1" x14ac:dyDescent="0.2">
      <c r="A13" s="240"/>
      <c r="B13" s="240"/>
      <c r="C13" s="240"/>
      <c r="D13" s="204"/>
      <c r="E13" s="204"/>
      <c r="F13" s="206"/>
      <c r="G13" s="206"/>
      <c r="H13" s="203"/>
      <c r="J13" s="49"/>
    </row>
    <row r="14" spans="1:10" s="328" customFormat="1" ht="15" customHeight="1" x14ac:dyDescent="0.2">
      <c r="A14" s="345" t="str">
        <f>'notas bce prueba1'!A9</f>
        <v>TOTAL</v>
      </c>
      <c r="B14" s="345"/>
      <c r="C14" s="345"/>
      <c r="D14" s="197">
        <f>SUM(D9:D13)</f>
        <v>45228345</v>
      </c>
      <c r="E14" s="197"/>
      <c r="F14" s="197">
        <f>SUM(F9:F13)</f>
        <v>3735005</v>
      </c>
      <c r="G14" s="202"/>
      <c r="H14" s="197">
        <f>SUM(H9:H13)</f>
        <v>41493340</v>
      </c>
      <c r="I14" s="3"/>
      <c r="J14" s="346">
        <f>H14/F14</f>
        <v>11.109313106675895</v>
      </c>
    </row>
    <row r="15" spans="1:10" s="328" customFormat="1" ht="15" customHeight="1" x14ac:dyDescent="0.2">
      <c r="A15" s="240"/>
      <c r="B15" s="240"/>
      <c r="C15" s="240"/>
      <c r="D15" s="257"/>
      <c r="E15" s="240"/>
      <c r="F15" s="257"/>
      <c r="G15" s="240"/>
      <c r="J15" s="49"/>
    </row>
    <row r="16" spans="1:10" s="328" customFormat="1" ht="12.75" x14ac:dyDescent="0.2">
      <c r="A16" s="460" t="s">
        <v>531</v>
      </c>
      <c r="B16" s="461"/>
      <c r="C16" s="461"/>
      <c r="D16" s="461"/>
      <c r="E16" s="461"/>
      <c r="F16" s="461"/>
      <c r="G16" s="461"/>
      <c r="H16" s="461"/>
      <c r="I16" s="461"/>
      <c r="J16" s="461"/>
    </row>
    <row r="17" spans="1:11" s="328" customFormat="1" ht="12.75" x14ac:dyDescent="0.2">
      <c r="A17" s="459" t="s">
        <v>532</v>
      </c>
      <c r="B17" s="459"/>
      <c r="C17" s="459"/>
      <c r="D17" s="459"/>
      <c r="E17" s="459"/>
      <c r="F17" s="459"/>
      <c r="G17" s="459"/>
      <c r="H17" s="459"/>
      <c r="I17" s="459"/>
      <c r="J17" s="459"/>
    </row>
    <row r="18" spans="1:11" s="328" customFormat="1" ht="45.75" customHeight="1" x14ac:dyDescent="0.2">
      <c r="A18" s="459" t="s">
        <v>533</v>
      </c>
      <c r="B18" s="459"/>
      <c r="C18" s="459"/>
      <c r="D18" s="459"/>
      <c r="E18" s="459"/>
      <c r="F18" s="459"/>
      <c r="G18" s="459"/>
      <c r="H18" s="459"/>
      <c r="I18" s="459"/>
      <c r="J18" s="459"/>
    </row>
    <row r="19" spans="1:11" s="328" customFormat="1" ht="12.75" x14ac:dyDescent="0.2">
      <c r="A19" s="400"/>
      <c r="B19" s="400"/>
      <c r="C19" s="400"/>
      <c r="D19" s="400"/>
      <c r="E19" s="400"/>
      <c r="F19" s="400"/>
      <c r="G19" s="400"/>
      <c r="H19" s="400"/>
      <c r="I19" s="400"/>
      <c r="J19" s="400"/>
    </row>
    <row r="20" spans="1:11" s="254" customFormat="1" ht="18" x14ac:dyDescent="0.25">
      <c r="A20" s="427" t="str">
        <f>'notas bce prueba1'!A11</f>
        <v>4. INVERSIONES</v>
      </c>
      <c r="B20" s="428"/>
      <c r="C20" s="429"/>
      <c r="D20" s="429"/>
      <c r="E20" s="428"/>
      <c r="F20" s="430"/>
      <c r="G20" s="428"/>
      <c r="H20" s="431"/>
      <c r="I20" s="432"/>
      <c r="J20" s="433"/>
      <c r="K20" s="432"/>
    </row>
    <row r="21" spans="1:11" s="254" customFormat="1" ht="7.5" customHeight="1" x14ac:dyDescent="0.2">
      <c r="A21" s="240"/>
      <c r="B21" s="240"/>
      <c r="C21" s="240"/>
      <c r="D21" s="257"/>
      <c r="E21" s="240"/>
      <c r="F21" s="257"/>
      <c r="G21" s="240"/>
      <c r="J21" s="49"/>
    </row>
    <row r="22" spans="1:11" s="254" customFormat="1" ht="15" customHeight="1" x14ac:dyDescent="0.2">
      <c r="A22" s="395" t="s">
        <v>252</v>
      </c>
      <c r="B22" s="238"/>
      <c r="C22" s="238"/>
      <c r="D22" s="238"/>
      <c r="E22" s="238"/>
      <c r="F22" s="238"/>
      <c r="G22" s="238"/>
      <c r="H22" s="238"/>
      <c r="I22" s="238"/>
      <c r="J22" s="238"/>
    </row>
    <row r="23" spans="1:11" s="254" customFormat="1" ht="90" customHeight="1" x14ac:dyDescent="0.2">
      <c r="A23" s="225"/>
      <c r="B23" s="226"/>
      <c r="C23" s="226"/>
      <c r="D23" s="226"/>
      <c r="E23" s="226"/>
      <c r="F23" s="226"/>
      <c r="G23" s="226"/>
      <c r="H23" s="226"/>
      <c r="I23" s="226"/>
      <c r="J23" s="226"/>
    </row>
    <row r="24" spans="1:11" s="254" customFormat="1" ht="15" customHeight="1" x14ac:dyDescent="0.2">
      <c r="A24" s="225"/>
      <c r="B24" s="463"/>
      <c r="C24" s="463"/>
      <c r="D24" s="217"/>
      <c r="E24" s="218"/>
      <c r="F24" s="218"/>
      <c r="G24" s="218"/>
      <c r="H24" s="217"/>
      <c r="I24" s="217"/>
      <c r="J24" s="217"/>
    </row>
    <row r="25" spans="1:11" s="254" customFormat="1" ht="15" customHeight="1" x14ac:dyDescent="0.2">
      <c r="A25" s="225"/>
      <c r="B25" s="227"/>
      <c r="C25" s="227"/>
      <c r="D25" s="227"/>
      <c r="E25" s="228"/>
      <c r="F25" s="228"/>
      <c r="G25" s="218"/>
      <c r="H25" s="341"/>
      <c r="I25" s="221"/>
      <c r="J25" s="341"/>
    </row>
    <row r="26" spans="1:11" s="254" customFormat="1" ht="15" customHeight="1" x14ac:dyDescent="0.2">
      <c r="A26" s="225"/>
      <c r="B26" s="227"/>
      <c r="C26" s="227"/>
      <c r="D26" s="227"/>
      <c r="E26" s="228"/>
      <c r="F26" s="228"/>
      <c r="G26" s="218"/>
      <c r="H26" s="341"/>
      <c r="I26" s="221"/>
      <c r="J26" s="341"/>
    </row>
    <row r="27" spans="1:11" s="254" customFormat="1" ht="15" customHeight="1" x14ac:dyDescent="0.2">
      <c r="A27" s="225"/>
      <c r="B27" s="227"/>
      <c r="C27" s="227"/>
      <c r="D27" s="227"/>
      <c r="E27" s="228"/>
      <c r="F27" s="228"/>
      <c r="G27" s="218"/>
      <c r="H27" s="341"/>
      <c r="I27" s="221"/>
      <c r="J27" s="341"/>
    </row>
    <row r="28" spans="1:11" s="254" customFormat="1" ht="15" customHeight="1" x14ac:dyDescent="0.2">
      <c r="A28" s="225"/>
      <c r="B28" s="227"/>
      <c r="C28" s="227"/>
      <c r="D28" s="227"/>
      <c r="E28" s="228"/>
      <c r="F28" s="228"/>
      <c r="G28" s="218"/>
      <c r="H28" s="341"/>
      <c r="I28" s="221"/>
      <c r="J28" s="341"/>
    </row>
    <row r="29" spans="1:11" s="254" customFormat="1" ht="15" customHeight="1" x14ac:dyDescent="0.2">
      <c r="A29" s="225"/>
      <c r="B29" s="227"/>
      <c r="C29" s="227"/>
      <c r="D29" s="227"/>
      <c r="E29" s="228"/>
      <c r="F29" s="228"/>
      <c r="G29" s="218"/>
      <c r="H29" s="341"/>
      <c r="I29" s="221"/>
      <c r="J29" s="341"/>
    </row>
    <row r="30" spans="1:11" s="254" customFormat="1" ht="15" customHeight="1" x14ac:dyDescent="0.2">
      <c r="A30" s="225"/>
      <c r="B30" s="227"/>
      <c r="C30" s="227"/>
      <c r="D30" s="227"/>
      <c r="E30" s="228"/>
      <c r="F30" s="228"/>
      <c r="G30" s="218"/>
      <c r="H30" s="341"/>
      <c r="I30" s="221"/>
      <c r="J30" s="341"/>
    </row>
    <row r="31" spans="1:11" s="254" customFormat="1" ht="15" customHeight="1" x14ac:dyDescent="0.2">
      <c r="A31" s="225"/>
      <c r="B31" s="227"/>
      <c r="C31" s="227"/>
      <c r="D31" s="227"/>
      <c r="E31" s="229"/>
      <c r="F31" s="228"/>
      <c r="G31" s="228"/>
      <c r="H31" s="281"/>
      <c r="I31" s="221"/>
      <c r="J31" s="281"/>
    </row>
    <row r="32" spans="1:11" s="254" customFormat="1" ht="15" customHeight="1" x14ac:dyDescent="0.2">
      <c r="A32" s="225"/>
      <c r="B32" s="227"/>
      <c r="C32" s="227"/>
      <c r="D32" s="227"/>
      <c r="E32" s="229"/>
      <c r="F32" s="228"/>
      <c r="G32" s="228"/>
      <c r="H32" s="281"/>
      <c r="I32" s="221"/>
      <c r="J32" s="281"/>
    </row>
    <row r="33" spans="1:10" s="254" customFormat="1" ht="15" customHeight="1" x14ac:dyDescent="0.2">
      <c r="A33" s="225"/>
      <c r="B33" s="227"/>
      <c r="C33" s="227"/>
      <c r="D33" s="227"/>
      <c r="E33" s="229"/>
      <c r="F33" s="228"/>
      <c r="G33" s="228"/>
      <c r="H33" s="281"/>
      <c r="I33" s="221"/>
      <c r="J33" s="281"/>
    </row>
    <row r="34" spans="1:10" s="254" customFormat="1" ht="15" customHeight="1" x14ac:dyDescent="0.2">
      <c r="A34" s="225"/>
      <c r="B34" s="227"/>
      <c r="C34" s="227"/>
      <c r="D34" s="227"/>
      <c r="E34" s="229"/>
      <c r="F34" s="228"/>
      <c r="G34" s="228"/>
      <c r="H34" s="281"/>
      <c r="I34" s="221"/>
      <c r="J34" s="281"/>
    </row>
    <row r="35" spans="1:10" s="254" customFormat="1" ht="15" customHeight="1" x14ac:dyDescent="0.2">
      <c r="A35" s="225"/>
      <c r="B35" s="227"/>
      <c r="C35" s="227"/>
      <c r="D35" s="227"/>
      <c r="E35" s="229"/>
      <c r="F35" s="228"/>
      <c r="G35" s="228"/>
      <c r="H35" s="281"/>
      <c r="I35" s="221"/>
      <c r="J35" s="281"/>
    </row>
    <row r="36" spans="1:10" s="254" customFormat="1" ht="15" customHeight="1" x14ac:dyDescent="0.2">
      <c r="A36" s="225"/>
      <c r="B36" s="227"/>
      <c r="C36" s="227"/>
      <c r="D36" s="227"/>
      <c r="E36" s="228"/>
      <c r="F36" s="228"/>
      <c r="G36" s="228"/>
      <c r="H36" s="281"/>
      <c r="I36" s="221"/>
      <c r="J36" s="230"/>
    </row>
    <row r="37" spans="1:10" s="254" customFormat="1" ht="15" customHeight="1" x14ac:dyDescent="0.2">
      <c r="A37" s="225"/>
      <c r="B37" s="227"/>
      <c r="C37" s="227"/>
      <c r="D37" s="227"/>
      <c r="E37" s="229"/>
      <c r="F37" s="228"/>
      <c r="G37" s="228"/>
      <c r="H37" s="281"/>
      <c r="I37" s="221"/>
      <c r="J37" s="230"/>
    </row>
    <row r="38" spans="1:10" s="254" customFormat="1" ht="15" customHeight="1" x14ac:dyDescent="0.2">
      <c r="A38" s="225"/>
      <c r="B38" s="227"/>
      <c r="C38" s="227"/>
      <c r="D38" s="227"/>
      <c r="E38" s="229"/>
      <c r="F38" s="228"/>
      <c r="G38" s="228"/>
      <c r="H38" s="281"/>
      <c r="I38" s="221"/>
      <c r="J38" s="230"/>
    </row>
    <row r="39" spans="1:10" s="254" customFormat="1" ht="15" customHeight="1" x14ac:dyDescent="0.2">
      <c r="A39" s="225"/>
      <c r="B39" s="227"/>
      <c r="C39" s="227"/>
      <c r="D39" s="227"/>
      <c r="E39" s="229"/>
      <c r="F39" s="228"/>
      <c r="G39" s="228"/>
      <c r="H39" s="281"/>
      <c r="I39" s="221"/>
      <c r="J39" s="230"/>
    </row>
    <row r="40" spans="1:10" s="254" customFormat="1" ht="15" customHeight="1" x14ac:dyDescent="0.2">
      <c r="A40" s="225"/>
      <c r="B40" s="227"/>
      <c r="C40" s="227"/>
      <c r="D40" s="227"/>
      <c r="E40" s="229"/>
      <c r="F40" s="228"/>
      <c r="G40" s="228"/>
      <c r="H40" s="281"/>
      <c r="I40" s="221"/>
      <c r="J40" s="230"/>
    </row>
    <row r="41" spans="1:10" s="254" customFormat="1" ht="15" customHeight="1" x14ac:dyDescent="0.2">
      <c r="A41" s="225"/>
      <c r="B41" s="227"/>
      <c r="C41" s="227"/>
      <c r="D41" s="227"/>
      <c r="E41" s="229"/>
      <c r="F41" s="228"/>
      <c r="G41" s="228"/>
      <c r="H41" s="281"/>
      <c r="I41" s="221"/>
      <c r="J41" s="230"/>
    </row>
    <row r="42" spans="1:10" s="254" customFormat="1" ht="15" customHeight="1" x14ac:dyDescent="0.2">
      <c r="A42" s="225"/>
      <c r="B42" s="227"/>
      <c r="C42" s="227"/>
      <c r="D42" s="227"/>
      <c r="E42" s="229"/>
      <c r="F42" s="228"/>
      <c r="G42" s="228"/>
      <c r="H42" s="281"/>
      <c r="I42" s="221"/>
      <c r="J42" s="230"/>
    </row>
    <row r="43" spans="1:10" s="254" customFormat="1" ht="15" customHeight="1" x14ac:dyDescent="0.2">
      <c r="A43" s="225"/>
      <c r="B43" s="227"/>
      <c r="C43" s="227"/>
      <c r="D43" s="227"/>
      <c r="E43" s="228"/>
      <c r="F43" s="228"/>
      <c r="G43" s="228"/>
      <c r="H43" s="281"/>
      <c r="I43" s="221"/>
      <c r="J43" s="230"/>
    </row>
    <row r="44" spans="1:10" s="254" customFormat="1" ht="15" customHeight="1" x14ac:dyDescent="0.2">
      <c r="A44" s="225"/>
      <c r="B44" s="227"/>
      <c r="C44" s="227"/>
      <c r="D44" s="227"/>
      <c r="E44" s="228"/>
      <c r="F44" s="228"/>
      <c r="G44" s="228"/>
      <c r="H44" s="281"/>
      <c r="I44" s="221"/>
      <c r="J44" s="230"/>
    </row>
    <row r="45" spans="1:10" s="254" customFormat="1" ht="12.75" x14ac:dyDescent="0.2">
      <c r="A45" s="225"/>
      <c r="B45" s="280"/>
      <c r="C45" s="282"/>
      <c r="D45" s="282"/>
      <c r="E45" s="220"/>
      <c r="F45" s="220"/>
      <c r="G45" s="220"/>
      <c r="H45" s="282"/>
      <c r="I45" s="282"/>
      <c r="J45" s="282"/>
    </row>
    <row r="46" spans="1:10" s="254" customFormat="1" ht="12.75" x14ac:dyDescent="0.2">
      <c r="A46" s="225"/>
      <c r="B46" s="280"/>
      <c r="C46" s="282"/>
      <c r="D46" s="282"/>
      <c r="E46" s="220"/>
      <c r="F46" s="220"/>
      <c r="G46" s="220"/>
      <c r="H46" s="464"/>
      <c r="I46" s="464"/>
      <c r="J46" s="464"/>
    </row>
    <row r="47" spans="1:10" s="254" customFormat="1" ht="12.75" x14ac:dyDescent="0.2">
      <c r="A47" s="225"/>
      <c r="B47" s="231"/>
      <c r="C47" s="226"/>
      <c r="D47" s="226"/>
      <c r="E47" s="232"/>
      <c r="F47" s="232"/>
      <c r="G47" s="232"/>
      <c r="H47" s="464"/>
      <c r="I47" s="464"/>
      <c r="J47" s="464"/>
    </row>
    <row r="48" spans="1:10" s="254" customFormat="1" ht="15" customHeight="1" x14ac:dyDescent="0.2">
      <c r="A48" s="225"/>
      <c r="B48" s="219"/>
      <c r="C48" s="219"/>
      <c r="D48" s="281"/>
      <c r="E48" s="220"/>
      <c r="F48" s="220"/>
      <c r="G48" s="220"/>
      <c r="H48" s="281"/>
      <c r="I48" s="221"/>
      <c r="J48" s="281"/>
    </row>
    <row r="49" spans="1:2047 2050:7167 7170:12287 12290:16263" s="254" customFormat="1" ht="15" customHeight="1" x14ac:dyDescent="0.2">
      <c r="A49" s="225"/>
      <c r="B49" s="463"/>
      <c r="C49" s="463"/>
      <c r="D49" s="465"/>
      <c r="E49" s="465"/>
      <c r="F49" s="465"/>
      <c r="G49" s="465"/>
      <c r="H49" s="465"/>
      <c r="I49" s="465"/>
      <c r="J49" s="465"/>
    </row>
    <row r="50" spans="1:2047 2050:7167 7170:12287 12290:16263" s="254" customFormat="1" ht="15" customHeight="1" x14ac:dyDescent="0.2">
      <c r="A50" s="225"/>
      <c r="B50" s="217"/>
      <c r="C50" s="227"/>
      <c r="D50" s="227"/>
      <c r="E50" s="228"/>
      <c r="F50" s="228"/>
      <c r="G50" s="228"/>
      <c r="H50" s="281"/>
      <c r="I50" s="221"/>
      <c r="J50" s="281"/>
    </row>
    <row r="51" spans="1:2047 2050:7167 7170:12287 12290:16263" s="254" customFormat="1" ht="15" customHeight="1" x14ac:dyDescent="0.2">
      <c r="A51" s="225"/>
      <c r="B51" s="227"/>
      <c r="C51" s="227"/>
      <c r="D51" s="227"/>
      <c r="E51" s="228"/>
      <c r="F51" s="228"/>
      <c r="G51" s="228"/>
      <c r="H51" s="281"/>
      <c r="I51" s="221"/>
      <c r="J51" s="281"/>
    </row>
    <row r="52" spans="1:2047 2050:7167 7170:12287 12290:16263" s="254" customFormat="1" ht="15" customHeight="1" x14ac:dyDescent="0.2">
      <c r="A52" s="225"/>
      <c r="B52" s="280"/>
      <c r="C52" s="282"/>
      <c r="D52" s="282"/>
      <c r="E52" s="220"/>
      <c r="F52" s="220"/>
      <c r="G52" s="220"/>
      <c r="H52" s="464"/>
      <c r="I52" s="464"/>
      <c r="J52" s="464"/>
    </row>
    <row r="53" spans="1:2047 2050:7167 7170:12287 12290:16263" s="254" customFormat="1" ht="15" customHeight="1" x14ac:dyDescent="0.2">
      <c r="A53" s="225"/>
      <c r="B53" s="280"/>
      <c r="C53" s="282"/>
      <c r="D53" s="282"/>
      <c r="E53" s="220"/>
      <c r="F53" s="220"/>
      <c r="G53" s="228"/>
      <c r="H53" s="464"/>
      <c r="I53" s="464"/>
      <c r="J53" s="464"/>
    </row>
    <row r="54" spans="1:2047 2050:7167 7170:12287 12290:16263" s="254" customFormat="1" ht="27" customHeight="1" x14ac:dyDescent="0.2">
      <c r="A54" s="225"/>
      <c r="B54" s="231"/>
      <c r="C54" s="226"/>
      <c r="D54" s="226"/>
      <c r="E54" s="232"/>
      <c r="F54" s="232"/>
      <c r="G54" s="232"/>
      <c r="H54" s="464"/>
      <c r="I54" s="464"/>
      <c r="J54" s="464"/>
    </row>
    <row r="55" spans="1:2047 2050:7167 7170:12287 12290:16263" s="254" customFormat="1" ht="15" customHeight="1" x14ac:dyDescent="0.2">
      <c r="A55" s="225"/>
      <c r="B55" s="225"/>
      <c r="C55" s="225"/>
      <c r="D55" s="233"/>
      <c r="E55" s="225"/>
      <c r="F55" s="233"/>
      <c r="G55" s="225"/>
      <c r="H55" s="224"/>
      <c r="I55" s="224"/>
      <c r="J55" s="234"/>
      <c r="K55" s="49"/>
      <c r="L55" s="240"/>
      <c r="M55" s="240"/>
      <c r="N55" s="257"/>
      <c r="O55" s="240"/>
      <c r="P55" s="257"/>
      <c r="Q55" s="240"/>
      <c r="T55" s="49"/>
      <c r="U55" s="240"/>
      <c r="V55" s="240"/>
      <c r="W55" s="240"/>
      <c r="X55" s="257"/>
      <c r="Y55" s="240"/>
      <c r="Z55" s="257"/>
      <c r="AA55" s="240"/>
      <c r="AD55" s="49"/>
      <c r="AE55" s="240"/>
      <c r="AF55" s="240"/>
      <c r="AG55" s="240"/>
      <c r="AH55" s="257"/>
      <c r="AI55" s="240"/>
      <c r="AJ55" s="257"/>
      <c r="AK55" s="240"/>
      <c r="AN55" s="49"/>
      <c r="AO55" s="240"/>
      <c r="AP55" s="240"/>
      <c r="AQ55" s="240"/>
      <c r="AR55" s="257"/>
      <c r="AS55" s="240"/>
      <c r="AT55" s="257"/>
      <c r="AU55" s="240"/>
      <c r="AX55" s="49"/>
      <c r="AY55" s="240"/>
      <c r="AZ55" s="240"/>
      <c r="BA55" s="240"/>
      <c r="BB55" s="257"/>
      <c r="BC55" s="240"/>
      <c r="BD55" s="257"/>
      <c r="BE55" s="240"/>
      <c r="BH55" s="49"/>
      <c r="BI55" s="240"/>
      <c r="BJ55" s="240"/>
      <c r="BK55" s="240"/>
      <c r="BL55" s="257"/>
      <c r="BM55" s="240"/>
      <c r="BN55" s="257"/>
      <c r="BO55" s="240"/>
      <c r="BR55" s="49"/>
      <c r="BS55" s="240"/>
      <c r="BT55" s="240"/>
      <c r="BU55" s="240"/>
      <c r="BV55" s="257"/>
      <c r="BW55" s="240"/>
      <c r="BX55" s="257"/>
      <c r="BY55" s="240"/>
      <c r="CB55" s="49"/>
      <c r="CC55" s="240"/>
      <c r="CD55" s="240"/>
      <c r="CE55" s="240"/>
      <c r="CF55" s="257"/>
      <c r="CG55" s="240"/>
      <c r="CH55" s="257"/>
      <c r="CI55" s="240"/>
      <c r="CL55" s="49"/>
      <c r="CM55" s="240"/>
      <c r="CN55" s="240"/>
      <c r="CO55" s="240"/>
      <c r="CP55" s="257"/>
      <c r="CQ55" s="240"/>
      <c r="CR55" s="257"/>
      <c r="CS55" s="240"/>
      <c r="CV55" s="49"/>
      <c r="CW55" s="240"/>
      <c r="CX55" s="240"/>
      <c r="CY55" s="240"/>
      <c r="CZ55" s="257"/>
      <c r="DA55" s="240"/>
      <c r="DB55" s="257"/>
      <c r="DC55" s="240"/>
      <c r="DF55" s="49"/>
      <c r="DG55" s="240"/>
      <c r="DH55" s="240"/>
      <c r="DI55" s="240"/>
      <c r="DJ55" s="257"/>
      <c r="DK55" s="240"/>
      <c r="DL55" s="257"/>
      <c r="DM55" s="240"/>
      <c r="DP55" s="49"/>
      <c r="DQ55" s="240"/>
      <c r="DR55" s="240"/>
      <c r="DS55" s="240"/>
      <c r="DT55" s="257"/>
      <c r="DU55" s="240"/>
      <c r="DV55" s="257"/>
      <c r="DW55" s="240"/>
      <c r="DZ55" s="49"/>
      <c r="EA55" s="240"/>
      <c r="EB55" s="240"/>
      <c r="EC55" s="240"/>
      <c r="ED55" s="257"/>
      <c r="EE55" s="240"/>
      <c r="EF55" s="257"/>
      <c r="EG55" s="240"/>
      <c r="EJ55" s="49"/>
      <c r="EK55" s="240"/>
      <c r="EL55" s="240"/>
      <c r="EM55" s="240"/>
      <c r="EN55" s="257"/>
      <c r="EO55" s="240"/>
      <c r="EP55" s="257"/>
      <c r="EQ55" s="240"/>
      <c r="ET55" s="49"/>
      <c r="EU55" s="240"/>
      <c r="EV55" s="240"/>
      <c r="EW55" s="240"/>
      <c r="EX55" s="257"/>
      <c r="EY55" s="240"/>
      <c r="EZ55" s="257"/>
      <c r="FA55" s="240"/>
      <c r="FD55" s="49"/>
      <c r="FE55" s="240"/>
      <c r="FF55" s="240"/>
      <c r="FG55" s="240"/>
      <c r="FH55" s="257"/>
      <c r="FI55" s="240"/>
      <c r="FJ55" s="257"/>
      <c r="FK55" s="240"/>
      <c r="FN55" s="49"/>
      <c r="FO55" s="240"/>
      <c r="FP55" s="240"/>
      <c r="FQ55" s="240"/>
      <c r="FR55" s="257"/>
      <c r="FS55" s="240"/>
      <c r="FT55" s="257"/>
      <c r="FU55" s="240"/>
      <c r="FX55" s="49"/>
      <c r="FY55" s="240"/>
      <c r="FZ55" s="240"/>
      <c r="GA55" s="240"/>
      <c r="GB55" s="257"/>
      <c r="GC55" s="240"/>
      <c r="GD55" s="257"/>
      <c r="GE55" s="240"/>
      <c r="GH55" s="49"/>
      <c r="GI55" s="240"/>
      <c r="GJ55" s="240"/>
      <c r="GK55" s="240"/>
      <c r="GL55" s="257"/>
      <c r="GM55" s="240"/>
      <c r="GN55" s="257"/>
      <c r="GO55" s="240"/>
      <c r="GR55" s="49"/>
      <c r="GS55" s="240"/>
      <c r="GT55" s="240"/>
      <c r="GU55" s="240"/>
      <c r="GV55" s="257"/>
      <c r="GW55" s="240"/>
      <c r="GX55" s="257"/>
      <c r="GY55" s="240"/>
      <c r="HB55" s="49"/>
      <c r="HC55" s="240"/>
      <c r="HD55" s="240"/>
      <c r="HE55" s="240"/>
      <c r="HF55" s="257"/>
      <c r="HG55" s="240"/>
      <c r="HH55" s="257"/>
      <c r="HI55" s="240"/>
      <c r="HL55" s="49"/>
      <c r="HM55" s="240"/>
      <c r="HN55" s="240"/>
      <c r="HO55" s="240"/>
      <c r="HP55" s="257"/>
      <c r="HQ55" s="240"/>
      <c r="HR55" s="257"/>
      <c r="HS55" s="240"/>
      <c r="HV55" s="49"/>
      <c r="HW55" s="240"/>
      <c r="HX55" s="240"/>
      <c r="HY55" s="240"/>
      <c r="HZ55" s="257"/>
      <c r="IA55" s="240"/>
      <c r="IB55" s="257"/>
      <c r="IC55" s="240"/>
      <c r="IF55" s="49"/>
      <c r="IG55" s="240"/>
      <c r="IH55" s="240"/>
      <c r="II55" s="240"/>
      <c r="IJ55" s="257"/>
      <c r="IK55" s="240"/>
      <c r="IL55" s="257"/>
      <c r="IM55" s="240"/>
      <c r="IP55" s="49"/>
      <c r="IQ55" s="240"/>
      <c r="IR55" s="240"/>
      <c r="IS55" s="240"/>
      <c r="IT55" s="257"/>
      <c r="IU55" s="240"/>
      <c r="IV55" s="257"/>
      <c r="IW55" s="240"/>
      <c r="IZ55" s="49"/>
      <c r="JA55" s="240"/>
      <c r="JB55" s="240"/>
      <c r="JC55" s="240"/>
      <c r="JD55" s="257"/>
      <c r="JE55" s="240"/>
      <c r="JF55" s="257"/>
      <c r="JG55" s="240"/>
      <c r="JJ55" s="49"/>
      <c r="JK55" s="240"/>
      <c r="JL55" s="240"/>
      <c r="JM55" s="240"/>
      <c r="JN55" s="257"/>
      <c r="JO55" s="240"/>
      <c r="JP55" s="257"/>
      <c r="JQ55" s="240"/>
      <c r="JT55" s="49"/>
      <c r="JU55" s="240"/>
      <c r="JV55" s="240"/>
      <c r="JW55" s="240"/>
      <c r="JX55" s="257"/>
      <c r="JY55" s="240"/>
      <c r="JZ55" s="257"/>
      <c r="KA55" s="240"/>
      <c r="KD55" s="49"/>
      <c r="KE55" s="240"/>
      <c r="KF55" s="240"/>
      <c r="KG55" s="240"/>
      <c r="KH55" s="257"/>
      <c r="KI55" s="240"/>
      <c r="KJ55" s="257"/>
      <c r="KK55" s="240"/>
      <c r="KN55" s="49"/>
      <c r="KO55" s="240"/>
      <c r="KP55" s="240"/>
      <c r="KQ55" s="240"/>
      <c r="KR55" s="257"/>
      <c r="KS55" s="240"/>
      <c r="KT55" s="257"/>
      <c r="KU55" s="240"/>
      <c r="KX55" s="49"/>
      <c r="KY55" s="240"/>
      <c r="KZ55" s="240"/>
      <c r="LA55" s="240"/>
      <c r="LB55" s="257"/>
      <c r="LC55" s="240"/>
      <c r="LD55" s="257"/>
      <c r="LE55" s="240"/>
      <c r="LH55" s="49"/>
      <c r="LI55" s="240"/>
      <c r="LJ55" s="240"/>
      <c r="LK55" s="240"/>
      <c r="LL55" s="257"/>
      <c r="LM55" s="240"/>
      <c r="LN55" s="257"/>
      <c r="LO55" s="240"/>
      <c r="LR55" s="49"/>
      <c r="LS55" s="240"/>
      <c r="LT55" s="240"/>
      <c r="LU55" s="240"/>
      <c r="LV55" s="257"/>
      <c r="LW55" s="240"/>
      <c r="LX55" s="257"/>
      <c r="LY55" s="240"/>
      <c r="MB55" s="49"/>
      <c r="MC55" s="240"/>
      <c r="MD55" s="240"/>
      <c r="ME55" s="240"/>
      <c r="MF55" s="257"/>
      <c r="MG55" s="240"/>
      <c r="MH55" s="257"/>
      <c r="MI55" s="240"/>
      <c r="ML55" s="49"/>
      <c r="MM55" s="240"/>
      <c r="MN55" s="240"/>
      <c r="MO55" s="240"/>
      <c r="MP55" s="257"/>
      <c r="MQ55" s="240"/>
      <c r="MR55" s="257"/>
      <c r="MS55" s="240"/>
      <c r="MV55" s="49"/>
      <c r="MW55" s="240"/>
      <c r="MX55" s="240"/>
      <c r="MY55" s="240"/>
      <c r="MZ55" s="257"/>
      <c r="NA55" s="240"/>
      <c r="NB55" s="257"/>
      <c r="NC55" s="240"/>
      <c r="NF55" s="49"/>
      <c r="NG55" s="240"/>
      <c r="NH55" s="240"/>
      <c r="NI55" s="240"/>
      <c r="NJ55" s="257"/>
      <c r="NK55" s="240"/>
      <c r="NL55" s="257"/>
      <c r="NM55" s="240"/>
      <c r="NP55" s="49"/>
      <c r="NQ55" s="240"/>
      <c r="NR55" s="240"/>
      <c r="NS55" s="240"/>
      <c r="NT55" s="257"/>
      <c r="NU55" s="240"/>
      <c r="NV55" s="257"/>
      <c r="NW55" s="240"/>
      <c r="NZ55" s="49"/>
      <c r="OA55" s="240"/>
      <c r="OB55" s="240"/>
      <c r="OC55" s="240"/>
      <c r="OD55" s="257"/>
      <c r="OE55" s="240"/>
      <c r="OF55" s="257"/>
      <c r="OG55" s="240"/>
      <c r="OJ55" s="49"/>
      <c r="OK55" s="240"/>
      <c r="OL55" s="240"/>
      <c r="OM55" s="240"/>
      <c r="ON55" s="257"/>
      <c r="OO55" s="240"/>
      <c r="OP55" s="257"/>
      <c r="OQ55" s="240"/>
      <c r="OT55" s="49"/>
      <c r="OU55" s="240"/>
      <c r="OV55" s="240"/>
      <c r="OW55" s="240"/>
      <c r="OX55" s="257"/>
      <c r="OY55" s="240"/>
      <c r="OZ55" s="257"/>
      <c r="PA55" s="240"/>
      <c r="PD55" s="49"/>
      <c r="PE55" s="240"/>
      <c r="PF55" s="240"/>
      <c r="PG55" s="240"/>
      <c r="PH55" s="257"/>
      <c r="PI55" s="240"/>
      <c r="PJ55" s="257"/>
      <c r="PK55" s="240"/>
      <c r="PN55" s="49"/>
      <c r="PO55" s="240"/>
      <c r="PP55" s="240"/>
      <c r="PQ55" s="240"/>
      <c r="PR55" s="257"/>
      <c r="PS55" s="240"/>
      <c r="PT55" s="257"/>
      <c r="PU55" s="240"/>
      <c r="PX55" s="49"/>
      <c r="PY55" s="240"/>
      <c r="PZ55" s="240"/>
      <c r="QA55" s="240"/>
      <c r="QB55" s="257"/>
      <c r="QC55" s="240"/>
      <c r="QD55" s="257"/>
      <c r="QE55" s="240"/>
      <c r="QH55" s="49"/>
      <c r="QI55" s="240"/>
      <c r="QJ55" s="240"/>
      <c r="QK55" s="240"/>
      <c r="QL55" s="257"/>
      <c r="QM55" s="240"/>
      <c r="QN55" s="257"/>
      <c r="QO55" s="240"/>
      <c r="QR55" s="49"/>
      <c r="QS55" s="240"/>
      <c r="QT55" s="240"/>
      <c r="QU55" s="240"/>
      <c r="QV55" s="257"/>
      <c r="QW55" s="240"/>
      <c r="QX55" s="257"/>
      <c r="QY55" s="240"/>
      <c r="RB55" s="49"/>
      <c r="RC55" s="240"/>
      <c r="RD55" s="240"/>
      <c r="RE55" s="240"/>
      <c r="RF55" s="257"/>
      <c r="RG55" s="240"/>
      <c r="RH55" s="257"/>
      <c r="RI55" s="240"/>
      <c r="RL55" s="49"/>
      <c r="RM55" s="240"/>
      <c r="RN55" s="240"/>
      <c r="RO55" s="240"/>
      <c r="RP55" s="257"/>
      <c r="RQ55" s="240"/>
      <c r="RR55" s="257"/>
      <c r="RS55" s="240"/>
      <c r="RV55" s="49"/>
      <c r="RW55" s="240"/>
      <c r="RX55" s="240"/>
      <c r="RY55" s="240"/>
      <c r="RZ55" s="257"/>
      <c r="SA55" s="240"/>
      <c r="SB55" s="257"/>
      <c r="SC55" s="240"/>
      <c r="SF55" s="49"/>
      <c r="SG55" s="240"/>
      <c r="SH55" s="240"/>
      <c r="SI55" s="240"/>
      <c r="SJ55" s="257"/>
      <c r="SK55" s="240"/>
      <c r="SL55" s="257"/>
      <c r="SM55" s="240"/>
      <c r="SP55" s="49"/>
      <c r="SQ55" s="240"/>
      <c r="SR55" s="240"/>
      <c r="SS55" s="240"/>
      <c r="ST55" s="257"/>
      <c r="SU55" s="240"/>
      <c r="SV55" s="257"/>
      <c r="SW55" s="240"/>
      <c r="SZ55" s="49"/>
      <c r="TA55" s="240"/>
      <c r="TB55" s="240"/>
      <c r="TC55" s="240"/>
      <c r="TD55" s="257"/>
      <c r="TE55" s="240"/>
      <c r="TF55" s="257"/>
      <c r="TG55" s="240"/>
      <c r="TJ55" s="49"/>
      <c r="TK55" s="240"/>
      <c r="TL55" s="240"/>
      <c r="TM55" s="240"/>
      <c r="TN55" s="257"/>
      <c r="TO55" s="240"/>
      <c r="TP55" s="257"/>
      <c r="TQ55" s="240"/>
      <c r="TT55" s="49"/>
      <c r="TU55" s="240"/>
      <c r="TV55" s="240"/>
      <c r="TW55" s="240"/>
      <c r="TX55" s="257"/>
      <c r="TY55" s="240"/>
      <c r="TZ55" s="257"/>
      <c r="UA55" s="240"/>
      <c r="UD55" s="49"/>
      <c r="UE55" s="240"/>
      <c r="UF55" s="240"/>
      <c r="UG55" s="240"/>
      <c r="UH55" s="257"/>
      <c r="UI55" s="240"/>
      <c r="UJ55" s="257"/>
      <c r="UK55" s="240"/>
      <c r="UN55" s="49"/>
      <c r="UO55" s="240"/>
      <c r="UP55" s="240"/>
      <c r="UQ55" s="240"/>
      <c r="UR55" s="257"/>
      <c r="US55" s="240"/>
      <c r="UT55" s="257"/>
      <c r="UU55" s="240"/>
      <c r="UX55" s="49"/>
      <c r="UY55" s="240"/>
      <c r="UZ55" s="240"/>
      <c r="VA55" s="240"/>
      <c r="VB55" s="257"/>
      <c r="VC55" s="240"/>
      <c r="VD55" s="257"/>
      <c r="VE55" s="240"/>
      <c r="VH55" s="49"/>
      <c r="VI55" s="240"/>
      <c r="VJ55" s="240"/>
      <c r="VK55" s="240"/>
      <c r="VL55" s="257"/>
      <c r="VM55" s="240"/>
      <c r="VN55" s="257"/>
      <c r="VO55" s="240"/>
      <c r="VR55" s="49"/>
      <c r="VS55" s="240"/>
      <c r="VT55" s="240"/>
      <c r="VU55" s="240"/>
      <c r="VV55" s="257"/>
      <c r="VW55" s="240"/>
      <c r="VX55" s="257"/>
      <c r="VY55" s="240"/>
      <c r="WB55" s="49"/>
      <c r="WC55" s="240"/>
      <c r="WD55" s="240"/>
      <c r="WE55" s="240"/>
      <c r="WF55" s="257"/>
      <c r="WG55" s="240"/>
      <c r="WH55" s="257"/>
      <c r="WI55" s="240"/>
      <c r="WL55" s="49"/>
      <c r="WM55" s="240"/>
      <c r="WN55" s="240"/>
      <c r="WO55" s="240"/>
      <c r="WP55" s="257"/>
      <c r="WQ55" s="240"/>
      <c r="WR55" s="257"/>
      <c r="WS55" s="240"/>
      <c r="WV55" s="49"/>
      <c r="WW55" s="240"/>
      <c r="WX55" s="240"/>
      <c r="WY55" s="240"/>
      <c r="WZ55" s="257"/>
      <c r="XA55" s="240"/>
      <c r="XB55" s="257"/>
      <c r="XC55" s="240"/>
      <c r="XF55" s="49"/>
      <c r="XG55" s="240"/>
      <c r="XH55" s="240"/>
      <c r="XI55" s="240"/>
      <c r="XJ55" s="257"/>
      <c r="XK55" s="240"/>
      <c r="XL55" s="257"/>
      <c r="XM55" s="240"/>
      <c r="XP55" s="49"/>
      <c r="XQ55" s="240"/>
      <c r="XR55" s="240"/>
      <c r="XS55" s="240"/>
      <c r="XT55" s="257"/>
      <c r="XU55" s="240"/>
      <c r="XV55" s="257"/>
      <c r="XW55" s="240"/>
      <c r="XZ55" s="49"/>
      <c r="YA55" s="240"/>
      <c r="YB55" s="240"/>
      <c r="YC55" s="240"/>
      <c r="YD55" s="257"/>
      <c r="YE55" s="240"/>
      <c r="YF55" s="257"/>
      <c r="YG55" s="240"/>
      <c r="YJ55" s="49"/>
      <c r="YK55" s="240"/>
      <c r="YL55" s="240"/>
      <c r="YM55" s="240"/>
      <c r="YN55" s="257"/>
      <c r="YO55" s="240"/>
      <c r="YP55" s="257"/>
      <c r="YQ55" s="240"/>
      <c r="YT55" s="49"/>
      <c r="YU55" s="240"/>
      <c r="YV55" s="240"/>
      <c r="YW55" s="240"/>
      <c r="YX55" s="257"/>
      <c r="YY55" s="240"/>
      <c r="YZ55" s="257"/>
      <c r="ZA55" s="240"/>
      <c r="ZD55" s="49"/>
      <c r="ZE55" s="240"/>
      <c r="ZF55" s="240"/>
      <c r="ZG55" s="240"/>
      <c r="ZH55" s="257"/>
      <c r="ZI55" s="240"/>
      <c r="ZJ55" s="257"/>
      <c r="ZK55" s="240"/>
      <c r="ZN55" s="49"/>
      <c r="ZO55" s="240"/>
      <c r="ZP55" s="240"/>
      <c r="ZQ55" s="240"/>
      <c r="ZR55" s="257"/>
      <c r="ZS55" s="240"/>
      <c r="ZT55" s="257"/>
      <c r="ZU55" s="240"/>
      <c r="ZX55" s="49"/>
      <c r="ZY55" s="240"/>
      <c r="ZZ55" s="240"/>
      <c r="AAA55" s="240"/>
      <c r="AAB55" s="257"/>
      <c r="AAC55" s="240"/>
      <c r="AAD55" s="257"/>
      <c r="AAE55" s="240"/>
      <c r="AAH55" s="49"/>
      <c r="AAI55" s="240"/>
      <c r="AAJ55" s="240"/>
      <c r="AAK55" s="240"/>
      <c r="AAL55" s="257"/>
      <c r="AAM55" s="240"/>
      <c r="AAN55" s="257"/>
      <c r="AAO55" s="240"/>
      <c r="AAR55" s="49"/>
      <c r="AAS55" s="240"/>
      <c r="AAT55" s="240"/>
      <c r="AAU55" s="240"/>
      <c r="AAV55" s="257"/>
      <c r="AAW55" s="240"/>
      <c r="AAX55" s="257"/>
      <c r="AAY55" s="240"/>
      <c r="ABB55" s="49"/>
      <c r="ABC55" s="240"/>
      <c r="ABD55" s="240"/>
      <c r="ABE55" s="240"/>
      <c r="ABF55" s="257"/>
      <c r="ABG55" s="240"/>
      <c r="ABH55" s="257"/>
      <c r="ABI55" s="240"/>
      <c r="ABL55" s="49"/>
      <c r="ABM55" s="240"/>
      <c r="ABN55" s="240"/>
      <c r="ABO55" s="240"/>
      <c r="ABP55" s="257"/>
      <c r="ABQ55" s="240"/>
      <c r="ABR55" s="257"/>
      <c r="ABS55" s="240"/>
      <c r="ABV55" s="49"/>
      <c r="ABW55" s="240"/>
      <c r="ABX55" s="240"/>
      <c r="ABY55" s="240"/>
      <c r="ABZ55" s="257"/>
      <c r="ACA55" s="240"/>
      <c r="ACB55" s="257"/>
      <c r="ACC55" s="240"/>
      <c r="ACF55" s="49"/>
      <c r="ACG55" s="240"/>
      <c r="ACH55" s="240"/>
      <c r="ACI55" s="240"/>
      <c r="ACJ55" s="257"/>
      <c r="ACK55" s="240"/>
      <c r="ACL55" s="257"/>
      <c r="ACM55" s="240"/>
      <c r="ACP55" s="49"/>
      <c r="ACQ55" s="240"/>
      <c r="ACR55" s="240"/>
      <c r="ACS55" s="240"/>
      <c r="ACT55" s="257"/>
      <c r="ACU55" s="240"/>
      <c r="ACV55" s="257"/>
      <c r="ACW55" s="240"/>
      <c r="ACZ55" s="49"/>
      <c r="ADA55" s="240"/>
      <c r="ADB55" s="240"/>
      <c r="ADC55" s="240"/>
      <c r="ADD55" s="257"/>
      <c r="ADE55" s="240"/>
      <c r="ADF55" s="257"/>
      <c r="ADG55" s="240"/>
      <c r="ADJ55" s="49"/>
      <c r="ADK55" s="240"/>
      <c r="ADL55" s="240"/>
      <c r="ADM55" s="240"/>
      <c r="ADN55" s="257"/>
      <c r="ADO55" s="240"/>
      <c r="ADP55" s="257"/>
      <c r="ADQ55" s="240"/>
      <c r="ADT55" s="49"/>
      <c r="ADU55" s="240"/>
      <c r="ADV55" s="240"/>
      <c r="ADW55" s="240"/>
      <c r="ADX55" s="257"/>
      <c r="ADY55" s="240"/>
      <c r="ADZ55" s="257"/>
      <c r="AEA55" s="240"/>
      <c r="AED55" s="49"/>
      <c r="AEE55" s="240"/>
      <c r="AEF55" s="240"/>
      <c r="AEG55" s="240"/>
      <c r="AEH55" s="257"/>
      <c r="AEI55" s="240"/>
      <c r="AEJ55" s="257"/>
      <c r="AEK55" s="240"/>
      <c r="AEN55" s="49"/>
      <c r="AEO55" s="240"/>
      <c r="AEP55" s="240"/>
      <c r="AEQ55" s="240"/>
      <c r="AER55" s="257"/>
      <c r="AES55" s="240"/>
      <c r="AET55" s="257"/>
      <c r="AEU55" s="240"/>
      <c r="AEX55" s="49"/>
      <c r="AEY55" s="240"/>
      <c r="AEZ55" s="240"/>
      <c r="AFA55" s="240"/>
      <c r="AFB55" s="257"/>
      <c r="AFC55" s="240"/>
      <c r="AFD55" s="257"/>
      <c r="AFE55" s="240"/>
      <c r="AFH55" s="49"/>
      <c r="AFI55" s="240"/>
      <c r="AFJ55" s="240"/>
      <c r="AFK55" s="240"/>
      <c r="AFL55" s="257"/>
      <c r="AFM55" s="240"/>
      <c r="AFN55" s="257"/>
      <c r="AFO55" s="240"/>
      <c r="AFR55" s="49"/>
      <c r="AFS55" s="240"/>
      <c r="AFT55" s="240"/>
      <c r="AFU55" s="240"/>
      <c r="AFV55" s="257"/>
      <c r="AFW55" s="240"/>
      <c r="AFX55" s="257"/>
      <c r="AFY55" s="240"/>
      <c r="AGB55" s="49"/>
      <c r="AGC55" s="240"/>
      <c r="AGD55" s="240"/>
      <c r="AGE55" s="240"/>
      <c r="AGF55" s="257"/>
      <c r="AGG55" s="240"/>
      <c r="AGH55" s="257"/>
      <c r="AGI55" s="240"/>
      <c r="AGL55" s="49"/>
      <c r="AGM55" s="240"/>
      <c r="AGN55" s="240"/>
      <c r="AGO55" s="240"/>
      <c r="AGP55" s="257"/>
      <c r="AGQ55" s="240"/>
      <c r="AGR55" s="257"/>
      <c r="AGS55" s="240"/>
      <c r="AGV55" s="49"/>
      <c r="AGW55" s="240"/>
      <c r="AGX55" s="240"/>
      <c r="AGY55" s="240"/>
      <c r="AGZ55" s="257"/>
      <c r="AHA55" s="240"/>
      <c r="AHB55" s="257"/>
      <c r="AHC55" s="240"/>
      <c r="AHF55" s="49"/>
      <c r="AHG55" s="240"/>
      <c r="AHH55" s="240"/>
      <c r="AHI55" s="240"/>
      <c r="AHJ55" s="257"/>
      <c r="AHK55" s="240"/>
      <c r="AHL55" s="257"/>
      <c r="AHM55" s="240"/>
      <c r="AHP55" s="49"/>
      <c r="AHQ55" s="240"/>
      <c r="AHR55" s="240"/>
      <c r="AHS55" s="240"/>
      <c r="AHT55" s="257"/>
      <c r="AHU55" s="240"/>
      <c r="AHV55" s="257"/>
      <c r="AHW55" s="240"/>
      <c r="AHZ55" s="49"/>
      <c r="AIA55" s="240"/>
      <c r="AIB55" s="240"/>
      <c r="AIC55" s="240"/>
      <c r="AID55" s="257"/>
      <c r="AIE55" s="240"/>
      <c r="AIF55" s="257"/>
      <c r="AIG55" s="240"/>
      <c r="AIJ55" s="49"/>
      <c r="AIK55" s="240"/>
      <c r="AIL55" s="240"/>
      <c r="AIM55" s="240"/>
      <c r="AIN55" s="257"/>
      <c r="AIO55" s="240"/>
      <c r="AIP55" s="257"/>
      <c r="AIQ55" s="240"/>
      <c r="AIT55" s="49"/>
      <c r="AIU55" s="240"/>
      <c r="AIV55" s="240"/>
      <c r="AIW55" s="240"/>
      <c r="AIX55" s="257"/>
      <c r="AIY55" s="240"/>
      <c r="AIZ55" s="257"/>
      <c r="AJA55" s="240"/>
      <c r="AJD55" s="49"/>
      <c r="AJE55" s="240"/>
      <c r="AJF55" s="240"/>
      <c r="AJG55" s="240"/>
      <c r="AJH55" s="257"/>
      <c r="AJI55" s="240"/>
      <c r="AJJ55" s="257"/>
      <c r="AJK55" s="240"/>
      <c r="AJN55" s="49"/>
      <c r="AJO55" s="240"/>
      <c r="AJP55" s="240"/>
      <c r="AJQ55" s="240"/>
      <c r="AJR55" s="257"/>
      <c r="AJS55" s="240"/>
      <c r="AJT55" s="257"/>
      <c r="AJU55" s="240"/>
      <c r="AJX55" s="49"/>
      <c r="AJY55" s="240"/>
      <c r="AJZ55" s="240"/>
      <c r="AKA55" s="240"/>
      <c r="AKB55" s="257"/>
      <c r="AKC55" s="240"/>
      <c r="AKD55" s="257"/>
      <c r="AKE55" s="240"/>
      <c r="AKH55" s="49"/>
      <c r="AKI55" s="240"/>
      <c r="AKJ55" s="240"/>
      <c r="AKK55" s="240"/>
      <c r="AKL55" s="257"/>
      <c r="AKM55" s="240"/>
      <c r="AKN55" s="257"/>
      <c r="AKO55" s="240"/>
      <c r="AKR55" s="49"/>
      <c r="AKS55" s="240"/>
      <c r="AKT55" s="240"/>
      <c r="AKU55" s="240"/>
      <c r="AKV55" s="257"/>
      <c r="AKW55" s="240"/>
      <c r="AKX55" s="257"/>
      <c r="AKY55" s="240"/>
      <c r="ALB55" s="49"/>
      <c r="ALC55" s="240"/>
      <c r="ALD55" s="240"/>
      <c r="ALE55" s="240"/>
      <c r="ALF55" s="257"/>
      <c r="ALG55" s="240"/>
      <c r="ALH55" s="257"/>
      <c r="ALI55" s="240"/>
      <c r="ALL55" s="49"/>
      <c r="ALM55" s="240"/>
      <c r="ALN55" s="240"/>
      <c r="ALO55" s="240"/>
      <c r="ALP55" s="257"/>
      <c r="ALQ55" s="240"/>
      <c r="ALR55" s="257"/>
      <c r="ALS55" s="240"/>
      <c r="ALV55" s="49"/>
      <c r="ALW55" s="240"/>
      <c r="ALX55" s="240"/>
      <c r="ALY55" s="240"/>
      <c r="ALZ55" s="257"/>
      <c r="AMA55" s="240"/>
      <c r="AMB55" s="257"/>
      <c r="AMC55" s="240"/>
      <c r="AMF55" s="49"/>
      <c r="AMG55" s="240"/>
      <c r="AMH55" s="240"/>
      <c r="AMI55" s="240"/>
      <c r="AMJ55" s="257"/>
      <c r="AMK55" s="240"/>
      <c r="AML55" s="257"/>
      <c r="AMM55" s="240"/>
      <c r="AMP55" s="49"/>
      <c r="AMQ55" s="240"/>
      <c r="AMR55" s="240"/>
      <c r="AMS55" s="240"/>
      <c r="AMT55" s="257"/>
      <c r="AMU55" s="240"/>
      <c r="AMV55" s="257"/>
      <c r="AMW55" s="240"/>
      <c r="AMZ55" s="49"/>
      <c r="ANA55" s="240"/>
      <c r="ANB55" s="240"/>
      <c r="ANC55" s="240"/>
      <c r="AND55" s="257"/>
      <c r="ANE55" s="240"/>
      <c r="ANF55" s="257"/>
      <c r="ANG55" s="240"/>
      <c r="ANJ55" s="49"/>
      <c r="ANK55" s="240"/>
      <c r="ANL55" s="240"/>
      <c r="ANM55" s="240"/>
      <c r="ANN55" s="257"/>
      <c r="ANO55" s="240"/>
      <c r="ANP55" s="257"/>
      <c r="ANQ55" s="240"/>
      <c r="ANT55" s="49"/>
      <c r="ANU55" s="240"/>
      <c r="ANV55" s="240"/>
      <c r="ANW55" s="240"/>
      <c r="ANX55" s="257"/>
      <c r="ANY55" s="240"/>
      <c r="ANZ55" s="257"/>
      <c r="AOA55" s="240"/>
      <c r="AOD55" s="49"/>
      <c r="AOE55" s="240"/>
      <c r="AOF55" s="240"/>
      <c r="AOG55" s="240"/>
      <c r="AOH55" s="257"/>
      <c r="AOI55" s="240"/>
      <c r="AOJ55" s="257"/>
      <c r="AOK55" s="240"/>
      <c r="AON55" s="49"/>
      <c r="AOO55" s="240"/>
      <c r="AOP55" s="240"/>
      <c r="AOQ55" s="240"/>
      <c r="AOR55" s="257"/>
      <c r="AOS55" s="240"/>
      <c r="AOT55" s="257"/>
      <c r="AOU55" s="240"/>
      <c r="AOX55" s="49"/>
      <c r="AOY55" s="240"/>
      <c r="AOZ55" s="240"/>
      <c r="APA55" s="240"/>
      <c r="APB55" s="257"/>
      <c r="APC55" s="240"/>
      <c r="APD55" s="257"/>
      <c r="APE55" s="240"/>
      <c r="APH55" s="49"/>
      <c r="API55" s="240"/>
      <c r="APJ55" s="240"/>
      <c r="APK55" s="240"/>
      <c r="APL55" s="257"/>
      <c r="APM55" s="240"/>
      <c r="APN55" s="257"/>
      <c r="APO55" s="240"/>
      <c r="APR55" s="49"/>
      <c r="APS55" s="240"/>
      <c r="APT55" s="240"/>
      <c r="APU55" s="240"/>
      <c r="APV55" s="257"/>
      <c r="APW55" s="240"/>
      <c r="APX55" s="257"/>
      <c r="APY55" s="240"/>
      <c r="AQB55" s="49"/>
      <c r="AQC55" s="240"/>
      <c r="AQD55" s="240"/>
      <c r="AQE55" s="240"/>
      <c r="AQF55" s="257"/>
      <c r="AQG55" s="240"/>
      <c r="AQH55" s="257"/>
      <c r="AQI55" s="240"/>
      <c r="AQL55" s="49"/>
      <c r="AQM55" s="240"/>
      <c r="AQN55" s="240"/>
      <c r="AQO55" s="240"/>
      <c r="AQP55" s="257"/>
      <c r="AQQ55" s="240"/>
      <c r="AQR55" s="257"/>
      <c r="AQS55" s="240"/>
      <c r="AQV55" s="49"/>
      <c r="AQW55" s="240"/>
      <c r="AQX55" s="240"/>
      <c r="AQY55" s="240"/>
      <c r="AQZ55" s="257"/>
      <c r="ARA55" s="240"/>
      <c r="ARB55" s="257"/>
      <c r="ARC55" s="240"/>
      <c r="ARF55" s="49"/>
      <c r="ARG55" s="240"/>
      <c r="ARH55" s="240"/>
      <c r="ARI55" s="240"/>
      <c r="ARJ55" s="257"/>
      <c r="ARK55" s="240"/>
      <c r="ARL55" s="257"/>
      <c r="ARM55" s="240"/>
      <c r="ARP55" s="49"/>
      <c r="ARQ55" s="240"/>
      <c r="ARR55" s="240"/>
      <c r="ARS55" s="240"/>
      <c r="ART55" s="257"/>
      <c r="ARU55" s="240"/>
      <c r="ARV55" s="257"/>
      <c r="ARW55" s="240"/>
      <c r="ARZ55" s="49"/>
      <c r="ASA55" s="240"/>
      <c r="ASB55" s="240"/>
      <c r="ASC55" s="240"/>
      <c r="ASD55" s="257"/>
      <c r="ASE55" s="240"/>
      <c r="ASF55" s="257"/>
      <c r="ASG55" s="240"/>
      <c r="ASJ55" s="49"/>
      <c r="ASK55" s="240"/>
      <c r="ASL55" s="240"/>
      <c r="ASM55" s="240"/>
      <c r="ASN55" s="257"/>
      <c r="ASO55" s="240"/>
      <c r="ASP55" s="257"/>
      <c r="ASQ55" s="240"/>
      <c r="AST55" s="49"/>
      <c r="ASU55" s="240"/>
      <c r="ASV55" s="240"/>
      <c r="ASW55" s="240"/>
      <c r="ASX55" s="257"/>
      <c r="ASY55" s="240"/>
      <c r="ASZ55" s="257"/>
      <c r="ATA55" s="240"/>
      <c r="ATD55" s="49"/>
      <c r="ATE55" s="240"/>
      <c r="ATF55" s="240"/>
      <c r="ATG55" s="240"/>
      <c r="ATH55" s="257"/>
      <c r="ATI55" s="240"/>
      <c r="ATJ55" s="257"/>
      <c r="ATK55" s="240"/>
      <c r="ATN55" s="49"/>
      <c r="ATO55" s="240"/>
      <c r="ATP55" s="240"/>
      <c r="ATQ55" s="240"/>
      <c r="ATR55" s="257"/>
      <c r="ATS55" s="240"/>
      <c r="ATT55" s="257"/>
      <c r="ATU55" s="240"/>
      <c r="ATX55" s="49"/>
      <c r="ATY55" s="240"/>
      <c r="ATZ55" s="240"/>
      <c r="AUA55" s="240"/>
      <c r="AUB55" s="257"/>
      <c r="AUC55" s="240"/>
      <c r="AUD55" s="257"/>
      <c r="AUE55" s="240"/>
      <c r="AUH55" s="49"/>
      <c r="AUI55" s="240"/>
      <c r="AUJ55" s="240"/>
      <c r="AUK55" s="240"/>
      <c r="AUL55" s="257"/>
      <c r="AUM55" s="240"/>
      <c r="AUN55" s="257"/>
      <c r="AUO55" s="240"/>
      <c r="AUR55" s="49"/>
      <c r="AUS55" s="240"/>
      <c r="AUT55" s="240"/>
      <c r="AUU55" s="240"/>
      <c r="AUV55" s="257"/>
      <c r="AUW55" s="240"/>
      <c r="AUX55" s="257"/>
      <c r="AUY55" s="240"/>
      <c r="AVB55" s="49"/>
      <c r="AVC55" s="240"/>
      <c r="AVD55" s="240"/>
      <c r="AVE55" s="240"/>
      <c r="AVF55" s="257"/>
      <c r="AVG55" s="240"/>
      <c r="AVH55" s="257"/>
      <c r="AVI55" s="240"/>
      <c r="AVL55" s="49"/>
      <c r="AVM55" s="240"/>
      <c r="AVN55" s="240"/>
      <c r="AVO55" s="240"/>
      <c r="AVP55" s="257"/>
      <c r="AVQ55" s="240"/>
      <c r="AVR55" s="257"/>
      <c r="AVS55" s="240"/>
      <c r="AVV55" s="49"/>
      <c r="AVW55" s="240"/>
      <c r="AVX55" s="240"/>
      <c r="AVY55" s="240"/>
      <c r="AVZ55" s="257"/>
      <c r="AWA55" s="240"/>
      <c r="AWB55" s="257"/>
      <c r="AWC55" s="240"/>
      <c r="AWF55" s="49"/>
      <c r="AWG55" s="240"/>
      <c r="AWH55" s="240"/>
      <c r="AWI55" s="240"/>
      <c r="AWJ55" s="257"/>
      <c r="AWK55" s="240"/>
      <c r="AWL55" s="257"/>
      <c r="AWM55" s="240"/>
      <c r="AWP55" s="49"/>
      <c r="AWQ55" s="240"/>
      <c r="AWR55" s="240"/>
      <c r="AWS55" s="240"/>
      <c r="AWT55" s="257"/>
      <c r="AWU55" s="240"/>
      <c r="AWV55" s="257"/>
      <c r="AWW55" s="240"/>
      <c r="AWZ55" s="49"/>
      <c r="AXA55" s="240"/>
      <c r="AXB55" s="240"/>
      <c r="AXC55" s="240"/>
      <c r="AXD55" s="257"/>
      <c r="AXE55" s="240"/>
      <c r="AXF55" s="257"/>
      <c r="AXG55" s="240"/>
      <c r="AXJ55" s="49"/>
      <c r="AXK55" s="240"/>
      <c r="AXL55" s="240"/>
      <c r="AXM55" s="240"/>
      <c r="AXN55" s="257"/>
      <c r="AXO55" s="240"/>
      <c r="AXP55" s="257"/>
      <c r="AXQ55" s="240"/>
      <c r="AXT55" s="49"/>
      <c r="AXU55" s="240"/>
      <c r="AXV55" s="240"/>
      <c r="AXW55" s="240"/>
      <c r="AXX55" s="257"/>
      <c r="AXY55" s="240"/>
      <c r="AXZ55" s="257"/>
      <c r="AYA55" s="240"/>
      <c r="AYD55" s="49"/>
      <c r="AYE55" s="240"/>
      <c r="AYF55" s="240"/>
      <c r="AYG55" s="240"/>
      <c r="AYH55" s="257"/>
      <c r="AYI55" s="240"/>
      <c r="AYJ55" s="257"/>
      <c r="AYK55" s="240"/>
      <c r="AYN55" s="49"/>
      <c r="AYO55" s="240"/>
      <c r="AYP55" s="240"/>
      <c r="AYQ55" s="240"/>
      <c r="AYR55" s="257"/>
      <c r="AYS55" s="240"/>
      <c r="AYT55" s="257"/>
      <c r="AYU55" s="240"/>
      <c r="AYX55" s="49"/>
      <c r="AYY55" s="240"/>
      <c r="AYZ55" s="240"/>
      <c r="AZA55" s="240"/>
      <c r="AZB55" s="257"/>
      <c r="AZC55" s="240"/>
      <c r="AZD55" s="257"/>
      <c r="AZE55" s="240"/>
      <c r="AZH55" s="49"/>
      <c r="AZI55" s="240"/>
      <c r="AZJ55" s="240"/>
      <c r="AZK55" s="240"/>
      <c r="AZL55" s="257"/>
      <c r="AZM55" s="240"/>
      <c r="AZN55" s="257"/>
      <c r="AZO55" s="240"/>
      <c r="AZR55" s="49"/>
      <c r="AZS55" s="240"/>
      <c r="AZT55" s="240"/>
      <c r="AZU55" s="240"/>
      <c r="AZV55" s="257"/>
      <c r="AZW55" s="240"/>
      <c r="AZX55" s="257"/>
      <c r="AZY55" s="240"/>
      <c r="BAB55" s="49"/>
      <c r="BAC55" s="240"/>
      <c r="BAD55" s="240"/>
      <c r="BAE55" s="240"/>
      <c r="BAF55" s="257"/>
      <c r="BAG55" s="240"/>
      <c r="BAH55" s="257"/>
      <c r="BAI55" s="240"/>
      <c r="BAL55" s="49"/>
      <c r="BAM55" s="240"/>
      <c r="BAN55" s="240"/>
      <c r="BAO55" s="240"/>
      <c r="BAP55" s="257"/>
      <c r="BAQ55" s="240"/>
      <c r="BAR55" s="257"/>
      <c r="BAS55" s="240"/>
      <c r="BAV55" s="49"/>
      <c r="BAW55" s="240"/>
      <c r="BAX55" s="240"/>
      <c r="BAY55" s="240"/>
      <c r="BAZ55" s="257"/>
      <c r="BBA55" s="240"/>
      <c r="BBB55" s="257"/>
      <c r="BBC55" s="240"/>
      <c r="BBF55" s="49"/>
      <c r="BBG55" s="240"/>
      <c r="BBH55" s="240"/>
      <c r="BBI55" s="240"/>
      <c r="BBJ55" s="257"/>
      <c r="BBK55" s="240"/>
      <c r="BBL55" s="257"/>
      <c r="BBM55" s="240"/>
      <c r="BBP55" s="49"/>
      <c r="BBQ55" s="240"/>
      <c r="BBR55" s="240"/>
      <c r="BBS55" s="240"/>
      <c r="BBT55" s="257"/>
      <c r="BBU55" s="240"/>
      <c r="BBV55" s="257"/>
      <c r="BBW55" s="240"/>
      <c r="BBZ55" s="49"/>
      <c r="BCA55" s="240"/>
      <c r="BCB55" s="240"/>
      <c r="BCC55" s="240"/>
      <c r="BCD55" s="257"/>
      <c r="BCE55" s="240"/>
      <c r="BCF55" s="257"/>
      <c r="BCG55" s="240"/>
      <c r="BCJ55" s="49"/>
      <c r="BCK55" s="240"/>
      <c r="BCL55" s="240"/>
      <c r="BCM55" s="240"/>
      <c r="BCN55" s="257"/>
      <c r="BCO55" s="240"/>
      <c r="BCP55" s="257"/>
      <c r="BCQ55" s="240"/>
      <c r="BCT55" s="49"/>
      <c r="BCU55" s="240"/>
      <c r="BCV55" s="240"/>
      <c r="BCW55" s="240"/>
      <c r="BCX55" s="257"/>
      <c r="BCY55" s="240"/>
      <c r="BCZ55" s="257"/>
      <c r="BDA55" s="240"/>
      <c r="BDD55" s="49"/>
      <c r="BDE55" s="240"/>
      <c r="BDF55" s="240"/>
      <c r="BDG55" s="240"/>
      <c r="BDH55" s="257"/>
      <c r="BDI55" s="240"/>
      <c r="BDJ55" s="257"/>
      <c r="BDK55" s="240"/>
      <c r="BDN55" s="49"/>
      <c r="BDO55" s="240"/>
      <c r="BDP55" s="240"/>
      <c r="BDQ55" s="240"/>
      <c r="BDR55" s="257"/>
      <c r="BDS55" s="240"/>
      <c r="BDT55" s="257"/>
      <c r="BDU55" s="240"/>
      <c r="BDX55" s="49"/>
      <c r="BDY55" s="240"/>
      <c r="BDZ55" s="240"/>
      <c r="BEA55" s="240"/>
      <c r="BEB55" s="257"/>
      <c r="BEC55" s="240"/>
      <c r="BED55" s="257"/>
      <c r="BEE55" s="240"/>
      <c r="BEH55" s="49"/>
      <c r="BEI55" s="240"/>
      <c r="BEJ55" s="240"/>
      <c r="BEK55" s="240"/>
      <c r="BEL55" s="257"/>
      <c r="BEM55" s="240"/>
      <c r="BEN55" s="257"/>
      <c r="BEO55" s="240"/>
      <c r="BER55" s="49"/>
      <c r="BES55" s="240"/>
      <c r="BET55" s="240"/>
      <c r="BEU55" s="240"/>
      <c r="BEV55" s="257"/>
      <c r="BEW55" s="240"/>
      <c r="BEX55" s="257"/>
      <c r="BEY55" s="240"/>
      <c r="BFB55" s="49"/>
      <c r="BFC55" s="240"/>
      <c r="BFD55" s="240"/>
      <c r="BFE55" s="240"/>
      <c r="BFF55" s="257"/>
      <c r="BFG55" s="240"/>
      <c r="BFH55" s="257"/>
      <c r="BFI55" s="240"/>
      <c r="BFL55" s="49"/>
      <c r="BFM55" s="240"/>
      <c r="BFN55" s="240"/>
      <c r="BFO55" s="240"/>
      <c r="BFP55" s="257"/>
      <c r="BFQ55" s="240"/>
      <c r="BFR55" s="257"/>
      <c r="BFS55" s="240"/>
      <c r="BFV55" s="49"/>
      <c r="BFW55" s="240"/>
      <c r="BFX55" s="240"/>
      <c r="BFY55" s="240"/>
      <c r="BFZ55" s="257"/>
      <c r="BGA55" s="240"/>
      <c r="BGB55" s="257"/>
      <c r="BGC55" s="240"/>
      <c r="BGF55" s="49"/>
      <c r="BGG55" s="240"/>
      <c r="BGH55" s="240"/>
      <c r="BGI55" s="240"/>
      <c r="BGJ55" s="257"/>
      <c r="BGK55" s="240"/>
      <c r="BGL55" s="257"/>
      <c r="BGM55" s="240"/>
      <c r="BGP55" s="49"/>
      <c r="BGQ55" s="240"/>
      <c r="BGR55" s="240"/>
      <c r="BGS55" s="240"/>
      <c r="BGT55" s="257"/>
      <c r="BGU55" s="240"/>
      <c r="BGV55" s="257"/>
      <c r="BGW55" s="240"/>
      <c r="BGZ55" s="49"/>
      <c r="BHA55" s="240"/>
      <c r="BHB55" s="240"/>
      <c r="BHC55" s="240"/>
      <c r="BHD55" s="257"/>
      <c r="BHE55" s="240"/>
      <c r="BHF55" s="257"/>
      <c r="BHG55" s="240"/>
      <c r="BHJ55" s="49"/>
      <c r="BHK55" s="240"/>
      <c r="BHL55" s="240"/>
      <c r="BHM55" s="240"/>
      <c r="BHN55" s="257"/>
      <c r="BHO55" s="240"/>
      <c r="BHP55" s="257"/>
      <c r="BHQ55" s="240"/>
      <c r="BHT55" s="49"/>
      <c r="BHU55" s="240"/>
      <c r="BHV55" s="240"/>
      <c r="BHW55" s="240"/>
      <c r="BHX55" s="257"/>
      <c r="BHY55" s="240"/>
      <c r="BHZ55" s="257"/>
      <c r="BIA55" s="240"/>
      <c r="BID55" s="49"/>
      <c r="BIE55" s="240"/>
      <c r="BIF55" s="240"/>
      <c r="BIG55" s="240"/>
      <c r="BIH55" s="257"/>
      <c r="BII55" s="240"/>
      <c r="BIJ55" s="257"/>
      <c r="BIK55" s="240"/>
      <c r="BIN55" s="49"/>
      <c r="BIO55" s="240"/>
      <c r="BIP55" s="240"/>
      <c r="BIQ55" s="240"/>
      <c r="BIR55" s="257"/>
      <c r="BIS55" s="240"/>
      <c r="BIT55" s="257"/>
      <c r="BIU55" s="240"/>
      <c r="BIX55" s="49"/>
      <c r="BIY55" s="240"/>
      <c r="BIZ55" s="240"/>
      <c r="BJA55" s="240"/>
      <c r="BJB55" s="257"/>
      <c r="BJC55" s="240"/>
      <c r="BJD55" s="257"/>
      <c r="BJE55" s="240"/>
      <c r="BJH55" s="49"/>
      <c r="BJI55" s="240"/>
      <c r="BJJ55" s="240"/>
      <c r="BJK55" s="240"/>
      <c r="BJL55" s="257"/>
      <c r="BJM55" s="240"/>
      <c r="BJN55" s="257"/>
      <c r="BJO55" s="240"/>
      <c r="BJR55" s="49"/>
      <c r="BJS55" s="240"/>
      <c r="BJT55" s="240"/>
      <c r="BJU55" s="240"/>
      <c r="BJV55" s="257"/>
      <c r="BJW55" s="240"/>
      <c r="BJX55" s="257"/>
      <c r="BJY55" s="240"/>
      <c r="BKB55" s="49"/>
      <c r="BKC55" s="240"/>
      <c r="BKD55" s="240"/>
      <c r="BKE55" s="240"/>
      <c r="BKF55" s="257"/>
      <c r="BKG55" s="240"/>
      <c r="BKH55" s="257"/>
      <c r="BKI55" s="240"/>
      <c r="BKL55" s="49"/>
      <c r="BKM55" s="240"/>
      <c r="BKN55" s="240"/>
      <c r="BKO55" s="240"/>
      <c r="BKP55" s="257"/>
      <c r="BKQ55" s="240"/>
      <c r="BKR55" s="257"/>
      <c r="BKS55" s="240"/>
      <c r="BKV55" s="49"/>
      <c r="BKW55" s="240"/>
      <c r="BKX55" s="240"/>
      <c r="BKY55" s="240"/>
      <c r="BKZ55" s="257"/>
      <c r="BLA55" s="240"/>
      <c r="BLB55" s="257"/>
      <c r="BLC55" s="240"/>
      <c r="BLF55" s="49"/>
      <c r="BLG55" s="240"/>
      <c r="BLH55" s="240"/>
      <c r="BLI55" s="240"/>
      <c r="BLJ55" s="257"/>
      <c r="BLK55" s="240"/>
      <c r="BLL55" s="257"/>
      <c r="BLM55" s="240"/>
      <c r="BLP55" s="49"/>
      <c r="BLQ55" s="240"/>
      <c r="BLR55" s="240"/>
      <c r="BLS55" s="240"/>
      <c r="BLT55" s="257"/>
      <c r="BLU55" s="240"/>
      <c r="BLV55" s="257"/>
      <c r="BLW55" s="240"/>
      <c r="BLZ55" s="49"/>
      <c r="BMA55" s="240"/>
      <c r="BMB55" s="240"/>
      <c r="BMC55" s="240"/>
      <c r="BMD55" s="257"/>
      <c r="BME55" s="240"/>
      <c r="BMF55" s="257"/>
      <c r="BMG55" s="240"/>
      <c r="BMJ55" s="49"/>
      <c r="BMK55" s="240"/>
      <c r="BML55" s="240"/>
      <c r="BMM55" s="240"/>
      <c r="BMN55" s="257"/>
      <c r="BMO55" s="240"/>
      <c r="BMP55" s="257"/>
      <c r="BMQ55" s="240"/>
      <c r="BMT55" s="49"/>
      <c r="BMU55" s="240"/>
      <c r="BMV55" s="240"/>
      <c r="BMW55" s="240"/>
      <c r="BMX55" s="257"/>
      <c r="BMY55" s="240"/>
      <c r="BMZ55" s="257"/>
      <c r="BNA55" s="240"/>
      <c r="BND55" s="49"/>
      <c r="BNE55" s="240"/>
      <c r="BNF55" s="240"/>
      <c r="BNG55" s="240"/>
      <c r="BNH55" s="257"/>
      <c r="BNI55" s="240"/>
      <c r="BNJ55" s="257"/>
      <c r="BNK55" s="240"/>
      <c r="BNN55" s="49"/>
      <c r="BNO55" s="240"/>
      <c r="BNP55" s="240"/>
      <c r="BNQ55" s="240"/>
      <c r="BNR55" s="257"/>
      <c r="BNS55" s="240"/>
      <c r="BNT55" s="257"/>
      <c r="BNU55" s="240"/>
      <c r="BNX55" s="49"/>
      <c r="BNY55" s="240"/>
      <c r="BNZ55" s="240"/>
      <c r="BOA55" s="240"/>
      <c r="BOB55" s="257"/>
      <c r="BOC55" s="240"/>
      <c r="BOD55" s="257"/>
      <c r="BOE55" s="240"/>
      <c r="BOH55" s="49"/>
      <c r="BOI55" s="240"/>
      <c r="BOJ55" s="240"/>
      <c r="BOK55" s="240"/>
      <c r="BOL55" s="257"/>
      <c r="BOM55" s="240"/>
      <c r="BON55" s="257"/>
      <c r="BOO55" s="240"/>
      <c r="BOR55" s="49"/>
      <c r="BOS55" s="240"/>
      <c r="BOT55" s="240"/>
      <c r="BOU55" s="240"/>
      <c r="BOV55" s="257"/>
      <c r="BOW55" s="240"/>
      <c r="BOX55" s="257"/>
      <c r="BOY55" s="240"/>
      <c r="BPB55" s="49"/>
      <c r="BPC55" s="240"/>
      <c r="BPD55" s="240"/>
      <c r="BPE55" s="240"/>
      <c r="BPF55" s="257"/>
      <c r="BPG55" s="240"/>
      <c r="BPH55" s="257"/>
      <c r="BPI55" s="240"/>
      <c r="BPL55" s="49"/>
      <c r="BPM55" s="240"/>
      <c r="BPN55" s="240"/>
      <c r="BPO55" s="240"/>
      <c r="BPP55" s="257"/>
      <c r="BPQ55" s="240"/>
      <c r="BPR55" s="257"/>
      <c r="BPS55" s="240"/>
      <c r="BPV55" s="49"/>
      <c r="BPW55" s="240"/>
      <c r="BPX55" s="240"/>
      <c r="BPY55" s="240"/>
      <c r="BPZ55" s="257"/>
      <c r="BQA55" s="240"/>
      <c r="BQB55" s="257"/>
      <c r="BQC55" s="240"/>
      <c r="BQF55" s="49"/>
      <c r="BQG55" s="240"/>
      <c r="BQH55" s="240"/>
      <c r="BQI55" s="240"/>
      <c r="BQJ55" s="257"/>
      <c r="BQK55" s="240"/>
      <c r="BQL55" s="257"/>
      <c r="BQM55" s="240"/>
      <c r="BQP55" s="49"/>
      <c r="BQQ55" s="240"/>
      <c r="BQR55" s="240"/>
      <c r="BQS55" s="240"/>
      <c r="BQT55" s="257"/>
      <c r="BQU55" s="240"/>
      <c r="BQV55" s="257"/>
      <c r="BQW55" s="240"/>
      <c r="BQZ55" s="49"/>
      <c r="BRA55" s="240"/>
      <c r="BRB55" s="240"/>
      <c r="BRC55" s="240"/>
      <c r="BRD55" s="257"/>
      <c r="BRE55" s="240"/>
      <c r="BRF55" s="257"/>
      <c r="BRG55" s="240"/>
      <c r="BRJ55" s="49"/>
      <c r="BRK55" s="240"/>
      <c r="BRL55" s="240"/>
      <c r="BRM55" s="240"/>
      <c r="BRN55" s="257"/>
      <c r="BRO55" s="240"/>
      <c r="BRP55" s="257"/>
      <c r="BRQ55" s="240"/>
      <c r="BRT55" s="49"/>
      <c r="BRU55" s="240"/>
      <c r="BRV55" s="240"/>
      <c r="BRW55" s="240"/>
      <c r="BRX55" s="257"/>
      <c r="BRY55" s="240"/>
      <c r="BRZ55" s="257"/>
      <c r="BSA55" s="240"/>
      <c r="BSD55" s="49"/>
      <c r="BSE55" s="240"/>
      <c r="BSF55" s="240"/>
      <c r="BSG55" s="240"/>
      <c r="BSH55" s="257"/>
      <c r="BSI55" s="240"/>
      <c r="BSJ55" s="257"/>
      <c r="BSK55" s="240"/>
      <c r="BSN55" s="49"/>
      <c r="BSO55" s="240"/>
      <c r="BSP55" s="240"/>
      <c r="BSQ55" s="240"/>
      <c r="BSR55" s="257"/>
      <c r="BSS55" s="240"/>
      <c r="BST55" s="257"/>
      <c r="BSU55" s="240"/>
      <c r="BSX55" s="49"/>
      <c r="BSY55" s="240"/>
      <c r="BSZ55" s="240"/>
      <c r="BTA55" s="240"/>
      <c r="BTB55" s="257"/>
      <c r="BTC55" s="240"/>
      <c r="BTD55" s="257"/>
      <c r="BTE55" s="240"/>
      <c r="BTH55" s="49"/>
      <c r="BTI55" s="240"/>
      <c r="BTJ55" s="240"/>
      <c r="BTK55" s="240"/>
      <c r="BTL55" s="257"/>
      <c r="BTM55" s="240"/>
      <c r="BTN55" s="257"/>
      <c r="BTO55" s="240"/>
      <c r="BTR55" s="49"/>
      <c r="BTS55" s="240"/>
      <c r="BTT55" s="240"/>
      <c r="BTU55" s="240"/>
      <c r="BTV55" s="257"/>
      <c r="BTW55" s="240"/>
      <c r="BTX55" s="257"/>
      <c r="BTY55" s="240"/>
      <c r="BUB55" s="49"/>
      <c r="BUC55" s="240"/>
      <c r="BUD55" s="240"/>
      <c r="BUE55" s="240"/>
      <c r="BUF55" s="257"/>
      <c r="BUG55" s="240"/>
      <c r="BUH55" s="257"/>
      <c r="BUI55" s="240"/>
      <c r="BUL55" s="49"/>
      <c r="BUM55" s="240"/>
      <c r="BUN55" s="240"/>
      <c r="BUO55" s="240"/>
      <c r="BUP55" s="257"/>
      <c r="BUQ55" s="240"/>
      <c r="BUR55" s="257"/>
      <c r="BUS55" s="240"/>
      <c r="BUV55" s="49"/>
      <c r="BUW55" s="240"/>
      <c r="BUX55" s="240"/>
      <c r="BUY55" s="240"/>
      <c r="BUZ55" s="257"/>
      <c r="BVA55" s="240"/>
      <c r="BVB55" s="257"/>
      <c r="BVC55" s="240"/>
      <c r="BVF55" s="49"/>
      <c r="BVG55" s="240"/>
      <c r="BVH55" s="240"/>
      <c r="BVI55" s="240"/>
      <c r="BVJ55" s="257"/>
      <c r="BVK55" s="240"/>
      <c r="BVL55" s="257"/>
      <c r="BVM55" s="240"/>
      <c r="BVP55" s="49"/>
      <c r="BVQ55" s="240"/>
      <c r="BVR55" s="240"/>
      <c r="BVS55" s="240"/>
      <c r="BVT55" s="257"/>
      <c r="BVU55" s="240"/>
      <c r="BVV55" s="257"/>
      <c r="BVW55" s="240"/>
      <c r="BVZ55" s="49"/>
      <c r="BWA55" s="240"/>
      <c r="BWB55" s="240"/>
      <c r="BWC55" s="240"/>
      <c r="BWD55" s="257"/>
      <c r="BWE55" s="240"/>
      <c r="BWF55" s="257"/>
      <c r="BWG55" s="240"/>
      <c r="BWJ55" s="49"/>
      <c r="BWK55" s="240"/>
      <c r="BWL55" s="240"/>
      <c r="BWM55" s="240"/>
      <c r="BWN55" s="257"/>
      <c r="BWO55" s="240"/>
      <c r="BWP55" s="257"/>
      <c r="BWQ55" s="240"/>
      <c r="BWT55" s="49"/>
      <c r="BWU55" s="240"/>
      <c r="BWV55" s="240"/>
      <c r="BWW55" s="240"/>
      <c r="BWX55" s="257"/>
      <c r="BWY55" s="240"/>
      <c r="BWZ55" s="257"/>
      <c r="BXA55" s="240"/>
      <c r="BXD55" s="49"/>
      <c r="BXE55" s="240"/>
      <c r="BXF55" s="240"/>
      <c r="BXG55" s="240"/>
      <c r="BXH55" s="257"/>
      <c r="BXI55" s="240"/>
      <c r="BXJ55" s="257"/>
      <c r="BXK55" s="240"/>
      <c r="BXN55" s="49"/>
      <c r="BXO55" s="240"/>
      <c r="BXP55" s="240"/>
      <c r="BXQ55" s="240"/>
      <c r="BXR55" s="257"/>
      <c r="BXS55" s="240"/>
      <c r="BXT55" s="257"/>
      <c r="BXU55" s="240"/>
      <c r="BXX55" s="49"/>
      <c r="BXY55" s="240"/>
      <c r="BXZ55" s="240"/>
      <c r="BYA55" s="240"/>
      <c r="BYB55" s="257"/>
      <c r="BYC55" s="240"/>
      <c r="BYD55" s="257"/>
      <c r="BYE55" s="240"/>
      <c r="BYH55" s="49"/>
      <c r="BYI55" s="240"/>
      <c r="BYJ55" s="240"/>
      <c r="BYK55" s="240"/>
      <c r="BYL55" s="257"/>
      <c r="BYM55" s="240"/>
      <c r="BYN55" s="257"/>
      <c r="BYO55" s="240"/>
      <c r="BYR55" s="49"/>
      <c r="BYS55" s="240"/>
      <c r="BYT55" s="240"/>
      <c r="BYU55" s="240"/>
      <c r="BYV55" s="257"/>
      <c r="BYW55" s="240"/>
      <c r="BYX55" s="257"/>
      <c r="BYY55" s="240"/>
      <c r="BZB55" s="49"/>
      <c r="BZC55" s="240"/>
      <c r="BZD55" s="240"/>
      <c r="BZE55" s="240"/>
      <c r="BZF55" s="257"/>
      <c r="BZG55" s="240"/>
      <c r="BZH55" s="257"/>
      <c r="BZI55" s="240"/>
      <c r="BZL55" s="49"/>
      <c r="BZM55" s="240"/>
      <c r="BZN55" s="240"/>
      <c r="BZO55" s="240"/>
      <c r="BZP55" s="257"/>
      <c r="BZQ55" s="240"/>
      <c r="BZR55" s="257"/>
      <c r="BZS55" s="240"/>
      <c r="BZV55" s="49"/>
      <c r="BZW55" s="240"/>
      <c r="BZX55" s="240"/>
      <c r="BZY55" s="240"/>
      <c r="BZZ55" s="257"/>
      <c r="CAA55" s="240"/>
      <c r="CAB55" s="257"/>
      <c r="CAC55" s="240"/>
      <c r="CAF55" s="49"/>
      <c r="CAG55" s="240"/>
      <c r="CAH55" s="240"/>
      <c r="CAI55" s="240"/>
      <c r="CAJ55" s="257"/>
      <c r="CAK55" s="240"/>
      <c r="CAL55" s="257"/>
      <c r="CAM55" s="240"/>
      <c r="CAP55" s="49"/>
      <c r="CAQ55" s="240"/>
      <c r="CAR55" s="240"/>
      <c r="CAS55" s="240"/>
      <c r="CAT55" s="257"/>
      <c r="CAU55" s="240"/>
      <c r="CAV55" s="257"/>
      <c r="CAW55" s="240"/>
      <c r="CAZ55" s="49"/>
      <c r="CBA55" s="240"/>
      <c r="CBB55" s="240"/>
      <c r="CBC55" s="240"/>
      <c r="CBD55" s="257"/>
      <c r="CBE55" s="240"/>
      <c r="CBF55" s="257"/>
      <c r="CBG55" s="240"/>
      <c r="CBJ55" s="49"/>
      <c r="CBK55" s="240"/>
      <c r="CBL55" s="240"/>
      <c r="CBM55" s="240"/>
      <c r="CBN55" s="257"/>
      <c r="CBO55" s="240"/>
      <c r="CBP55" s="257"/>
      <c r="CBQ55" s="240"/>
      <c r="CBT55" s="49"/>
      <c r="CBU55" s="240"/>
      <c r="CBV55" s="240"/>
      <c r="CBW55" s="240"/>
      <c r="CBX55" s="257"/>
      <c r="CBY55" s="240"/>
      <c r="CBZ55" s="257"/>
      <c r="CCA55" s="240"/>
      <c r="CCD55" s="49"/>
      <c r="CCE55" s="240"/>
      <c r="CCF55" s="240"/>
      <c r="CCG55" s="240"/>
      <c r="CCH55" s="257"/>
      <c r="CCI55" s="240"/>
      <c r="CCJ55" s="257"/>
      <c r="CCK55" s="240"/>
      <c r="CCN55" s="49"/>
      <c r="CCO55" s="240"/>
      <c r="CCP55" s="240"/>
      <c r="CCQ55" s="240"/>
      <c r="CCR55" s="257"/>
      <c r="CCS55" s="240"/>
      <c r="CCT55" s="257"/>
      <c r="CCU55" s="240"/>
      <c r="CCX55" s="49"/>
      <c r="CCY55" s="240"/>
      <c r="CCZ55" s="240"/>
      <c r="CDA55" s="240"/>
      <c r="CDB55" s="257"/>
      <c r="CDC55" s="240"/>
      <c r="CDD55" s="257"/>
      <c r="CDE55" s="240"/>
      <c r="CDH55" s="49"/>
      <c r="CDI55" s="240"/>
      <c r="CDJ55" s="240"/>
      <c r="CDK55" s="240"/>
      <c r="CDL55" s="257"/>
      <c r="CDM55" s="240"/>
      <c r="CDN55" s="257"/>
      <c r="CDO55" s="240"/>
      <c r="CDR55" s="49"/>
      <c r="CDS55" s="240"/>
      <c r="CDT55" s="240"/>
      <c r="CDU55" s="240"/>
      <c r="CDV55" s="257"/>
      <c r="CDW55" s="240"/>
      <c r="CDX55" s="257"/>
      <c r="CDY55" s="240"/>
      <c r="CEB55" s="49"/>
      <c r="CEC55" s="240"/>
      <c r="CED55" s="240"/>
      <c r="CEE55" s="240"/>
      <c r="CEF55" s="257"/>
      <c r="CEG55" s="240"/>
      <c r="CEH55" s="257"/>
      <c r="CEI55" s="240"/>
      <c r="CEL55" s="49"/>
      <c r="CEM55" s="240"/>
      <c r="CEN55" s="240"/>
      <c r="CEO55" s="240"/>
      <c r="CEP55" s="257"/>
      <c r="CEQ55" s="240"/>
      <c r="CER55" s="257"/>
      <c r="CES55" s="240"/>
      <c r="CEV55" s="49"/>
      <c r="CEW55" s="240"/>
      <c r="CEX55" s="240"/>
      <c r="CEY55" s="240"/>
      <c r="CEZ55" s="257"/>
      <c r="CFA55" s="240"/>
      <c r="CFB55" s="257"/>
      <c r="CFC55" s="240"/>
      <c r="CFF55" s="49"/>
      <c r="CFG55" s="240"/>
      <c r="CFH55" s="240"/>
      <c r="CFI55" s="240"/>
      <c r="CFJ55" s="257"/>
      <c r="CFK55" s="240"/>
      <c r="CFL55" s="257"/>
      <c r="CFM55" s="240"/>
      <c r="CFP55" s="49"/>
      <c r="CFQ55" s="240"/>
      <c r="CFR55" s="240"/>
      <c r="CFS55" s="240"/>
      <c r="CFT55" s="257"/>
      <c r="CFU55" s="240"/>
      <c r="CFV55" s="257"/>
      <c r="CFW55" s="240"/>
      <c r="CFZ55" s="49"/>
      <c r="CGA55" s="240"/>
      <c r="CGB55" s="240"/>
      <c r="CGC55" s="240"/>
      <c r="CGD55" s="257"/>
      <c r="CGE55" s="240"/>
      <c r="CGF55" s="257"/>
      <c r="CGG55" s="240"/>
      <c r="CGJ55" s="49"/>
      <c r="CGK55" s="240"/>
      <c r="CGL55" s="240"/>
      <c r="CGM55" s="240"/>
      <c r="CGN55" s="257"/>
      <c r="CGO55" s="240"/>
      <c r="CGP55" s="257"/>
      <c r="CGQ55" s="240"/>
      <c r="CGT55" s="49"/>
      <c r="CGU55" s="240"/>
      <c r="CGV55" s="240"/>
      <c r="CGW55" s="240"/>
      <c r="CGX55" s="257"/>
      <c r="CGY55" s="240"/>
      <c r="CGZ55" s="257"/>
      <c r="CHA55" s="240"/>
      <c r="CHD55" s="49"/>
      <c r="CHE55" s="240"/>
      <c r="CHF55" s="240"/>
      <c r="CHG55" s="240"/>
      <c r="CHH55" s="257"/>
      <c r="CHI55" s="240"/>
      <c r="CHJ55" s="257"/>
      <c r="CHK55" s="240"/>
      <c r="CHN55" s="49"/>
      <c r="CHO55" s="240"/>
      <c r="CHP55" s="240"/>
      <c r="CHQ55" s="240"/>
      <c r="CHR55" s="257"/>
      <c r="CHS55" s="240"/>
      <c r="CHT55" s="257"/>
      <c r="CHU55" s="240"/>
      <c r="CHX55" s="49"/>
      <c r="CHY55" s="240"/>
      <c r="CHZ55" s="240"/>
      <c r="CIA55" s="240"/>
      <c r="CIB55" s="257"/>
      <c r="CIC55" s="240"/>
      <c r="CID55" s="257"/>
      <c r="CIE55" s="240"/>
      <c r="CIH55" s="49"/>
      <c r="CII55" s="240"/>
      <c r="CIJ55" s="240"/>
      <c r="CIK55" s="240"/>
      <c r="CIL55" s="257"/>
      <c r="CIM55" s="240"/>
      <c r="CIN55" s="257"/>
      <c r="CIO55" s="240"/>
      <c r="CIR55" s="49"/>
      <c r="CIS55" s="240"/>
      <c r="CIT55" s="240"/>
      <c r="CIU55" s="240"/>
      <c r="CIV55" s="257"/>
      <c r="CIW55" s="240"/>
      <c r="CIX55" s="257"/>
      <c r="CIY55" s="240"/>
      <c r="CJB55" s="49"/>
      <c r="CJC55" s="240"/>
      <c r="CJD55" s="240"/>
      <c r="CJE55" s="240"/>
      <c r="CJF55" s="257"/>
      <c r="CJG55" s="240"/>
      <c r="CJH55" s="257"/>
      <c r="CJI55" s="240"/>
      <c r="CJL55" s="49"/>
      <c r="CJM55" s="240"/>
      <c r="CJN55" s="240"/>
      <c r="CJO55" s="240"/>
      <c r="CJP55" s="257"/>
      <c r="CJQ55" s="240"/>
      <c r="CJR55" s="257"/>
      <c r="CJS55" s="240"/>
      <c r="CJV55" s="49"/>
      <c r="CJW55" s="240"/>
      <c r="CJX55" s="240"/>
      <c r="CJY55" s="240"/>
      <c r="CJZ55" s="257"/>
      <c r="CKA55" s="240"/>
      <c r="CKB55" s="257"/>
      <c r="CKC55" s="240"/>
      <c r="CKF55" s="49"/>
      <c r="CKG55" s="240"/>
      <c r="CKH55" s="240"/>
      <c r="CKI55" s="240"/>
      <c r="CKJ55" s="257"/>
      <c r="CKK55" s="240"/>
      <c r="CKL55" s="257"/>
      <c r="CKM55" s="240"/>
      <c r="CKP55" s="49"/>
      <c r="CKQ55" s="240"/>
      <c r="CKR55" s="240"/>
      <c r="CKS55" s="240"/>
      <c r="CKT55" s="257"/>
      <c r="CKU55" s="240"/>
      <c r="CKV55" s="257"/>
      <c r="CKW55" s="240"/>
      <c r="CKZ55" s="49"/>
      <c r="CLA55" s="240"/>
      <c r="CLB55" s="240"/>
      <c r="CLC55" s="240"/>
      <c r="CLD55" s="257"/>
      <c r="CLE55" s="240"/>
      <c r="CLF55" s="257"/>
      <c r="CLG55" s="240"/>
      <c r="CLJ55" s="49"/>
      <c r="CLK55" s="240"/>
      <c r="CLL55" s="240"/>
      <c r="CLM55" s="240"/>
      <c r="CLN55" s="257"/>
      <c r="CLO55" s="240"/>
      <c r="CLP55" s="257"/>
      <c r="CLQ55" s="240"/>
      <c r="CLT55" s="49"/>
      <c r="CLU55" s="240"/>
      <c r="CLV55" s="240"/>
      <c r="CLW55" s="240"/>
      <c r="CLX55" s="257"/>
      <c r="CLY55" s="240"/>
      <c r="CLZ55" s="257"/>
      <c r="CMA55" s="240"/>
      <c r="CMD55" s="49"/>
      <c r="CME55" s="240"/>
      <c r="CMF55" s="240"/>
      <c r="CMG55" s="240"/>
      <c r="CMH55" s="257"/>
      <c r="CMI55" s="240"/>
      <c r="CMJ55" s="257"/>
      <c r="CMK55" s="240"/>
      <c r="CMN55" s="49"/>
      <c r="CMO55" s="240"/>
      <c r="CMP55" s="240"/>
      <c r="CMQ55" s="240"/>
      <c r="CMR55" s="257"/>
      <c r="CMS55" s="240"/>
      <c r="CMT55" s="257"/>
      <c r="CMU55" s="240"/>
      <c r="CMX55" s="49"/>
      <c r="CMY55" s="240"/>
      <c r="CMZ55" s="240"/>
      <c r="CNA55" s="240"/>
      <c r="CNB55" s="257"/>
      <c r="CNC55" s="240"/>
      <c r="CND55" s="257"/>
      <c r="CNE55" s="240"/>
      <c r="CNH55" s="49"/>
      <c r="CNI55" s="240"/>
      <c r="CNJ55" s="240"/>
      <c r="CNK55" s="240"/>
      <c r="CNL55" s="257"/>
      <c r="CNM55" s="240"/>
      <c r="CNN55" s="257"/>
      <c r="CNO55" s="240"/>
      <c r="CNR55" s="49"/>
      <c r="CNS55" s="240"/>
      <c r="CNT55" s="240"/>
      <c r="CNU55" s="240"/>
      <c r="CNV55" s="257"/>
      <c r="CNW55" s="240"/>
      <c r="CNX55" s="257"/>
      <c r="CNY55" s="240"/>
      <c r="COB55" s="49"/>
      <c r="COC55" s="240"/>
      <c r="COD55" s="240"/>
      <c r="COE55" s="240"/>
      <c r="COF55" s="257"/>
      <c r="COG55" s="240"/>
      <c r="COH55" s="257"/>
      <c r="COI55" s="240"/>
      <c r="COL55" s="49"/>
      <c r="COM55" s="240"/>
      <c r="CON55" s="240"/>
      <c r="COO55" s="240"/>
      <c r="COP55" s="257"/>
      <c r="COQ55" s="240"/>
      <c r="COR55" s="257"/>
      <c r="COS55" s="240"/>
      <c r="COV55" s="49"/>
      <c r="COW55" s="240"/>
      <c r="COX55" s="240"/>
      <c r="COY55" s="240"/>
      <c r="COZ55" s="257"/>
      <c r="CPA55" s="240"/>
      <c r="CPB55" s="257"/>
      <c r="CPC55" s="240"/>
      <c r="CPF55" s="49"/>
      <c r="CPG55" s="240"/>
      <c r="CPH55" s="240"/>
      <c r="CPI55" s="240"/>
      <c r="CPJ55" s="257"/>
      <c r="CPK55" s="240"/>
      <c r="CPL55" s="257"/>
      <c r="CPM55" s="240"/>
      <c r="CPP55" s="49"/>
      <c r="CPQ55" s="240"/>
      <c r="CPR55" s="240"/>
      <c r="CPS55" s="240"/>
      <c r="CPT55" s="257"/>
      <c r="CPU55" s="240"/>
      <c r="CPV55" s="257"/>
      <c r="CPW55" s="240"/>
      <c r="CPZ55" s="49"/>
      <c r="CQA55" s="240"/>
      <c r="CQB55" s="240"/>
      <c r="CQC55" s="240"/>
      <c r="CQD55" s="257"/>
      <c r="CQE55" s="240"/>
      <c r="CQF55" s="257"/>
      <c r="CQG55" s="240"/>
      <c r="CQJ55" s="49"/>
      <c r="CQK55" s="240"/>
      <c r="CQL55" s="240"/>
      <c r="CQM55" s="240"/>
      <c r="CQN55" s="257"/>
      <c r="CQO55" s="240"/>
      <c r="CQP55" s="257"/>
      <c r="CQQ55" s="240"/>
      <c r="CQT55" s="49"/>
      <c r="CQU55" s="240"/>
      <c r="CQV55" s="240"/>
      <c r="CQW55" s="240"/>
      <c r="CQX55" s="257"/>
      <c r="CQY55" s="240"/>
      <c r="CQZ55" s="257"/>
      <c r="CRA55" s="240"/>
      <c r="CRD55" s="49"/>
      <c r="CRE55" s="240"/>
      <c r="CRF55" s="240"/>
      <c r="CRG55" s="240"/>
      <c r="CRH55" s="257"/>
      <c r="CRI55" s="240"/>
      <c r="CRJ55" s="257"/>
      <c r="CRK55" s="240"/>
      <c r="CRN55" s="49"/>
      <c r="CRO55" s="240"/>
      <c r="CRP55" s="240"/>
      <c r="CRQ55" s="240"/>
      <c r="CRR55" s="257"/>
      <c r="CRS55" s="240"/>
      <c r="CRT55" s="257"/>
      <c r="CRU55" s="240"/>
      <c r="CRX55" s="49"/>
      <c r="CRY55" s="240"/>
      <c r="CRZ55" s="240"/>
      <c r="CSA55" s="240"/>
      <c r="CSB55" s="257"/>
      <c r="CSC55" s="240"/>
      <c r="CSD55" s="257"/>
      <c r="CSE55" s="240"/>
      <c r="CSH55" s="49"/>
      <c r="CSI55" s="240"/>
      <c r="CSJ55" s="240"/>
      <c r="CSK55" s="240"/>
      <c r="CSL55" s="257"/>
      <c r="CSM55" s="240"/>
      <c r="CSN55" s="257"/>
      <c r="CSO55" s="240"/>
      <c r="CSR55" s="49"/>
      <c r="CSS55" s="240"/>
      <c r="CST55" s="240"/>
      <c r="CSU55" s="240"/>
      <c r="CSV55" s="257"/>
      <c r="CSW55" s="240"/>
      <c r="CSX55" s="257"/>
      <c r="CSY55" s="240"/>
      <c r="CTB55" s="49"/>
      <c r="CTC55" s="240"/>
      <c r="CTD55" s="240"/>
      <c r="CTE55" s="240"/>
      <c r="CTF55" s="257"/>
      <c r="CTG55" s="240"/>
      <c r="CTH55" s="257"/>
      <c r="CTI55" s="240"/>
      <c r="CTL55" s="49"/>
      <c r="CTM55" s="240"/>
      <c r="CTN55" s="240"/>
      <c r="CTO55" s="240"/>
      <c r="CTP55" s="257"/>
      <c r="CTQ55" s="240"/>
      <c r="CTR55" s="257"/>
      <c r="CTS55" s="240"/>
      <c r="CTV55" s="49"/>
      <c r="CTW55" s="240"/>
      <c r="CTX55" s="240"/>
      <c r="CTY55" s="240"/>
      <c r="CTZ55" s="257"/>
      <c r="CUA55" s="240"/>
      <c r="CUB55" s="257"/>
      <c r="CUC55" s="240"/>
      <c r="CUF55" s="49"/>
      <c r="CUG55" s="240"/>
      <c r="CUH55" s="240"/>
      <c r="CUI55" s="240"/>
      <c r="CUJ55" s="257"/>
      <c r="CUK55" s="240"/>
      <c r="CUL55" s="257"/>
      <c r="CUM55" s="240"/>
      <c r="CUP55" s="49"/>
      <c r="CUQ55" s="240"/>
      <c r="CUR55" s="240"/>
      <c r="CUS55" s="240"/>
      <c r="CUT55" s="257"/>
      <c r="CUU55" s="240"/>
      <c r="CUV55" s="257"/>
      <c r="CUW55" s="240"/>
      <c r="CUZ55" s="49"/>
      <c r="CVA55" s="240"/>
      <c r="CVB55" s="240"/>
      <c r="CVC55" s="240"/>
      <c r="CVD55" s="257"/>
      <c r="CVE55" s="240"/>
      <c r="CVF55" s="257"/>
      <c r="CVG55" s="240"/>
      <c r="CVJ55" s="49"/>
      <c r="CVK55" s="240"/>
      <c r="CVL55" s="240"/>
      <c r="CVM55" s="240"/>
      <c r="CVN55" s="257"/>
      <c r="CVO55" s="240"/>
      <c r="CVP55" s="257"/>
      <c r="CVQ55" s="240"/>
      <c r="CVT55" s="49"/>
      <c r="CVU55" s="240"/>
      <c r="CVV55" s="240"/>
      <c r="CVW55" s="240"/>
      <c r="CVX55" s="257"/>
      <c r="CVY55" s="240"/>
      <c r="CVZ55" s="257"/>
      <c r="CWA55" s="240"/>
      <c r="CWD55" s="49"/>
      <c r="CWE55" s="240"/>
      <c r="CWF55" s="240"/>
      <c r="CWG55" s="240"/>
      <c r="CWH55" s="257"/>
      <c r="CWI55" s="240"/>
      <c r="CWJ55" s="257"/>
      <c r="CWK55" s="240"/>
      <c r="CWN55" s="49"/>
      <c r="CWO55" s="240"/>
      <c r="CWP55" s="240"/>
      <c r="CWQ55" s="240"/>
      <c r="CWR55" s="257"/>
      <c r="CWS55" s="240"/>
      <c r="CWT55" s="257"/>
      <c r="CWU55" s="240"/>
      <c r="CWX55" s="49"/>
      <c r="CWY55" s="240"/>
      <c r="CWZ55" s="240"/>
      <c r="CXA55" s="240"/>
      <c r="CXB55" s="257"/>
      <c r="CXC55" s="240"/>
      <c r="CXD55" s="257"/>
      <c r="CXE55" s="240"/>
      <c r="CXH55" s="49"/>
      <c r="CXI55" s="240"/>
      <c r="CXJ55" s="240"/>
      <c r="CXK55" s="240"/>
      <c r="CXL55" s="257"/>
      <c r="CXM55" s="240"/>
      <c r="CXN55" s="257"/>
      <c r="CXO55" s="240"/>
      <c r="CXR55" s="49"/>
      <c r="CXS55" s="240"/>
      <c r="CXT55" s="240"/>
      <c r="CXU55" s="240"/>
      <c r="CXV55" s="257"/>
      <c r="CXW55" s="240"/>
      <c r="CXX55" s="257"/>
      <c r="CXY55" s="240"/>
      <c r="CYB55" s="49"/>
      <c r="CYC55" s="240"/>
      <c r="CYD55" s="240"/>
      <c r="CYE55" s="240"/>
      <c r="CYF55" s="257"/>
      <c r="CYG55" s="240"/>
      <c r="CYH55" s="257"/>
      <c r="CYI55" s="240"/>
      <c r="CYL55" s="49"/>
      <c r="CYM55" s="240"/>
      <c r="CYN55" s="240"/>
      <c r="CYO55" s="240"/>
      <c r="CYP55" s="257"/>
      <c r="CYQ55" s="240"/>
      <c r="CYR55" s="257"/>
      <c r="CYS55" s="240"/>
      <c r="CYV55" s="49"/>
      <c r="CYW55" s="240"/>
      <c r="CYX55" s="240"/>
      <c r="CYY55" s="240"/>
      <c r="CYZ55" s="257"/>
      <c r="CZA55" s="240"/>
      <c r="CZB55" s="257"/>
      <c r="CZC55" s="240"/>
      <c r="CZF55" s="49"/>
      <c r="CZG55" s="240"/>
      <c r="CZH55" s="240"/>
      <c r="CZI55" s="240"/>
      <c r="CZJ55" s="257"/>
      <c r="CZK55" s="240"/>
      <c r="CZL55" s="257"/>
      <c r="CZM55" s="240"/>
      <c r="CZP55" s="49"/>
      <c r="CZQ55" s="240"/>
      <c r="CZR55" s="240"/>
      <c r="CZS55" s="240"/>
      <c r="CZT55" s="257"/>
      <c r="CZU55" s="240"/>
      <c r="CZV55" s="257"/>
      <c r="CZW55" s="240"/>
      <c r="CZZ55" s="49"/>
      <c r="DAA55" s="240"/>
      <c r="DAB55" s="240"/>
      <c r="DAC55" s="240"/>
      <c r="DAD55" s="257"/>
      <c r="DAE55" s="240"/>
      <c r="DAF55" s="257"/>
      <c r="DAG55" s="240"/>
      <c r="DAJ55" s="49"/>
      <c r="DAK55" s="240"/>
      <c r="DAL55" s="240"/>
      <c r="DAM55" s="240"/>
      <c r="DAN55" s="257"/>
      <c r="DAO55" s="240"/>
      <c r="DAP55" s="257"/>
      <c r="DAQ55" s="240"/>
      <c r="DAT55" s="49"/>
      <c r="DAU55" s="240"/>
      <c r="DAV55" s="240"/>
      <c r="DAW55" s="240"/>
      <c r="DAX55" s="257"/>
      <c r="DAY55" s="240"/>
      <c r="DAZ55" s="257"/>
      <c r="DBA55" s="240"/>
      <c r="DBD55" s="49"/>
      <c r="DBE55" s="240"/>
      <c r="DBF55" s="240"/>
      <c r="DBG55" s="240"/>
      <c r="DBH55" s="257"/>
      <c r="DBI55" s="240"/>
      <c r="DBJ55" s="257"/>
      <c r="DBK55" s="240"/>
      <c r="DBN55" s="49"/>
      <c r="DBO55" s="240"/>
      <c r="DBP55" s="240"/>
      <c r="DBQ55" s="240"/>
      <c r="DBR55" s="257"/>
      <c r="DBS55" s="240"/>
      <c r="DBT55" s="257"/>
      <c r="DBU55" s="240"/>
      <c r="DBX55" s="49"/>
      <c r="DBY55" s="240"/>
      <c r="DBZ55" s="240"/>
      <c r="DCA55" s="240"/>
      <c r="DCB55" s="257"/>
      <c r="DCC55" s="240"/>
      <c r="DCD55" s="257"/>
      <c r="DCE55" s="240"/>
      <c r="DCH55" s="49"/>
      <c r="DCI55" s="240"/>
      <c r="DCJ55" s="240"/>
      <c r="DCK55" s="240"/>
      <c r="DCL55" s="257"/>
      <c r="DCM55" s="240"/>
      <c r="DCN55" s="257"/>
      <c r="DCO55" s="240"/>
      <c r="DCR55" s="49"/>
      <c r="DCS55" s="240"/>
      <c r="DCT55" s="240"/>
      <c r="DCU55" s="240"/>
      <c r="DCV55" s="257"/>
      <c r="DCW55" s="240"/>
      <c r="DCX55" s="257"/>
      <c r="DCY55" s="240"/>
      <c r="DDB55" s="49"/>
      <c r="DDC55" s="240"/>
      <c r="DDD55" s="240"/>
      <c r="DDE55" s="240"/>
      <c r="DDF55" s="257"/>
      <c r="DDG55" s="240"/>
      <c r="DDH55" s="257"/>
      <c r="DDI55" s="240"/>
      <c r="DDL55" s="49"/>
      <c r="DDM55" s="240"/>
      <c r="DDN55" s="240"/>
      <c r="DDO55" s="240"/>
      <c r="DDP55" s="257"/>
      <c r="DDQ55" s="240"/>
      <c r="DDR55" s="257"/>
      <c r="DDS55" s="240"/>
      <c r="DDV55" s="49"/>
      <c r="DDW55" s="240"/>
      <c r="DDX55" s="240"/>
      <c r="DDY55" s="240"/>
      <c r="DDZ55" s="257"/>
      <c r="DEA55" s="240"/>
      <c r="DEB55" s="257"/>
      <c r="DEC55" s="240"/>
      <c r="DEF55" s="49"/>
      <c r="DEG55" s="240"/>
      <c r="DEH55" s="240"/>
      <c r="DEI55" s="240"/>
      <c r="DEJ55" s="257"/>
      <c r="DEK55" s="240"/>
      <c r="DEL55" s="257"/>
      <c r="DEM55" s="240"/>
      <c r="DEP55" s="49"/>
      <c r="DEQ55" s="240"/>
      <c r="DER55" s="240"/>
      <c r="DES55" s="240"/>
      <c r="DET55" s="257"/>
      <c r="DEU55" s="240"/>
      <c r="DEV55" s="257"/>
      <c r="DEW55" s="240"/>
      <c r="DEZ55" s="49"/>
      <c r="DFA55" s="240"/>
      <c r="DFB55" s="240"/>
      <c r="DFC55" s="240"/>
      <c r="DFD55" s="257"/>
      <c r="DFE55" s="240"/>
      <c r="DFF55" s="257"/>
      <c r="DFG55" s="240"/>
      <c r="DFJ55" s="49"/>
      <c r="DFK55" s="240"/>
      <c r="DFL55" s="240"/>
      <c r="DFM55" s="240"/>
      <c r="DFN55" s="257"/>
      <c r="DFO55" s="240"/>
      <c r="DFP55" s="257"/>
      <c r="DFQ55" s="240"/>
      <c r="DFT55" s="49"/>
      <c r="DFU55" s="240"/>
      <c r="DFV55" s="240"/>
      <c r="DFW55" s="240"/>
      <c r="DFX55" s="257"/>
      <c r="DFY55" s="240"/>
      <c r="DFZ55" s="257"/>
      <c r="DGA55" s="240"/>
      <c r="DGD55" s="49"/>
      <c r="DGE55" s="240"/>
      <c r="DGF55" s="240"/>
      <c r="DGG55" s="240"/>
      <c r="DGH55" s="257"/>
      <c r="DGI55" s="240"/>
      <c r="DGJ55" s="257"/>
      <c r="DGK55" s="240"/>
      <c r="DGN55" s="49"/>
      <c r="DGO55" s="240"/>
      <c r="DGP55" s="240"/>
      <c r="DGQ55" s="240"/>
      <c r="DGR55" s="257"/>
      <c r="DGS55" s="240"/>
      <c r="DGT55" s="257"/>
      <c r="DGU55" s="240"/>
      <c r="DGX55" s="49"/>
      <c r="DGY55" s="240"/>
      <c r="DGZ55" s="240"/>
      <c r="DHA55" s="240"/>
      <c r="DHB55" s="257"/>
      <c r="DHC55" s="240"/>
      <c r="DHD55" s="257"/>
      <c r="DHE55" s="240"/>
      <c r="DHH55" s="49"/>
      <c r="DHI55" s="240"/>
      <c r="DHJ55" s="240"/>
      <c r="DHK55" s="240"/>
      <c r="DHL55" s="257"/>
      <c r="DHM55" s="240"/>
      <c r="DHN55" s="257"/>
      <c r="DHO55" s="240"/>
      <c r="DHR55" s="49"/>
      <c r="DHS55" s="240"/>
      <c r="DHT55" s="240"/>
      <c r="DHU55" s="240"/>
      <c r="DHV55" s="257"/>
      <c r="DHW55" s="240"/>
      <c r="DHX55" s="257"/>
      <c r="DHY55" s="240"/>
      <c r="DIB55" s="49"/>
      <c r="DIC55" s="240"/>
      <c r="DID55" s="240"/>
      <c r="DIE55" s="240"/>
      <c r="DIF55" s="257"/>
      <c r="DIG55" s="240"/>
      <c r="DIH55" s="257"/>
      <c r="DII55" s="240"/>
      <c r="DIL55" s="49"/>
      <c r="DIM55" s="240"/>
      <c r="DIN55" s="240"/>
      <c r="DIO55" s="240"/>
      <c r="DIP55" s="257"/>
      <c r="DIQ55" s="240"/>
      <c r="DIR55" s="257"/>
      <c r="DIS55" s="240"/>
      <c r="DIV55" s="49"/>
      <c r="DIW55" s="240"/>
      <c r="DIX55" s="240"/>
      <c r="DIY55" s="240"/>
      <c r="DIZ55" s="257"/>
      <c r="DJA55" s="240"/>
      <c r="DJB55" s="257"/>
      <c r="DJC55" s="240"/>
      <c r="DJF55" s="49"/>
      <c r="DJG55" s="240"/>
      <c r="DJH55" s="240"/>
      <c r="DJI55" s="240"/>
      <c r="DJJ55" s="257"/>
      <c r="DJK55" s="240"/>
      <c r="DJL55" s="257"/>
      <c r="DJM55" s="240"/>
      <c r="DJP55" s="49"/>
      <c r="DJQ55" s="240"/>
      <c r="DJR55" s="240"/>
      <c r="DJS55" s="240"/>
      <c r="DJT55" s="257"/>
      <c r="DJU55" s="240"/>
      <c r="DJV55" s="257"/>
      <c r="DJW55" s="240"/>
      <c r="DJZ55" s="49"/>
      <c r="DKA55" s="240"/>
      <c r="DKB55" s="240"/>
      <c r="DKC55" s="240"/>
      <c r="DKD55" s="257"/>
      <c r="DKE55" s="240"/>
      <c r="DKF55" s="257"/>
      <c r="DKG55" s="240"/>
      <c r="DKJ55" s="49"/>
      <c r="DKK55" s="240"/>
      <c r="DKL55" s="240"/>
      <c r="DKM55" s="240"/>
      <c r="DKN55" s="257"/>
      <c r="DKO55" s="240"/>
      <c r="DKP55" s="257"/>
      <c r="DKQ55" s="240"/>
      <c r="DKT55" s="49"/>
      <c r="DKU55" s="240"/>
      <c r="DKV55" s="240"/>
      <c r="DKW55" s="240"/>
      <c r="DKX55" s="257"/>
      <c r="DKY55" s="240"/>
      <c r="DKZ55" s="257"/>
      <c r="DLA55" s="240"/>
      <c r="DLD55" s="49"/>
      <c r="DLE55" s="240"/>
      <c r="DLF55" s="240"/>
      <c r="DLG55" s="240"/>
      <c r="DLH55" s="257"/>
      <c r="DLI55" s="240"/>
      <c r="DLJ55" s="257"/>
      <c r="DLK55" s="240"/>
      <c r="DLN55" s="49"/>
      <c r="DLO55" s="240"/>
      <c r="DLP55" s="240"/>
      <c r="DLQ55" s="240"/>
      <c r="DLR55" s="257"/>
      <c r="DLS55" s="240"/>
      <c r="DLT55" s="257"/>
      <c r="DLU55" s="240"/>
      <c r="DLX55" s="49"/>
      <c r="DLY55" s="240"/>
      <c r="DLZ55" s="240"/>
      <c r="DMA55" s="240"/>
      <c r="DMB55" s="257"/>
      <c r="DMC55" s="240"/>
      <c r="DMD55" s="257"/>
      <c r="DME55" s="240"/>
      <c r="DMH55" s="49"/>
      <c r="DMI55" s="240"/>
      <c r="DMJ55" s="240"/>
      <c r="DMK55" s="240"/>
      <c r="DML55" s="257"/>
      <c r="DMM55" s="240"/>
      <c r="DMN55" s="257"/>
      <c r="DMO55" s="240"/>
      <c r="DMR55" s="49"/>
      <c r="DMS55" s="240"/>
      <c r="DMT55" s="240"/>
      <c r="DMU55" s="240"/>
      <c r="DMV55" s="257"/>
      <c r="DMW55" s="240"/>
      <c r="DMX55" s="257"/>
      <c r="DMY55" s="240"/>
      <c r="DNB55" s="49"/>
      <c r="DNC55" s="240"/>
      <c r="DND55" s="240"/>
      <c r="DNE55" s="240"/>
      <c r="DNF55" s="257"/>
      <c r="DNG55" s="240"/>
      <c r="DNH55" s="257"/>
      <c r="DNI55" s="240"/>
      <c r="DNL55" s="49"/>
      <c r="DNM55" s="240"/>
      <c r="DNN55" s="240"/>
      <c r="DNO55" s="240"/>
      <c r="DNP55" s="257"/>
      <c r="DNQ55" s="240"/>
      <c r="DNR55" s="257"/>
      <c r="DNS55" s="240"/>
      <c r="DNV55" s="49"/>
      <c r="DNW55" s="240"/>
      <c r="DNX55" s="240"/>
      <c r="DNY55" s="240"/>
      <c r="DNZ55" s="257"/>
      <c r="DOA55" s="240"/>
      <c r="DOB55" s="257"/>
      <c r="DOC55" s="240"/>
      <c r="DOF55" s="49"/>
      <c r="DOG55" s="240"/>
      <c r="DOH55" s="240"/>
      <c r="DOI55" s="240"/>
      <c r="DOJ55" s="257"/>
      <c r="DOK55" s="240"/>
      <c r="DOL55" s="257"/>
      <c r="DOM55" s="240"/>
      <c r="DOP55" s="49"/>
      <c r="DOQ55" s="240"/>
      <c r="DOR55" s="240"/>
      <c r="DOS55" s="240"/>
      <c r="DOT55" s="257"/>
      <c r="DOU55" s="240"/>
      <c r="DOV55" s="257"/>
      <c r="DOW55" s="240"/>
      <c r="DOZ55" s="49"/>
      <c r="DPA55" s="240"/>
      <c r="DPB55" s="240"/>
      <c r="DPC55" s="240"/>
      <c r="DPD55" s="257"/>
      <c r="DPE55" s="240"/>
      <c r="DPF55" s="257"/>
      <c r="DPG55" s="240"/>
      <c r="DPJ55" s="49"/>
      <c r="DPK55" s="240"/>
      <c r="DPL55" s="240"/>
      <c r="DPM55" s="240"/>
      <c r="DPN55" s="257"/>
      <c r="DPO55" s="240"/>
      <c r="DPP55" s="257"/>
      <c r="DPQ55" s="240"/>
      <c r="DPT55" s="49"/>
      <c r="DPU55" s="240"/>
      <c r="DPV55" s="240"/>
      <c r="DPW55" s="240"/>
      <c r="DPX55" s="257"/>
      <c r="DPY55" s="240"/>
      <c r="DPZ55" s="257"/>
      <c r="DQA55" s="240"/>
      <c r="DQD55" s="49"/>
      <c r="DQE55" s="240"/>
      <c r="DQF55" s="240"/>
      <c r="DQG55" s="240"/>
      <c r="DQH55" s="257"/>
      <c r="DQI55" s="240"/>
      <c r="DQJ55" s="257"/>
      <c r="DQK55" s="240"/>
      <c r="DQN55" s="49"/>
      <c r="DQO55" s="240"/>
      <c r="DQP55" s="240"/>
      <c r="DQQ55" s="240"/>
      <c r="DQR55" s="257"/>
      <c r="DQS55" s="240"/>
      <c r="DQT55" s="257"/>
      <c r="DQU55" s="240"/>
      <c r="DQX55" s="49"/>
      <c r="DQY55" s="240"/>
      <c r="DQZ55" s="240"/>
      <c r="DRA55" s="240"/>
      <c r="DRB55" s="257"/>
      <c r="DRC55" s="240"/>
      <c r="DRD55" s="257"/>
      <c r="DRE55" s="240"/>
      <c r="DRH55" s="49"/>
      <c r="DRI55" s="240"/>
      <c r="DRJ55" s="240"/>
      <c r="DRK55" s="240"/>
      <c r="DRL55" s="257"/>
      <c r="DRM55" s="240"/>
      <c r="DRN55" s="257"/>
      <c r="DRO55" s="240"/>
      <c r="DRR55" s="49"/>
      <c r="DRS55" s="240"/>
      <c r="DRT55" s="240"/>
      <c r="DRU55" s="240"/>
      <c r="DRV55" s="257"/>
      <c r="DRW55" s="240"/>
      <c r="DRX55" s="257"/>
      <c r="DRY55" s="240"/>
      <c r="DSB55" s="49"/>
      <c r="DSC55" s="240"/>
      <c r="DSD55" s="240"/>
      <c r="DSE55" s="240"/>
      <c r="DSF55" s="257"/>
      <c r="DSG55" s="240"/>
      <c r="DSH55" s="257"/>
      <c r="DSI55" s="240"/>
      <c r="DSL55" s="49"/>
      <c r="DSM55" s="240"/>
      <c r="DSN55" s="240"/>
      <c r="DSO55" s="240"/>
      <c r="DSP55" s="257"/>
      <c r="DSQ55" s="240"/>
      <c r="DSR55" s="257"/>
      <c r="DSS55" s="240"/>
      <c r="DSV55" s="49"/>
      <c r="DSW55" s="240"/>
      <c r="DSX55" s="240"/>
      <c r="DSY55" s="240"/>
      <c r="DSZ55" s="257"/>
      <c r="DTA55" s="240"/>
      <c r="DTB55" s="257"/>
      <c r="DTC55" s="240"/>
      <c r="DTF55" s="49"/>
      <c r="DTG55" s="240"/>
      <c r="DTH55" s="240"/>
      <c r="DTI55" s="240"/>
      <c r="DTJ55" s="257"/>
      <c r="DTK55" s="240"/>
      <c r="DTL55" s="257"/>
      <c r="DTM55" s="240"/>
      <c r="DTP55" s="49"/>
      <c r="DTQ55" s="240"/>
      <c r="DTR55" s="240"/>
      <c r="DTS55" s="240"/>
      <c r="DTT55" s="257"/>
      <c r="DTU55" s="240"/>
      <c r="DTV55" s="257"/>
      <c r="DTW55" s="240"/>
      <c r="DTZ55" s="49"/>
      <c r="DUA55" s="240"/>
      <c r="DUB55" s="240"/>
      <c r="DUC55" s="240"/>
      <c r="DUD55" s="257"/>
      <c r="DUE55" s="240"/>
      <c r="DUF55" s="257"/>
      <c r="DUG55" s="240"/>
      <c r="DUJ55" s="49"/>
      <c r="DUK55" s="240"/>
      <c r="DUL55" s="240"/>
      <c r="DUM55" s="240"/>
      <c r="DUN55" s="257"/>
      <c r="DUO55" s="240"/>
      <c r="DUP55" s="257"/>
      <c r="DUQ55" s="240"/>
      <c r="DUT55" s="49"/>
      <c r="DUU55" s="240"/>
      <c r="DUV55" s="240"/>
      <c r="DUW55" s="240"/>
      <c r="DUX55" s="257"/>
      <c r="DUY55" s="240"/>
      <c r="DUZ55" s="257"/>
      <c r="DVA55" s="240"/>
      <c r="DVD55" s="49"/>
      <c r="DVE55" s="240"/>
      <c r="DVF55" s="240"/>
      <c r="DVG55" s="240"/>
      <c r="DVH55" s="257"/>
      <c r="DVI55" s="240"/>
      <c r="DVJ55" s="257"/>
      <c r="DVK55" s="240"/>
      <c r="DVN55" s="49"/>
      <c r="DVO55" s="240"/>
      <c r="DVP55" s="240"/>
      <c r="DVQ55" s="240"/>
      <c r="DVR55" s="257"/>
      <c r="DVS55" s="240"/>
      <c r="DVT55" s="257"/>
      <c r="DVU55" s="240"/>
      <c r="DVX55" s="49"/>
      <c r="DVY55" s="240"/>
      <c r="DVZ55" s="240"/>
      <c r="DWA55" s="240"/>
      <c r="DWB55" s="257"/>
      <c r="DWC55" s="240"/>
      <c r="DWD55" s="257"/>
      <c r="DWE55" s="240"/>
      <c r="DWH55" s="49"/>
      <c r="DWI55" s="240"/>
      <c r="DWJ55" s="240"/>
      <c r="DWK55" s="240"/>
      <c r="DWL55" s="257"/>
      <c r="DWM55" s="240"/>
      <c r="DWN55" s="257"/>
      <c r="DWO55" s="240"/>
      <c r="DWR55" s="49"/>
      <c r="DWS55" s="240"/>
      <c r="DWT55" s="240"/>
      <c r="DWU55" s="240"/>
      <c r="DWV55" s="257"/>
      <c r="DWW55" s="240"/>
      <c r="DWX55" s="257"/>
      <c r="DWY55" s="240"/>
      <c r="DXB55" s="49"/>
      <c r="DXC55" s="240"/>
      <c r="DXD55" s="240"/>
      <c r="DXE55" s="240"/>
      <c r="DXF55" s="257"/>
      <c r="DXG55" s="240"/>
      <c r="DXH55" s="257"/>
      <c r="DXI55" s="240"/>
      <c r="DXL55" s="49"/>
      <c r="DXM55" s="240"/>
      <c r="DXN55" s="240"/>
      <c r="DXO55" s="240"/>
      <c r="DXP55" s="257"/>
      <c r="DXQ55" s="240"/>
      <c r="DXR55" s="257"/>
      <c r="DXS55" s="240"/>
      <c r="DXV55" s="49"/>
      <c r="DXW55" s="240"/>
      <c r="DXX55" s="240"/>
      <c r="DXY55" s="240"/>
      <c r="DXZ55" s="257"/>
      <c r="DYA55" s="240"/>
      <c r="DYB55" s="257"/>
      <c r="DYC55" s="240"/>
      <c r="DYF55" s="49"/>
      <c r="DYG55" s="240"/>
      <c r="DYH55" s="240"/>
      <c r="DYI55" s="240"/>
      <c r="DYJ55" s="257"/>
      <c r="DYK55" s="240"/>
      <c r="DYL55" s="257"/>
      <c r="DYM55" s="240"/>
      <c r="DYP55" s="49"/>
      <c r="DYQ55" s="240"/>
      <c r="DYR55" s="240"/>
      <c r="DYS55" s="240"/>
      <c r="DYT55" s="257"/>
      <c r="DYU55" s="240"/>
      <c r="DYV55" s="257"/>
      <c r="DYW55" s="240"/>
      <c r="DYZ55" s="49"/>
      <c r="DZA55" s="240"/>
      <c r="DZB55" s="240"/>
      <c r="DZC55" s="240"/>
      <c r="DZD55" s="257"/>
      <c r="DZE55" s="240"/>
      <c r="DZF55" s="257"/>
      <c r="DZG55" s="240"/>
      <c r="DZJ55" s="49"/>
      <c r="DZK55" s="240"/>
      <c r="DZL55" s="240"/>
      <c r="DZM55" s="240"/>
      <c r="DZN55" s="257"/>
      <c r="DZO55" s="240"/>
      <c r="DZP55" s="257"/>
      <c r="DZQ55" s="240"/>
      <c r="DZT55" s="49"/>
      <c r="DZU55" s="240"/>
      <c r="DZV55" s="240"/>
      <c r="DZW55" s="240"/>
      <c r="DZX55" s="257"/>
      <c r="DZY55" s="240"/>
      <c r="DZZ55" s="257"/>
      <c r="EAA55" s="240"/>
      <c r="EAD55" s="49"/>
      <c r="EAE55" s="240"/>
      <c r="EAF55" s="240"/>
      <c r="EAG55" s="240"/>
      <c r="EAH55" s="257"/>
      <c r="EAI55" s="240"/>
      <c r="EAJ55" s="257"/>
      <c r="EAK55" s="240"/>
      <c r="EAN55" s="49"/>
      <c r="EAO55" s="240"/>
      <c r="EAP55" s="240"/>
      <c r="EAQ55" s="240"/>
      <c r="EAR55" s="257"/>
      <c r="EAS55" s="240"/>
      <c r="EAT55" s="257"/>
      <c r="EAU55" s="240"/>
      <c r="EAX55" s="49"/>
      <c r="EAY55" s="240"/>
      <c r="EAZ55" s="240"/>
      <c r="EBA55" s="240"/>
      <c r="EBB55" s="257"/>
      <c r="EBC55" s="240"/>
      <c r="EBD55" s="257"/>
      <c r="EBE55" s="240"/>
      <c r="EBH55" s="49"/>
      <c r="EBI55" s="240"/>
      <c r="EBJ55" s="240"/>
      <c r="EBK55" s="240"/>
      <c r="EBL55" s="257"/>
      <c r="EBM55" s="240"/>
      <c r="EBN55" s="257"/>
      <c r="EBO55" s="240"/>
      <c r="EBR55" s="49"/>
      <c r="EBS55" s="240"/>
      <c r="EBT55" s="240"/>
      <c r="EBU55" s="240"/>
      <c r="EBV55" s="257"/>
      <c r="EBW55" s="240"/>
      <c r="EBX55" s="257"/>
      <c r="EBY55" s="240"/>
      <c r="ECB55" s="49"/>
      <c r="ECC55" s="240"/>
      <c r="ECD55" s="240"/>
      <c r="ECE55" s="240"/>
      <c r="ECF55" s="257"/>
      <c r="ECG55" s="240"/>
      <c r="ECH55" s="257"/>
      <c r="ECI55" s="240"/>
      <c r="ECL55" s="49"/>
      <c r="ECM55" s="240"/>
      <c r="ECN55" s="240"/>
      <c r="ECO55" s="240"/>
      <c r="ECP55" s="257"/>
      <c r="ECQ55" s="240"/>
      <c r="ECR55" s="257"/>
      <c r="ECS55" s="240"/>
      <c r="ECV55" s="49"/>
      <c r="ECW55" s="240"/>
      <c r="ECX55" s="240"/>
      <c r="ECY55" s="240"/>
      <c r="ECZ55" s="257"/>
      <c r="EDA55" s="240"/>
      <c r="EDB55" s="257"/>
      <c r="EDC55" s="240"/>
      <c r="EDF55" s="49"/>
      <c r="EDG55" s="240"/>
      <c r="EDH55" s="240"/>
      <c r="EDI55" s="240"/>
      <c r="EDJ55" s="257"/>
      <c r="EDK55" s="240"/>
      <c r="EDL55" s="257"/>
      <c r="EDM55" s="240"/>
      <c r="EDP55" s="49"/>
      <c r="EDQ55" s="240"/>
      <c r="EDR55" s="240"/>
      <c r="EDS55" s="240"/>
      <c r="EDT55" s="257"/>
      <c r="EDU55" s="240"/>
      <c r="EDV55" s="257"/>
      <c r="EDW55" s="240"/>
      <c r="EDZ55" s="49"/>
      <c r="EEA55" s="240"/>
      <c r="EEB55" s="240"/>
      <c r="EEC55" s="240"/>
      <c r="EED55" s="257"/>
      <c r="EEE55" s="240"/>
      <c r="EEF55" s="257"/>
      <c r="EEG55" s="240"/>
      <c r="EEJ55" s="49"/>
      <c r="EEK55" s="240"/>
      <c r="EEL55" s="240"/>
      <c r="EEM55" s="240"/>
      <c r="EEN55" s="257"/>
      <c r="EEO55" s="240"/>
      <c r="EEP55" s="257"/>
      <c r="EEQ55" s="240"/>
      <c r="EET55" s="49"/>
      <c r="EEU55" s="240"/>
      <c r="EEV55" s="240"/>
      <c r="EEW55" s="240"/>
      <c r="EEX55" s="257"/>
      <c r="EEY55" s="240"/>
      <c r="EEZ55" s="257"/>
      <c r="EFA55" s="240"/>
      <c r="EFD55" s="49"/>
      <c r="EFE55" s="240"/>
      <c r="EFF55" s="240"/>
      <c r="EFG55" s="240"/>
      <c r="EFH55" s="257"/>
      <c r="EFI55" s="240"/>
      <c r="EFJ55" s="257"/>
      <c r="EFK55" s="240"/>
      <c r="EFN55" s="49"/>
      <c r="EFO55" s="240"/>
      <c r="EFP55" s="240"/>
      <c r="EFQ55" s="240"/>
      <c r="EFR55" s="257"/>
      <c r="EFS55" s="240"/>
      <c r="EFT55" s="257"/>
      <c r="EFU55" s="240"/>
      <c r="EFX55" s="49"/>
      <c r="EFY55" s="240"/>
      <c r="EFZ55" s="240"/>
      <c r="EGA55" s="240"/>
      <c r="EGB55" s="257"/>
      <c r="EGC55" s="240"/>
      <c r="EGD55" s="257"/>
      <c r="EGE55" s="240"/>
      <c r="EGH55" s="49"/>
      <c r="EGI55" s="240"/>
      <c r="EGJ55" s="240"/>
      <c r="EGK55" s="240"/>
      <c r="EGL55" s="257"/>
      <c r="EGM55" s="240"/>
      <c r="EGN55" s="257"/>
      <c r="EGO55" s="240"/>
      <c r="EGR55" s="49"/>
      <c r="EGS55" s="240"/>
      <c r="EGT55" s="240"/>
      <c r="EGU55" s="240"/>
      <c r="EGV55" s="257"/>
      <c r="EGW55" s="240"/>
      <c r="EGX55" s="257"/>
      <c r="EGY55" s="240"/>
      <c r="EHB55" s="49"/>
      <c r="EHC55" s="240"/>
      <c r="EHD55" s="240"/>
      <c r="EHE55" s="240"/>
      <c r="EHF55" s="257"/>
      <c r="EHG55" s="240"/>
      <c r="EHH55" s="257"/>
      <c r="EHI55" s="240"/>
      <c r="EHL55" s="49"/>
      <c r="EHM55" s="240"/>
      <c r="EHN55" s="240"/>
      <c r="EHO55" s="240"/>
      <c r="EHP55" s="257"/>
      <c r="EHQ55" s="240"/>
      <c r="EHR55" s="257"/>
      <c r="EHS55" s="240"/>
      <c r="EHV55" s="49"/>
      <c r="EHW55" s="240"/>
      <c r="EHX55" s="240"/>
      <c r="EHY55" s="240"/>
      <c r="EHZ55" s="257"/>
      <c r="EIA55" s="240"/>
      <c r="EIB55" s="257"/>
      <c r="EIC55" s="240"/>
      <c r="EIF55" s="49"/>
      <c r="EIG55" s="240"/>
      <c r="EIH55" s="240"/>
      <c r="EII55" s="240"/>
      <c r="EIJ55" s="257"/>
      <c r="EIK55" s="240"/>
      <c r="EIL55" s="257"/>
      <c r="EIM55" s="240"/>
      <c r="EIP55" s="49"/>
      <c r="EIQ55" s="240"/>
      <c r="EIR55" s="240"/>
      <c r="EIS55" s="240"/>
      <c r="EIT55" s="257"/>
      <c r="EIU55" s="240"/>
      <c r="EIV55" s="257"/>
      <c r="EIW55" s="240"/>
      <c r="EIZ55" s="49"/>
      <c r="EJA55" s="240"/>
      <c r="EJB55" s="240"/>
      <c r="EJC55" s="240"/>
      <c r="EJD55" s="257"/>
      <c r="EJE55" s="240"/>
      <c r="EJF55" s="257"/>
      <c r="EJG55" s="240"/>
      <c r="EJJ55" s="49"/>
      <c r="EJK55" s="240"/>
      <c r="EJL55" s="240"/>
      <c r="EJM55" s="240"/>
      <c r="EJN55" s="257"/>
      <c r="EJO55" s="240"/>
      <c r="EJP55" s="257"/>
      <c r="EJQ55" s="240"/>
      <c r="EJT55" s="49"/>
      <c r="EJU55" s="240"/>
      <c r="EJV55" s="240"/>
      <c r="EJW55" s="240"/>
      <c r="EJX55" s="257"/>
      <c r="EJY55" s="240"/>
      <c r="EJZ55" s="257"/>
      <c r="EKA55" s="240"/>
      <c r="EKD55" s="49"/>
      <c r="EKE55" s="240"/>
      <c r="EKF55" s="240"/>
      <c r="EKG55" s="240"/>
      <c r="EKH55" s="257"/>
      <c r="EKI55" s="240"/>
      <c r="EKJ55" s="257"/>
      <c r="EKK55" s="240"/>
      <c r="EKN55" s="49"/>
      <c r="EKO55" s="240"/>
      <c r="EKP55" s="240"/>
      <c r="EKQ55" s="240"/>
      <c r="EKR55" s="257"/>
      <c r="EKS55" s="240"/>
      <c r="EKT55" s="257"/>
      <c r="EKU55" s="240"/>
      <c r="EKX55" s="49"/>
      <c r="EKY55" s="240"/>
      <c r="EKZ55" s="240"/>
      <c r="ELA55" s="240"/>
      <c r="ELB55" s="257"/>
      <c r="ELC55" s="240"/>
      <c r="ELD55" s="257"/>
      <c r="ELE55" s="240"/>
      <c r="ELH55" s="49"/>
      <c r="ELI55" s="240"/>
      <c r="ELJ55" s="240"/>
      <c r="ELK55" s="240"/>
      <c r="ELL55" s="257"/>
      <c r="ELM55" s="240"/>
      <c r="ELN55" s="257"/>
      <c r="ELO55" s="240"/>
      <c r="ELR55" s="49"/>
      <c r="ELS55" s="240"/>
      <c r="ELT55" s="240"/>
      <c r="ELU55" s="240"/>
      <c r="ELV55" s="257"/>
      <c r="ELW55" s="240"/>
      <c r="ELX55" s="257"/>
      <c r="ELY55" s="240"/>
      <c r="EMB55" s="49"/>
      <c r="EMC55" s="240"/>
      <c r="EMD55" s="240"/>
      <c r="EME55" s="240"/>
      <c r="EMF55" s="257"/>
      <c r="EMG55" s="240"/>
      <c r="EMH55" s="257"/>
      <c r="EMI55" s="240"/>
      <c r="EML55" s="49"/>
      <c r="EMM55" s="240"/>
      <c r="EMN55" s="240"/>
      <c r="EMO55" s="240"/>
      <c r="EMP55" s="257"/>
      <c r="EMQ55" s="240"/>
      <c r="EMR55" s="257"/>
      <c r="EMS55" s="240"/>
      <c r="EMV55" s="49"/>
      <c r="EMW55" s="240"/>
      <c r="EMX55" s="240"/>
      <c r="EMY55" s="240"/>
      <c r="EMZ55" s="257"/>
      <c r="ENA55" s="240"/>
      <c r="ENB55" s="257"/>
      <c r="ENC55" s="240"/>
      <c r="ENF55" s="49"/>
      <c r="ENG55" s="240"/>
      <c r="ENH55" s="240"/>
      <c r="ENI55" s="240"/>
      <c r="ENJ55" s="257"/>
      <c r="ENK55" s="240"/>
      <c r="ENL55" s="257"/>
      <c r="ENM55" s="240"/>
      <c r="ENP55" s="49"/>
      <c r="ENQ55" s="240"/>
      <c r="ENR55" s="240"/>
      <c r="ENS55" s="240"/>
      <c r="ENT55" s="257"/>
      <c r="ENU55" s="240"/>
      <c r="ENV55" s="257"/>
      <c r="ENW55" s="240"/>
      <c r="ENZ55" s="49"/>
      <c r="EOA55" s="240"/>
      <c r="EOB55" s="240"/>
      <c r="EOC55" s="240"/>
      <c r="EOD55" s="257"/>
      <c r="EOE55" s="240"/>
      <c r="EOF55" s="257"/>
      <c r="EOG55" s="240"/>
      <c r="EOJ55" s="49"/>
      <c r="EOK55" s="240"/>
      <c r="EOL55" s="240"/>
      <c r="EOM55" s="240"/>
      <c r="EON55" s="257"/>
      <c r="EOO55" s="240"/>
      <c r="EOP55" s="257"/>
      <c r="EOQ55" s="240"/>
      <c r="EOT55" s="49"/>
      <c r="EOU55" s="240"/>
      <c r="EOV55" s="240"/>
      <c r="EOW55" s="240"/>
      <c r="EOX55" s="257"/>
      <c r="EOY55" s="240"/>
      <c r="EOZ55" s="257"/>
      <c r="EPA55" s="240"/>
      <c r="EPD55" s="49"/>
      <c r="EPE55" s="240"/>
      <c r="EPF55" s="240"/>
      <c r="EPG55" s="240"/>
      <c r="EPH55" s="257"/>
      <c r="EPI55" s="240"/>
      <c r="EPJ55" s="257"/>
      <c r="EPK55" s="240"/>
      <c r="EPN55" s="49"/>
      <c r="EPO55" s="240"/>
      <c r="EPP55" s="240"/>
      <c r="EPQ55" s="240"/>
      <c r="EPR55" s="257"/>
      <c r="EPS55" s="240"/>
      <c r="EPT55" s="257"/>
      <c r="EPU55" s="240"/>
      <c r="EPX55" s="49"/>
      <c r="EPY55" s="240"/>
      <c r="EPZ55" s="240"/>
      <c r="EQA55" s="240"/>
      <c r="EQB55" s="257"/>
      <c r="EQC55" s="240"/>
      <c r="EQD55" s="257"/>
      <c r="EQE55" s="240"/>
      <c r="EQH55" s="49"/>
      <c r="EQI55" s="240"/>
      <c r="EQJ55" s="240"/>
      <c r="EQK55" s="240"/>
      <c r="EQL55" s="257"/>
      <c r="EQM55" s="240"/>
      <c r="EQN55" s="257"/>
      <c r="EQO55" s="240"/>
      <c r="EQR55" s="49"/>
      <c r="EQS55" s="240"/>
      <c r="EQT55" s="240"/>
      <c r="EQU55" s="240"/>
      <c r="EQV55" s="257"/>
      <c r="EQW55" s="240"/>
      <c r="EQX55" s="257"/>
      <c r="EQY55" s="240"/>
      <c r="ERB55" s="49"/>
      <c r="ERC55" s="240"/>
      <c r="ERD55" s="240"/>
      <c r="ERE55" s="240"/>
      <c r="ERF55" s="257"/>
      <c r="ERG55" s="240"/>
      <c r="ERH55" s="257"/>
      <c r="ERI55" s="240"/>
      <c r="ERL55" s="49"/>
      <c r="ERM55" s="240"/>
      <c r="ERN55" s="240"/>
      <c r="ERO55" s="240"/>
      <c r="ERP55" s="257"/>
      <c r="ERQ55" s="240"/>
      <c r="ERR55" s="257"/>
      <c r="ERS55" s="240"/>
      <c r="ERV55" s="49"/>
      <c r="ERW55" s="240"/>
      <c r="ERX55" s="240"/>
      <c r="ERY55" s="240"/>
      <c r="ERZ55" s="257"/>
      <c r="ESA55" s="240"/>
      <c r="ESB55" s="257"/>
      <c r="ESC55" s="240"/>
      <c r="ESF55" s="49"/>
      <c r="ESG55" s="240"/>
      <c r="ESH55" s="240"/>
      <c r="ESI55" s="240"/>
      <c r="ESJ55" s="257"/>
      <c r="ESK55" s="240"/>
      <c r="ESL55" s="257"/>
      <c r="ESM55" s="240"/>
      <c r="ESP55" s="49"/>
      <c r="ESQ55" s="240"/>
      <c r="ESR55" s="240"/>
      <c r="ESS55" s="240"/>
      <c r="EST55" s="257"/>
      <c r="ESU55" s="240"/>
      <c r="ESV55" s="257"/>
      <c r="ESW55" s="240"/>
      <c r="ESZ55" s="49"/>
      <c r="ETA55" s="240"/>
      <c r="ETB55" s="240"/>
      <c r="ETC55" s="240"/>
      <c r="ETD55" s="257"/>
      <c r="ETE55" s="240"/>
      <c r="ETF55" s="257"/>
      <c r="ETG55" s="240"/>
      <c r="ETJ55" s="49"/>
      <c r="ETK55" s="240"/>
      <c r="ETL55" s="240"/>
      <c r="ETM55" s="240"/>
      <c r="ETN55" s="257"/>
      <c r="ETO55" s="240"/>
      <c r="ETP55" s="257"/>
      <c r="ETQ55" s="240"/>
      <c r="ETT55" s="49"/>
      <c r="ETU55" s="240"/>
      <c r="ETV55" s="240"/>
      <c r="ETW55" s="240"/>
      <c r="ETX55" s="257"/>
      <c r="ETY55" s="240"/>
      <c r="ETZ55" s="257"/>
      <c r="EUA55" s="240"/>
      <c r="EUD55" s="49"/>
      <c r="EUE55" s="240"/>
      <c r="EUF55" s="240"/>
      <c r="EUG55" s="240"/>
      <c r="EUH55" s="257"/>
      <c r="EUI55" s="240"/>
      <c r="EUJ55" s="257"/>
      <c r="EUK55" s="240"/>
      <c r="EUN55" s="49"/>
      <c r="EUO55" s="240"/>
      <c r="EUP55" s="240"/>
      <c r="EUQ55" s="240"/>
      <c r="EUR55" s="257"/>
      <c r="EUS55" s="240"/>
      <c r="EUT55" s="257"/>
      <c r="EUU55" s="240"/>
      <c r="EUX55" s="49"/>
      <c r="EUY55" s="240"/>
      <c r="EUZ55" s="240"/>
      <c r="EVA55" s="240"/>
      <c r="EVB55" s="257"/>
      <c r="EVC55" s="240"/>
      <c r="EVD55" s="257"/>
      <c r="EVE55" s="240"/>
      <c r="EVH55" s="49"/>
      <c r="EVI55" s="240"/>
      <c r="EVJ55" s="240"/>
      <c r="EVK55" s="240"/>
      <c r="EVL55" s="257"/>
      <c r="EVM55" s="240"/>
      <c r="EVN55" s="257"/>
      <c r="EVO55" s="240"/>
      <c r="EVR55" s="49"/>
      <c r="EVS55" s="240"/>
      <c r="EVT55" s="240"/>
      <c r="EVU55" s="240"/>
      <c r="EVV55" s="257"/>
      <c r="EVW55" s="240"/>
      <c r="EVX55" s="257"/>
      <c r="EVY55" s="240"/>
      <c r="EWB55" s="49"/>
      <c r="EWC55" s="240"/>
      <c r="EWD55" s="240"/>
      <c r="EWE55" s="240"/>
      <c r="EWF55" s="257"/>
      <c r="EWG55" s="240"/>
      <c r="EWH55" s="257"/>
      <c r="EWI55" s="240"/>
      <c r="EWL55" s="49"/>
      <c r="EWM55" s="240"/>
      <c r="EWN55" s="240"/>
      <c r="EWO55" s="240"/>
      <c r="EWP55" s="257"/>
      <c r="EWQ55" s="240"/>
      <c r="EWR55" s="257"/>
      <c r="EWS55" s="240"/>
      <c r="EWV55" s="49"/>
      <c r="EWW55" s="240"/>
      <c r="EWX55" s="240"/>
      <c r="EWY55" s="240"/>
      <c r="EWZ55" s="257"/>
      <c r="EXA55" s="240"/>
      <c r="EXB55" s="257"/>
      <c r="EXC55" s="240"/>
      <c r="EXF55" s="49"/>
      <c r="EXG55" s="240"/>
      <c r="EXH55" s="240"/>
      <c r="EXI55" s="240"/>
      <c r="EXJ55" s="257"/>
      <c r="EXK55" s="240"/>
      <c r="EXL55" s="257"/>
      <c r="EXM55" s="240"/>
      <c r="EXP55" s="49"/>
      <c r="EXQ55" s="240"/>
      <c r="EXR55" s="240"/>
      <c r="EXS55" s="240"/>
      <c r="EXT55" s="257"/>
      <c r="EXU55" s="240"/>
      <c r="EXV55" s="257"/>
      <c r="EXW55" s="240"/>
      <c r="EXZ55" s="49"/>
      <c r="EYA55" s="240"/>
      <c r="EYB55" s="240"/>
      <c r="EYC55" s="240"/>
      <c r="EYD55" s="257"/>
      <c r="EYE55" s="240"/>
      <c r="EYF55" s="257"/>
      <c r="EYG55" s="240"/>
      <c r="EYJ55" s="49"/>
      <c r="EYK55" s="240"/>
      <c r="EYL55" s="240"/>
      <c r="EYM55" s="240"/>
      <c r="EYN55" s="257"/>
      <c r="EYO55" s="240"/>
      <c r="EYP55" s="257"/>
      <c r="EYQ55" s="240"/>
      <c r="EYT55" s="49"/>
      <c r="EYU55" s="240"/>
      <c r="EYV55" s="240"/>
      <c r="EYW55" s="240"/>
      <c r="EYX55" s="257"/>
      <c r="EYY55" s="240"/>
      <c r="EYZ55" s="257"/>
      <c r="EZA55" s="240"/>
      <c r="EZD55" s="49"/>
      <c r="EZE55" s="240"/>
      <c r="EZF55" s="240"/>
      <c r="EZG55" s="240"/>
      <c r="EZH55" s="257"/>
      <c r="EZI55" s="240"/>
      <c r="EZJ55" s="257"/>
      <c r="EZK55" s="240"/>
      <c r="EZN55" s="49"/>
      <c r="EZO55" s="240"/>
      <c r="EZP55" s="240"/>
      <c r="EZQ55" s="240"/>
      <c r="EZR55" s="257"/>
      <c r="EZS55" s="240"/>
      <c r="EZT55" s="257"/>
      <c r="EZU55" s="240"/>
      <c r="EZX55" s="49"/>
      <c r="EZY55" s="240"/>
      <c r="EZZ55" s="240"/>
      <c r="FAA55" s="240"/>
      <c r="FAB55" s="257"/>
      <c r="FAC55" s="240"/>
      <c r="FAD55" s="257"/>
      <c r="FAE55" s="240"/>
      <c r="FAH55" s="49"/>
      <c r="FAI55" s="240"/>
      <c r="FAJ55" s="240"/>
      <c r="FAK55" s="240"/>
      <c r="FAL55" s="257"/>
      <c r="FAM55" s="240"/>
      <c r="FAN55" s="257"/>
      <c r="FAO55" s="240"/>
      <c r="FAR55" s="49"/>
      <c r="FAS55" s="240"/>
      <c r="FAT55" s="240"/>
      <c r="FAU55" s="240"/>
      <c r="FAV55" s="257"/>
      <c r="FAW55" s="240"/>
      <c r="FAX55" s="257"/>
      <c r="FAY55" s="240"/>
      <c r="FBB55" s="49"/>
      <c r="FBC55" s="240"/>
      <c r="FBD55" s="240"/>
      <c r="FBE55" s="240"/>
      <c r="FBF55" s="257"/>
      <c r="FBG55" s="240"/>
      <c r="FBH55" s="257"/>
      <c r="FBI55" s="240"/>
      <c r="FBL55" s="49"/>
      <c r="FBM55" s="240"/>
      <c r="FBN55" s="240"/>
      <c r="FBO55" s="240"/>
      <c r="FBP55" s="257"/>
      <c r="FBQ55" s="240"/>
      <c r="FBR55" s="257"/>
      <c r="FBS55" s="240"/>
      <c r="FBV55" s="49"/>
      <c r="FBW55" s="240"/>
      <c r="FBX55" s="240"/>
      <c r="FBY55" s="240"/>
      <c r="FBZ55" s="257"/>
      <c r="FCA55" s="240"/>
      <c r="FCB55" s="257"/>
      <c r="FCC55" s="240"/>
      <c r="FCF55" s="49"/>
      <c r="FCG55" s="240"/>
      <c r="FCH55" s="240"/>
      <c r="FCI55" s="240"/>
      <c r="FCJ55" s="257"/>
      <c r="FCK55" s="240"/>
      <c r="FCL55" s="257"/>
      <c r="FCM55" s="240"/>
      <c r="FCP55" s="49"/>
      <c r="FCQ55" s="240"/>
      <c r="FCR55" s="240"/>
      <c r="FCS55" s="240"/>
      <c r="FCT55" s="257"/>
      <c r="FCU55" s="240"/>
      <c r="FCV55" s="257"/>
      <c r="FCW55" s="240"/>
      <c r="FCZ55" s="49"/>
      <c r="FDA55" s="240"/>
      <c r="FDB55" s="240"/>
      <c r="FDC55" s="240"/>
      <c r="FDD55" s="257"/>
      <c r="FDE55" s="240"/>
      <c r="FDF55" s="257"/>
      <c r="FDG55" s="240"/>
      <c r="FDJ55" s="49"/>
      <c r="FDK55" s="240"/>
      <c r="FDL55" s="240"/>
      <c r="FDM55" s="240"/>
      <c r="FDN55" s="257"/>
      <c r="FDO55" s="240"/>
      <c r="FDP55" s="257"/>
      <c r="FDQ55" s="240"/>
      <c r="FDT55" s="49"/>
      <c r="FDU55" s="240"/>
      <c r="FDV55" s="240"/>
      <c r="FDW55" s="240"/>
      <c r="FDX55" s="257"/>
      <c r="FDY55" s="240"/>
      <c r="FDZ55" s="257"/>
      <c r="FEA55" s="240"/>
      <c r="FED55" s="49"/>
      <c r="FEE55" s="240"/>
      <c r="FEF55" s="240"/>
      <c r="FEG55" s="240"/>
      <c r="FEH55" s="257"/>
      <c r="FEI55" s="240"/>
      <c r="FEJ55" s="257"/>
      <c r="FEK55" s="240"/>
      <c r="FEN55" s="49"/>
      <c r="FEO55" s="240"/>
      <c r="FEP55" s="240"/>
      <c r="FEQ55" s="240"/>
      <c r="FER55" s="257"/>
      <c r="FES55" s="240"/>
      <c r="FET55" s="257"/>
      <c r="FEU55" s="240"/>
      <c r="FEX55" s="49"/>
      <c r="FEY55" s="240"/>
      <c r="FEZ55" s="240"/>
      <c r="FFA55" s="240"/>
      <c r="FFB55" s="257"/>
      <c r="FFC55" s="240"/>
      <c r="FFD55" s="257"/>
      <c r="FFE55" s="240"/>
      <c r="FFH55" s="49"/>
      <c r="FFI55" s="240"/>
      <c r="FFJ55" s="240"/>
      <c r="FFK55" s="240"/>
      <c r="FFL55" s="257"/>
      <c r="FFM55" s="240"/>
      <c r="FFN55" s="257"/>
      <c r="FFO55" s="240"/>
      <c r="FFR55" s="49"/>
      <c r="FFS55" s="240"/>
      <c r="FFT55" s="240"/>
      <c r="FFU55" s="240"/>
      <c r="FFV55" s="257"/>
      <c r="FFW55" s="240"/>
      <c r="FFX55" s="257"/>
      <c r="FFY55" s="240"/>
      <c r="FGB55" s="49"/>
      <c r="FGC55" s="240"/>
      <c r="FGD55" s="240"/>
      <c r="FGE55" s="240"/>
      <c r="FGF55" s="257"/>
      <c r="FGG55" s="240"/>
      <c r="FGH55" s="257"/>
      <c r="FGI55" s="240"/>
      <c r="FGL55" s="49"/>
      <c r="FGM55" s="240"/>
      <c r="FGN55" s="240"/>
      <c r="FGO55" s="240"/>
      <c r="FGP55" s="257"/>
      <c r="FGQ55" s="240"/>
      <c r="FGR55" s="257"/>
      <c r="FGS55" s="240"/>
      <c r="FGV55" s="49"/>
      <c r="FGW55" s="240"/>
      <c r="FGX55" s="240"/>
      <c r="FGY55" s="240"/>
      <c r="FGZ55" s="257"/>
      <c r="FHA55" s="240"/>
      <c r="FHB55" s="257"/>
      <c r="FHC55" s="240"/>
      <c r="FHF55" s="49"/>
      <c r="FHG55" s="240"/>
      <c r="FHH55" s="240"/>
      <c r="FHI55" s="240"/>
      <c r="FHJ55" s="257"/>
      <c r="FHK55" s="240"/>
      <c r="FHL55" s="257"/>
      <c r="FHM55" s="240"/>
      <c r="FHP55" s="49"/>
      <c r="FHQ55" s="240"/>
      <c r="FHR55" s="240"/>
      <c r="FHS55" s="240"/>
      <c r="FHT55" s="257"/>
      <c r="FHU55" s="240"/>
      <c r="FHV55" s="257"/>
      <c r="FHW55" s="240"/>
      <c r="FHZ55" s="49"/>
      <c r="FIA55" s="240"/>
      <c r="FIB55" s="240"/>
      <c r="FIC55" s="240"/>
      <c r="FID55" s="257"/>
      <c r="FIE55" s="240"/>
      <c r="FIF55" s="257"/>
      <c r="FIG55" s="240"/>
      <c r="FIJ55" s="49"/>
      <c r="FIK55" s="240"/>
      <c r="FIL55" s="240"/>
      <c r="FIM55" s="240"/>
      <c r="FIN55" s="257"/>
      <c r="FIO55" s="240"/>
      <c r="FIP55" s="257"/>
      <c r="FIQ55" s="240"/>
      <c r="FIT55" s="49"/>
      <c r="FIU55" s="240"/>
      <c r="FIV55" s="240"/>
      <c r="FIW55" s="240"/>
      <c r="FIX55" s="257"/>
      <c r="FIY55" s="240"/>
      <c r="FIZ55" s="257"/>
      <c r="FJA55" s="240"/>
      <c r="FJD55" s="49"/>
      <c r="FJE55" s="240"/>
      <c r="FJF55" s="240"/>
      <c r="FJG55" s="240"/>
      <c r="FJH55" s="257"/>
      <c r="FJI55" s="240"/>
      <c r="FJJ55" s="257"/>
      <c r="FJK55" s="240"/>
      <c r="FJN55" s="49"/>
      <c r="FJO55" s="240"/>
      <c r="FJP55" s="240"/>
      <c r="FJQ55" s="240"/>
      <c r="FJR55" s="257"/>
      <c r="FJS55" s="240"/>
      <c r="FJT55" s="257"/>
      <c r="FJU55" s="240"/>
      <c r="FJX55" s="49"/>
      <c r="FJY55" s="240"/>
      <c r="FJZ55" s="240"/>
      <c r="FKA55" s="240"/>
      <c r="FKB55" s="257"/>
      <c r="FKC55" s="240"/>
      <c r="FKD55" s="257"/>
      <c r="FKE55" s="240"/>
      <c r="FKH55" s="49"/>
      <c r="FKI55" s="240"/>
      <c r="FKJ55" s="240"/>
      <c r="FKK55" s="240"/>
      <c r="FKL55" s="257"/>
      <c r="FKM55" s="240"/>
      <c r="FKN55" s="257"/>
      <c r="FKO55" s="240"/>
      <c r="FKR55" s="49"/>
      <c r="FKS55" s="240"/>
      <c r="FKT55" s="240"/>
      <c r="FKU55" s="240"/>
      <c r="FKV55" s="257"/>
      <c r="FKW55" s="240"/>
      <c r="FKX55" s="257"/>
      <c r="FKY55" s="240"/>
      <c r="FLB55" s="49"/>
      <c r="FLC55" s="240"/>
      <c r="FLD55" s="240"/>
      <c r="FLE55" s="240"/>
      <c r="FLF55" s="257"/>
      <c r="FLG55" s="240"/>
      <c r="FLH55" s="257"/>
      <c r="FLI55" s="240"/>
      <c r="FLL55" s="49"/>
      <c r="FLM55" s="240"/>
      <c r="FLN55" s="240"/>
      <c r="FLO55" s="240"/>
      <c r="FLP55" s="257"/>
      <c r="FLQ55" s="240"/>
      <c r="FLR55" s="257"/>
      <c r="FLS55" s="240"/>
      <c r="FLV55" s="49"/>
      <c r="FLW55" s="240"/>
      <c r="FLX55" s="240"/>
      <c r="FLY55" s="240"/>
      <c r="FLZ55" s="257"/>
      <c r="FMA55" s="240"/>
      <c r="FMB55" s="257"/>
      <c r="FMC55" s="240"/>
      <c r="FMF55" s="49"/>
      <c r="FMG55" s="240"/>
      <c r="FMH55" s="240"/>
      <c r="FMI55" s="240"/>
      <c r="FMJ55" s="257"/>
      <c r="FMK55" s="240"/>
      <c r="FML55" s="257"/>
      <c r="FMM55" s="240"/>
      <c r="FMP55" s="49"/>
      <c r="FMQ55" s="240"/>
      <c r="FMR55" s="240"/>
      <c r="FMS55" s="240"/>
      <c r="FMT55" s="257"/>
      <c r="FMU55" s="240"/>
      <c r="FMV55" s="257"/>
      <c r="FMW55" s="240"/>
      <c r="FMZ55" s="49"/>
      <c r="FNA55" s="240"/>
      <c r="FNB55" s="240"/>
      <c r="FNC55" s="240"/>
      <c r="FND55" s="257"/>
      <c r="FNE55" s="240"/>
      <c r="FNF55" s="257"/>
      <c r="FNG55" s="240"/>
      <c r="FNJ55" s="49"/>
      <c r="FNK55" s="240"/>
      <c r="FNL55" s="240"/>
      <c r="FNM55" s="240"/>
      <c r="FNN55" s="257"/>
      <c r="FNO55" s="240"/>
      <c r="FNP55" s="257"/>
      <c r="FNQ55" s="240"/>
      <c r="FNT55" s="49"/>
      <c r="FNU55" s="240"/>
      <c r="FNV55" s="240"/>
      <c r="FNW55" s="240"/>
      <c r="FNX55" s="257"/>
      <c r="FNY55" s="240"/>
      <c r="FNZ55" s="257"/>
      <c r="FOA55" s="240"/>
      <c r="FOD55" s="49"/>
      <c r="FOE55" s="240"/>
      <c r="FOF55" s="240"/>
      <c r="FOG55" s="240"/>
      <c r="FOH55" s="257"/>
      <c r="FOI55" s="240"/>
      <c r="FOJ55" s="257"/>
      <c r="FOK55" s="240"/>
      <c r="FON55" s="49"/>
      <c r="FOO55" s="240"/>
      <c r="FOP55" s="240"/>
      <c r="FOQ55" s="240"/>
      <c r="FOR55" s="257"/>
      <c r="FOS55" s="240"/>
      <c r="FOT55" s="257"/>
      <c r="FOU55" s="240"/>
      <c r="FOX55" s="49"/>
      <c r="FOY55" s="240"/>
      <c r="FOZ55" s="240"/>
      <c r="FPA55" s="240"/>
      <c r="FPB55" s="257"/>
      <c r="FPC55" s="240"/>
      <c r="FPD55" s="257"/>
      <c r="FPE55" s="240"/>
      <c r="FPH55" s="49"/>
      <c r="FPI55" s="240"/>
      <c r="FPJ55" s="240"/>
      <c r="FPK55" s="240"/>
      <c r="FPL55" s="257"/>
      <c r="FPM55" s="240"/>
      <c r="FPN55" s="257"/>
      <c r="FPO55" s="240"/>
      <c r="FPR55" s="49"/>
      <c r="FPS55" s="240"/>
      <c r="FPT55" s="240"/>
      <c r="FPU55" s="240"/>
      <c r="FPV55" s="257"/>
      <c r="FPW55" s="240"/>
      <c r="FPX55" s="257"/>
      <c r="FPY55" s="240"/>
      <c r="FQB55" s="49"/>
      <c r="FQC55" s="240"/>
      <c r="FQD55" s="240"/>
      <c r="FQE55" s="240"/>
      <c r="FQF55" s="257"/>
      <c r="FQG55" s="240"/>
      <c r="FQH55" s="257"/>
      <c r="FQI55" s="240"/>
      <c r="FQL55" s="49"/>
      <c r="FQM55" s="240"/>
      <c r="FQN55" s="240"/>
      <c r="FQO55" s="240"/>
      <c r="FQP55" s="257"/>
      <c r="FQQ55" s="240"/>
      <c r="FQR55" s="257"/>
      <c r="FQS55" s="240"/>
      <c r="FQV55" s="49"/>
      <c r="FQW55" s="240"/>
      <c r="FQX55" s="240"/>
      <c r="FQY55" s="240"/>
      <c r="FQZ55" s="257"/>
      <c r="FRA55" s="240"/>
      <c r="FRB55" s="257"/>
      <c r="FRC55" s="240"/>
      <c r="FRF55" s="49"/>
      <c r="FRG55" s="240"/>
      <c r="FRH55" s="240"/>
      <c r="FRI55" s="240"/>
      <c r="FRJ55" s="257"/>
      <c r="FRK55" s="240"/>
      <c r="FRL55" s="257"/>
      <c r="FRM55" s="240"/>
      <c r="FRP55" s="49"/>
      <c r="FRQ55" s="240"/>
      <c r="FRR55" s="240"/>
      <c r="FRS55" s="240"/>
      <c r="FRT55" s="257"/>
      <c r="FRU55" s="240"/>
      <c r="FRV55" s="257"/>
      <c r="FRW55" s="240"/>
      <c r="FRZ55" s="49"/>
      <c r="FSA55" s="240"/>
      <c r="FSB55" s="240"/>
      <c r="FSC55" s="240"/>
      <c r="FSD55" s="257"/>
      <c r="FSE55" s="240"/>
      <c r="FSF55" s="257"/>
      <c r="FSG55" s="240"/>
      <c r="FSJ55" s="49"/>
      <c r="FSK55" s="240"/>
      <c r="FSL55" s="240"/>
      <c r="FSM55" s="240"/>
      <c r="FSN55" s="257"/>
      <c r="FSO55" s="240"/>
      <c r="FSP55" s="257"/>
      <c r="FSQ55" s="240"/>
      <c r="FST55" s="49"/>
      <c r="FSU55" s="240"/>
      <c r="FSV55" s="240"/>
      <c r="FSW55" s="240"/>
      <c r="FSX55" s="257"/>
      <c r="FSY55" s="240"/>
      <c r="FSZ55" s="257"/>
      <c r="FTA55" s="240"/>
      <c r="FTD55" s="49"/>
      <c r="FTE55" s="240"/>
      <c r="FTF55" s="240"/>
      <c r="FTG55" s="240"/>
      <c r="FTH55" s="257"/>
      <c r="FTI55" s="240"/>
      <c r="FTJ55" s="257"/>
      <c r="FTK55" s="240"/>
      <c r="FTN55" s="49"/>
      <c r="FTO55" s="240"/>
      <c r="FTP55" s="240"/>
      <c r="FTQ55" s="240"/>
      <c r="FTR55" s="257"/>
      <c r="FTS55" s="240"/>
      <c r="FTT55" s="257"/>
      <c r="FTU55" s="240"/>
      <c r="FTX55" s="49"/>
      <c r="FTY55" s="240"/>
      <c r="FTZ55" s="240"/>
      <c r="FUA55" s="240"/>
      <c r="FUB55" s="257"/>
      <c r="FUC55" s="240"/>
      <c r="FUD55" s="257"/>
      <c r="FUE55" s="240"/>
      <c r="FUH55" s="49"/>
      <c r="FUI55" s="240"/>
      <c r="FUJ55" s="240"/>
      <c r="FUK55" s="240"/>
      <c r="FUL55" s="257"/>
      <c r="FUM55" s="240"/>
      <c r="FUN55" s="257"/>
      <c r="FUO55" s="240"/>
      <c r="FUR55" s="49"/>
      <c r="FUS55" s="240"/>
      <c r="FUT55" s="240"/>
      <c r="FUU55" s="240"/>
      <c r="FUV55" s="257"/>
      <c r="FUW55" s="240"/>
      <c r="FUX55" s="257"/>
      <c r="FUY55" s="240"/>
      <c r="FVB55" s="49"/>
      <c r="FVC55" s="240"/>
      <c r="FVD55" s="240"/>
      <c r="FVE55" s="240"/>
      <c r="FVF55" s="257"/>
      <c r="FVG55" s="240"/>
      <c r="FVH55" s="257"/>
      <c r="FVI55" s="240"/>
      <c r="FVL55" s="49"/>
      <c r="FVM55" s="240"/>
      <c r="FVN55" s="240"/>
      <c r="FVO55" s="240"/>
      <c r="FVP55" s="257"/>
      <c r="FVQ55" s="240"/>
      <c r="FVR55" s="257"/>
      <c r="FVS55" s="240"/>
      <c r="FVV55" s="49"/>
      <c r="FVW55" s="240"/>
      <c r="FVX55" s="240"/>
      <c r="FVY55" s="240"/>
      <c r="FVZ55" s="257"/>
      <c r="FWA55" s="240"/>
      <c r="FWB55" s="257"/>
      <c r="FWC55" s="240"/>
      <c r="FWF55" s="49"/>
      <c r="FWG55" s="240"/>
      <c r="FWH55" s="240"/>
      <c r="FWI55" s="240"/>
      <c r="FWJ55" s="257"/>
      <c r="FWK55" s="240"/>
      <c r="FWL55" s="257"/>
      <c r="FWM55" s="240"/>
      <c r="FWP55" s="49"/>
      <c r="FWQ55" s="240"/>
      <c r="FWR55" s="240"/>
      <c r="FWS55" s="240"/>
      <c r="FWT55" s="257"/>
      <c r="FWU55" s="240"/>
      <c r="FWV55" s="257"/>
      <c r="FWW55" s="240"/>
      <c r="FWZ55" s="49"/>
      <c r="FXA55" s="240"/>
      <c r="FXB55" s="240"/>
      <c r="FXC55" s="240"/>
      <c r="FXD55" s="257"/>
      <c r="FXE55" s="240"/>
      <c r="FXF55" s="257"/>
      <c r="FXG55" s="240"/>
      <c r="FXJ55" s="49"/>
      <c r="FXK55" s="240"/>
      <c r="FXL55" s="240"/>
      <c r="FXM55" s="240"/>
      <c r="FXN55" s="257"/>
      <c r="FXO55" s="240"/>
      <c r="FXP55" s="257"/>
      <c r="FXQ55" s="240"/>
      <c r="FXT55" s="49"/>
      <c r="FXU55" s="240"/>
      <c r="FXV55" s="240"/>
      <c r="FXW55" s="240"/>
      <c r="FXX55" s="257"/>
      <c r="FXY55" s="240"/>
      <c r="FXZ55" s="257"/>
      <c r="FYA55" s="240"/>
      <c r="FYD55" s="49"/>
      <c r="FYE55" s="240"/>
      <c r="FYF55" s="240"/>
      <c r="FYG55" s="240"/>
      <c r="FYH55" s="257"/>
      <c r="FYI55" s="240"/>
      <c r="FYJ55" s="257"/>
      <c r="FYK55" s="240"/>
      <c r="FYN55" s="49"/>
      <c r="FYO55" s="240"/>
      <c r="FYP55" s="240"/>
      <c r="FYQ55" s="240"/>
      <c r="FYR55" s="257"/>
      <c r="FYS55" s="240"/>
      <c r="FYT55" s="257"/>
      <c r="FYU55" s="240"/>
      <c r="FYX55" s="49"/>
      <c r="FYY55" s="240"/>
      <c r="FYZ55" s="240"/>
      <c r="FZA55" s="240"/>
      <c r="FZB55" s="257"/>
      <c r="FZC55" s="240"/>
      <c r="FZD55" s="257"/>
      <c r="FZE55" s="240"/>
      <c r="FZH55" s="49"/>
      <c r="FZI55" s="240"/>
      <c r="FZJ55" s="240"/>
      <c r="FZK55" s="240"/>
      <c r="FZL55" s="257"/>
      <c r="FZM55" s="240"/>
      <c r="FZN55" s="257"/>
      <c r="FZO55" s="240"/>
      <c r="FZR55" s="49"/>
      <c r="FZS55" s="240"/>
      <c r="FZT55" s="240"/>
      <c r="FZU55" s="240"/>
      <c r="FZV55" s="257"/>
      <c r="FZW55" s="240"/>
      <c r="FZX55" s="257"/>
      <c r="FZY55" s="240"/>
      <c r="GAB55" s="49"/>
      <c r="GAC55" s="240"/>
      <c r="GAD55" s="240"/>
      <c r="GAE55" s="240"/>
      <c r="GAF55" s="257"/>
      <c r="GAG55" s="240"/>
      <c r="GAH55" s="257"/>
      <c r="GAI55" s="240"/>
      <c r="GAL55" s="49"/>
      <c r="GAM55" s="240"/>
      <c r="GAN55" s="240"/>
      <c r="GAO55" s="240"/>
      <c r="GAP55" s="257"/>
      <c r="GAQ55" s="240"/>
      <c r="GAR55" s="257"/>
      <c r="GAS55" s="240"/>
      <c r="GAV55" s="49"/>
      <c r="GAW55" s="240"/>
      <c r="GAX55" s="240"/>
      <c r="GAY55" s="240"/>
      <c r="GAZ55" s="257"/>
      <c r="GBA55" s="240"/>
      <c r="GBB55" s="257"/>
      <c r="GBC55" s="240"/>
      <c r="GBF55" s="49"/>
      <c r="GBG55" s="240"/>
      <c r="GBH55" s="240"/>
      <c r="GBI55" s="240"/>
      <c r="GBJ55" s="257"/>
      <c r="GBK55" s="240"/>
      <c r="GBL55" s="257"/>
      <c r="GBM55" s="240"/>
      <c r="GBP55" s="49"/>
      <c r="GBQ55" s="240"/>
      <c r="GBR55" s="240"/>
      <c r="GBS55" s="240"/>
      <c r="GBT55" s="257"/>
      <c r="GBU55" s="240"/>
      <c r="GBV55" s="257"/>
      <c r="GBW55" s="240"/>
      <c r="GBZ55" s="49"/>
      <c r="GCA55" s="240"/>
      <c r="GCB55" s="240"/>
      <c r="GCC55" s="240"/>
      <c r="GCD55" s="257"/>
      <c r="GCE55" s="240"/>
      <c r="GCF55" s="257"/>
      <c r="GCG55" s="240"/>
      <c r="GCJ55" s="49"/>
      <c r="GCK55" s="240"/>
      <c r="GCL55" s="240"/>
      <c r="GCM55" s="240"/>
      <c r="GCN55" s="257"/>
      <c r="GCO55" s="240"/>
      <c r="GCP55" s="257"/>
      <c r="GCQ55" s="240"/>
      <c r="GCT55" s="49"/>
      <c r="GCU55" s="240"/>
      <c r="GCV55" s="240"/>
      <c r="GCW55" s="240"/>
      <c r="GCX55" s="257"/>
      <c r="GCY55" s="240"/>
      <c r="GCZ55" s="257"/>
      <c r="GDA55" s="240"/>
      <c r="GDD55" s="49"/>
      <c r="GDE55" s="240"/>
      <c r="GDF55" s="240"/>
      <c r="GDG55" s="240"/>
      <c r="GDH55" s="257"/>
      <c r="GDI55" s="240"/>
      <c r="GDJ55" s="257"/>
      <c r="GDK55" s="240"/>
      <c r="GDN55" s="49"/>
      <c r="GDO55" s="240"/>
      <c r="GDP55" s="240"/>
      <c r="GDQ55" s="240"/>
      <c r="GDR55" s="257"/>
      <c r="GDS55" s="240"/>
      <c r="GDT55" s="257"/>
      <c r="GDU55" s="240"/>
      <c r="GDX55" s="49"/>
      <c r="GDY55" s="240"/>
      <c r="GDZ55" s="240"/>
      <c r="GEA55" s="240"/>
      <c r="GEB55" s="257"/>
      <c r="GEC55" s="240"/>
      <c r="GED55" s="257"/>
      <c r="GEE55" s="240"/>
      <c r="GEH55" s="49"/>
      <c r="GEI55" s="240"/>
      <c r="GEJ55" s="240"/>
      <c r="GEK55" s="240"/>
      <c r="GEL55" s="257"/>
      <c r="GEM55" s="240"/>
      <c r="GEN55" s="257"/>
      <c r="GEO55" s="240"/>
      <c r="GER55" s="49"/>
      <c r="GES55" s="240"/>
      <c r="GET55" s="240"/>
      <c r="GEU55" s="240"/>
      <c r="GEV55" s="257"/>
      <c r="GEW55" s="240"/>
      <c r="GEX55" s="257"/>
      <c r="GEY55" s="240"/>
      <c r="GFB55" s="49"/>
      <c r="GFC55" s="240"/>
      <c r="GFD55" s="240"/>
      <c r="GFE55" s="240"/>
      <c r="GFF55" s="257"/>
      <c r="GFG55" s="240"/>
      <c r="GFH55" s="257"/>
      <c r="GFI55" s="240"/>
      <c r="GFL55" s="49"/>
      <c r="GFM55" s="240"/>
      <c r="GFN55" s="240"/>
      <c r="GFO55" s="240"/>
      <c r="GFP55" s="257"/>
      <c r="GFQ55" s="240"/>
      <c r="GFR55" s="257"/>
      <c r="GFS55" s="240"/>
      <c r="GFV55" s="49"/>
      <c r="GFW55" s="240"/>
      <c r="GFX55" s="240"/>
      <c r="GFY55" s="240"/>
      <c r="GFZ55" s="257"/>
      <c r="GGA55" s="240"/>
      <c r="GGB55" s="257"/>
      <c r="GGC55" s="240"/>
      <c r="GGF55" s="49"/>
      <c r="GGG55" s="240"/>
      <c r="GGH55" s="240"/>
      <c r="GGI55" s="240"/>
      <c r="GGJ55" s="257"/>
      <c r="GGK55" s="240"/>
      <c r="GGL55" s="257"/>
      <c r="GGM55" s="240"/>
      <c r="GGP55" s="49"/>
      <c r="GGQ55" s="240"/>
      <c r="GGR55" s="240"/>
      <c r="GGS55" s="240"/>
      <c r="GGT55" s="257"/>
      <c r="GGU55" s="240"/>
      <c r="GGV55" s="257"/>
      <c r="GGW55" s="240"/>
      <c r="GGZ55" s="49"/>
      <c r="GHA55" s="240"/>
      <c r="GHB55" s="240"/>
      <c r="GHC55" s="240"/>
      <c r="GHD55" s="257"/>
      <c r="GHE55" s="240"/>
      <c r="GHF55" s="257"/>
      <c r="GHG55" s="240"/>
      <c r="GHJ55" s="49"/>
      <c r="GHK55" s="240"/>
      <c r="GHL55" s="240"/>
      <c r="GHM55" s="240"/>
      <c r="GHN55" s="257"/>
      <c r="GHO55" s="240"/>
      <c r="GHP55" s="257"/>
      <c r="GHQ55" s="240"/>
      <c r="GHT55" s="49"/>
      <c r="GHU55" s="240"/>
      <c r="GHV55" s="240"/>
      <c r="GHW55" s="240"/>
      <c r="GHX55" s="257"/>
      <c r="GHY55" s="240"/>
      <c r="GHZ55" s="257"/>
      <c r="GIA55" s="240"/>
      <c r="GID55" s="49"/>
      <c r="GIE55" s="240"/>
      <c r="GIF55" s="240"/>
      <c r="GIG55" s="240"/>
      <c r="GIH55" s="257"/>
      <c r="GII55" s="240"/>
      <c r="GIJ55" s="257"/>
      <c r="GIK55" s="240"/>
      <c r="GIN55" s="49"/>
      <c r="GIO55" s="240"/>
      <c r="GIP55" s="240"/>
      <c r="GIQ55" s="240"/>
      <c r="GIR55" s="257"/>
      <c r="GIS55" s="240"/>
      <c r="GIT55" s="257"/>
      <c r="GIU55" s="240"/>
      <c r="GIX55" s="49"/>
      <c r="GIY55" s="240"/>
      <c r="GIZ55" s="240"/>
      <c r="GJA55" s="240"/>
      <c r="GJB55" s="257"/>
      <c r="GJC55" s="240"/>
      <c r="GJD55" s="257"/>
      <c r="GJE55" s="240"/>
      <c r="GJH55" s="49"/>
      <c r="GJI55" s="240"/>
      <c r="GJJ55" s="240"/>
      <c r="GJK55" s="240"/>
      <c r="GJL55" s="257"/>
      <c r="GJM55" s="240"/>
      <c r="GJN55" s="257"/>
      <c r="GJO55" s="240"/>
      <c r="GJR55" s="49"/>
      <c r="GJS55" s="240"/>
      <c r="GJT55" s="240"/>
      <c r="GJU55" s="240"/>
      <c r="GJV55" s="257"/>
      <c r="GJW55" s="240"/>
      <c r="GJX55" s="257"/>
      <c r="GJY55" s="240"/>
      <c r="GKB55" s="49"/>
      <c r="GKC55" s="240"/>
      <c r="GKD55" s="240"/>
      <c r="GKE55" s="240"/>
      <c r="GKF55" s="257"/>
      <c r="GKG55" s="240"/>
      <c r="GKH55" s="257"/>
      <c r="GKI55" s="240"/>
      <c r="GKL55" s="49"/>
      <c r="GKM55" s="240"/>
      <c r="GKN55" s="240"/>
      <c r="GKO55" s="240"/>
      <c r="GKP55" s="257"/>
      <c r="GKQ55" s="240"/>
      <c r="GKR55" s="257"/>
      <c r="GKS55" s="240"/>
      <c r="GKV55" s="49"/>
      <c r="GKW55" s="240"/>
      <c r="GKX55" s="240"/>
      <c r="GKY55" s="240"/>
      <c r="GKZ55" s="257"/>
      <c r="GLA55" s="240"/>
      <c r="GLB55" s="257"/>
      <c r="GLC55" s="240"/>
      <c r="GLF55" s="49"/>
      <c r="GLG55" s="240"/>
      <c r="GLH55" s="240"/>
      <c r="GLI55" s="240"/>
      <c r="GLJ55" s="257"/>
      <c r="GLK55" s="240"/>
      <c r="GLL55" s="257"/>
      <c r="GLM55" s="240"/>
      <c r="GLP55" s="49"/>
      <c r="GLQ55" s="240"/>
      <c r="GLR55" s="240"/>
      <c r="GLS55" s="240"/>
      <c r="GLT55" s="257"/>
      <c r="GLU55" s="240"/>
      <c r="GLV55" s="257"/>
      <c r="GLW55" s="240"/>
      <c r="GLZ55" s="49"/>
      <c r="GMA55" s="240"/>
      <c r="GMB55" s="240"/>
      <c r="GMC55" s="240"/>
      <c r="GMD55" s="257"/>
      <c r="GME55" s="240"/>
      <c r="GMF55" s="257"/>
      <c r="GMG55" s="240"/>
      <c r="GMJ55" s="49"/>
      <c r="GMK55" s="240"/>
      <c r="GML55" s="240"/>
      <c r="GMM55" s="240"/>
      <c r="GMN55" s="257"/>
      <c r="GMO55" s="240"/>
      <c r="GMP55" s="257"/>
      <c r="GMQ55" s="240"/>
      <c r="GMT55" s="49"/>
      <c r="GMU55" s="240"/>
      <c r="GMV55" s="240"/>
      <c r="GMW55" s="240"/>
      <c r="GMX55" s="257"/>
      <c r="GMY55" s="240"/>
      <c r="GMZ55" s="257"/>
      <c r="GNA55" s="240"/>
      <c r="GND55" s="49"/>
      <c r="GNE55" s="240"/>
      <c r="GNF55" s="240"/>
      <c r="GNG55" s="240"/>
      <c r="GNH55" s="257"/>
      <c r="GNI55" s="240"/>
      <c r="GNJ55" s="257"/>
      <c r="GNK55" s="240"/>
      <c r="GNN55" s="49"/>
      <c r="GNO55" s="240"/>
      <c r="GNP55" s="240"/>
      <c r="GNQ55" s="240"/>
      <c r="GNR55" s="257"/>
      <c r="GNS55" s="240"/>
      <c r="GNT55" s="257"/>
      <c r="GNU55" s="240"/>
      <c r="GNX55" s="49"/>
      <c r="GNY55" s="240"/>
      <c r="GNZ55" s="240"/>
      <c r="GOA55" s="240"/>
      <c r="GOB55" s="257"/>
      <c r="GOC55" s="240"/>
      <c r="GOD55" s="257"/>
      <c r="GOE55" s="240"/>
      <c r="GOH55" s="49"/>
      <c r="GOI55" s="240"/>
      <c r="GOJ55" s="240"/>
      <c r="GOK55" s="240"/>
      <c r="GOL55" s="257"/>
      <c r="GOM55" s="240"/>
      <c r="GON55" s="257"/>
      <c r="GOO55" s="240"/>
      <c r="GOR55" s="49"/>
      <c r="GOS55" s="240"/>
      <c r="GOT55" s="240"/>
      <c r="GOU55" s="240"/>
      <c r="GOV55" s="257"/>
      <c r="GOW55" s="240"/>
      <c r="GOX55" s="257"/>
      <c r="GOY55" s="240"/>
      <c r="GPB55" s="49"/>
      <c r="GPC55" s="240"/>
      <c r="GPD55" s="240"/>
      <c r="GPE55" s="240"/>
      <c r="GPF55" s="257"/>
      <c r="GPG55" s="240"/>
      <c r="GPH55" s="257"/>
      <c r="GPI55" s="240"/>
      <c r="GPL55" s="49"/>
      <c r="GPM55" s="240"/>
      <c r="GPN55" s="240"/>
      <c r="GPO55" s="240"/>
      <c r="GPP55" s="257"/>
      <c r="GPQ55" s="240"/>
      <c r="GPR55" s="257"/>
      <c r="GPS55" s="240"/>
      <c r="GPV55" s="49"/>
      <c r="GPW55" s="240"/>
      <c r="GPX55" s="240"/>
      <c r="GPY55" s="240"/>
      <c r="GPZ55" s="257"/>
      <c r="GQA55" s="240"/>
      <c r="GQB55" s="257"/>
      <c r="GQC55" s="240"/>
      <c r="GQF55" s="49"/>
      <c r="GQG55" s="240"/>
      <c r="GQH55" s="240"/>
      <c r="GQI55" s="240"/>
      <c r="GQJ55" s="257"/>
      <c r="GQK55" s="240"/>
      <c r="GQL55" s="257"/>
      <c r="GQM55" s="240"/>
      <c r="GQP55" s="49"/>
      <c r="GQQ55" s="240"/>
      <c r="GQR55" s="240"/>
      <c r="GQS55" s="240"/>
      <c r="GQT55" s="257"/>
      <c r="GQU55" s="240"/>
      <c r="GQV55" s="257"/>
      <c r="GQW55" s="240"/>
      <c r="GQZ55" s="49"/>
      <c r="GRA55" s="240"/>
      <c r="GRB55" s="240"/>
      <c r="GRC55" s="240"/>
      <c r="GRD55" s="257"/>
      <c r="GRE55" s="240"/>
      <c r="GRF55" s="257"/>
      <c r="GRG55" s="240"/>
      <c r="GRJ55" s="49"/>
      <c r="GRK55" s="240"/>
      <c r="GRL55" s="240"/>
      <c r="GRM55" s="240"/>
      <c r="GRN55" s="257"/>
      <c r="GRO55" s="240"/>
      <c r="GRP55" s="257"/>
      <c r="GRQ55" s="240"/>
      <c r="GRT55" s="49"/>
      <c r="GRU55" s="240"/>
      <c r="GRV55" s="240"/>
      <c r="GRW55" s="240"/>
      <c r="GRX55" s="257"/>
      <c r="GRY55" s="240"/>
      <c r="GRZ55" s="257"/>
      <c r="GSA55" s="240"/>
      <c r="GSD55" s="49"/>
      <c r="GSE55" s="240"/>
      <c r="GSF55" s="240"/>
      <c r="GSG55" s="240"/>
      <c r="GSH55" s="257"/>
      <c r="GSI55" s="240"/>
      <c r="GSJ55" s="257"/>
      <c r="GSK55" s="240"/>
      <c r="GSN55" s="49"/>
      <c r="GSO55" s="240"/>
      <c r="GSP55" s="240"/>
      <c r="GSQ55" s="240"/>
      <c r="GSR55" s="257"/>
      <c r="GSS55" s="240"/>
      <c r="GST55" s="257"/>
      <c r="GSU55" s="240"/>
      <c r="GSX55" s="49"/>
      <c r="GSY55" s="240"/>
      <c r="GSZ55" s="240"/>
      <c r="GTA55" s="240"/>
      <c r="GTB55" s="257"/>
      <c r="GTC55" s="240"/>
      <c r="GTD55" s="257"/>
      <c r="GTE55" s="240"/>
      <c r="GTH55" s="49"/>
      <c r="GTI55" s="240"/>
      <c r="GTJ55" s="240"/>
      <c r="GTK55" s="240"/>
      <c r="GTL55" s="257"/>
      <c r="GTM55" s="240"/>
      <c r="GTN55" s="257"/>
      <c r="GTO55" s="240"/>
      <c r="GTR55" s="49"/>
      <c r="GTS55" s="240"/>
      <c r="GTT55" s="240"/>
      <c r="GTU55" s="240"/>
      <c r="GTV55" s="257"/>
      <c r="GTW55" s="240"/>
      <c r="GTX55" s="257"/>
      <c r="GTY55" s="240"/>
      <c r="GUB55" s="49"/>
      <c r="GUC55" s="240"/>
      <c r="GUD55" s="240"/>
      <c r="GUE55" s="240"/>
      <c r="GUF55" s="257"/>
      <c r="GUG55" s="240"/>
      <c r="GUH55" s="257"/>
      <c r="GUI55" s="240"/>
      <c r="GUL55" s="49"/>
      <c r="GUM55" s="240"/>
      <c r="GUN55" s="240"/>
      <c r="GUO55" s="240"/>
      <c r="GUP55" s="257"/>
      <c r="GUQ55" s="240"/>
      <c r="GUR55" s="257"/>
      <c r="GUS55" s="240"/>
      <c r="GUV55" s="49"/>
      <c r="GUW55" s="240"/>
      <c r="GUX55" s="240"/>
      <c r="GUY55" s="240"/>
      <c r="GUZ55" s="257"/>
      <c r="GVA55" s="240"/>
      <c r="GVB55" s="257"/>
      <c r="GVC55" s="240"/>
      <c r="GVF55" s="49"/>
      <c r="GVG55" s="240"/>
      <c r="GVH55" s="240"/>
      <c r="GVI55" s="240"/>
      <c r="GVJ55" s="257"/>
      <c r="GVK55" s="240"/>
      <c r="GVL55" s="257"/>
      <c r="GVM55" s="240"/>
      <c r="GVP55" s="49"/>
      <c r="GVQ55" s="240"/>
      <c r="GVR55" s="240"/>
      <c r="GVS55" s="240"/>
      <c r="GVT55" s="257"/>
      <c r="GVU55" s="240"/>
      <c r="GVV55" s="257"/>
      <c r="GVW55" s="240"/>
      <c r="GVZ55" s="49"/>
      <c r="GWA55" s="240"/>
      <c r="GWB55" s="240"/>
      <c r="GWC55" s="240"/>
      <c r="GWD55" s="257"/>
      <c r="GWE55" s="240"/>
      <c r="GWF55" s="257"/>
      <c r="GWG55" s="240"/>
      <c r="GWJ55" s="49"/>
      <c r="GWK55" s="240"/>
      <c r="GWL55" s="240"/>
      <c r="GWM55" s="240"/>
      <c r="GWN55" s="257"/>
      <c r="GWO55" s="240"/>
      <c r="GWP55" s="257"/>
      <c r="GWQ55" s="240"/>
      <c r="GWT55" s="49"/>
      <c r="GWU55" s="240"/>
      <c r="GWV55" s="240"/>
      <c r="GWW55" s="240"/>
      <c r="GWX55" s="257"/>
      <c r="GWY55" s="240"/>
      <c r="GWZ55" s="257"/>
      <c r="GXA55" s="240"/>
      <c r="GXD55" s="49"/>
      <c r="GXE55" s="240"/>
      <c r="GXF55" s="240"/>
      <c r="GXG55" s="240"/>
      <c r="GXH55" s="257"/>
      <c r="GXI55" s="240"/>
      <c r="GXJ55" s="257"/>
      <c r="GXK55" s="240"/>
      <c r="GXN55" s="49"/>
      <c r="GXO55" s="240"/>
      <c r="GXP55" s="240"/>
      <c r="GXQ55" s="240"/>
      <c r="GXR55" s="257"/>
      <c r="GXS55" s="240"/>
      <c r="GXT55" s="257"/>
      <c r="GXU55" s="240"/>
      <c r="GXX55" s="49"/>
      <c r="GXY55" s="240"/>
      <c r="GXZ55" s="240"/>
      <c r="GYA55" s="240"/>
      <c r="GYB55" s="257"/>
      <c r="GYC55" s="240"/>
      <c r="GYD55" s="257"/>
      <c r="GYE55" s="240"/>
      <c r="GYH55" s="49"/>
      <c r="GYI55" s="240"/>
      <c r="GYJ55" s="240"/>
      <c r="GYK55" s="240"/>
      <c r="GYL55" s="257"/>
      <c r="GYM55" s="240"/>
      <c r="GYN55" s="257"/>
      <c r="GYO55" s="240"/>
      <c r="GYR55" s="49"/>
      <c r="GYS55" s="240"/>
      <c r="GYT55" s="240"/>
      <c r="GYU55" s="240"/>
      <c r="GYV55" s="257"/>
      <c r="GYW55" s="240"/>
      <c r="GYX55" s="257"/>
      <c r="GYY55" s="240"/>
      <c r="GZB55" s="49"/>
      <c r="GZC55" s="240"/>
      <c r="GZD55" s="240"/>
      <c r="GZE55" s="240"/>
      <c r="GZF55" s="257"/>
      <c r="GZG55" s="240"/>
      <c r="GZH55" s="257"/>
      <c r="GZI55" s="240"/>
      <c r="GZL55" s="49"/>
      <c r="GZM55" s="240"/>
      <c r="GZN55" s="240"/>
      <c r="GZO55" s="240"/>
      <c r="GZP55" s="257"/>
      <c r="GZQ55" s="240"/>
      <c r="GZR55" s="257"/>
      <c r="GZS55" s="240"/>
      <c r="GZV55" s="49"/>
      <c r="GZW55" s="240"/>
      <c r="GZX55" s="240"/>
      <c r="GZY55" s="240"/>
      <c r="GZZ55" s="257"/>
      <c r="HAA55" s="240"/>
      <c r="HAB55" s="257"/>
      <c r="HAC55" s="240"/>
      <c r="HAF55" s="49"/>
      <c r="HAG55" s="240"/>
      <c r="HAH55" s="240"/>
      <c r="HAI55" s="240"/>
      <c r="HAJ55" s="257"/>
      <c r="HAK55" s="240"/>
      <c r="HAL55" s="257"/>
      <c r="HAM55" s="240"/>
      <c r="HAP55" s="49"/>
      <c r="HAQ55" s="240"/>
      <c r="HAR55" s="240"/>
      <c r="HAS55" s="240"/>
      <c r="HAT55" s="257"/>
      <c r="HAU55" s="240"/>
      <c r="HAV55" s="257"/>
      <c r="HAW55" s="240"/>
      <c r="HAZ55" s="49"/>
      <c r="HBA55" s="240"/>
      <c r="HBB55" s="240"/>
      <c r="HBC55" s="240"/>
      <c r="HBD55" s="257"/>
      <c r="HBE55" s="240"/>
      <c r="HBF55" s="257"/>
      <c r="HBG55" s="240"/>
      <c r="HBJ55" s="49"/>
      <c r="HBK55" s="240"/>
      <c r="HBL55" s="240"/>
      <c r="HBM55" s="240"/>
      <c r="HBN55" s="257"/>
      <c r="HBO55" s="240"/>
      <c r="HBP55" s="257"/>
      <c r="HBQ55" s="240"/>
      <c r="HBT55" s="49"/>
      <c r="HBU55" s="240"/>
      <c r="HBV55" s="240"/>
      <c r="HBW55" s="240"/>
      <c r="HBX55" s="257"/>
      <c r="HBY55" s="240"/>
      <c r="HBZ55" s="257"/>
      <c r="HCA55" s="240"/>
      <c r="HCD55" s="49"/>
      <c r="HCE55" s="240"/>
      <c r="HCF55" s="240"/>
      <c r="HCG55" s="240"/>
      <c r="HCH55" s="257"/>
      <c r="HCI55" s="240"/>
      <c r="HCJ55" s="257"/>
      <c r="HCK55" s="240"/>
      <c r="HCN55" s="49"/>
      <c r="HCO55" s="240"/>
      <c r="HCP55" s="240"/>
      <c r="HCQ55" s="240"/>
      <c r="HCR55" s="257"/>
      <c r="HCS55" s="240"/>
      <c r="HCT55" s="257"/>
      <c r="HCU55" s="240"/>
      <c r="HCX55" s="49"/>
      <c r="HCY55" s="240"/>
      <c r="HCZ55" s="240"/>
      <c r="HDA55" s="240"/>
      <c r="HDB55" s="257"/>
      <c r="HDC55" s="240"/>
      <c r="HDD55" s="257"/>
      <c r="HDE55" s="240"/>
      <c r="HDH55" s="49"/>
      <c r="HDI55" s="240"/>
      <c r="HDJ55" s="240"/>
      <c r="HDK55" s="240"/>
      <c r="HDL55" s="257"/>
      <c r="HDM55" s="240"/>
      <c r="HDN55" s="257"/>
      <c r="HDO55" s="240"/>
      <c r="HDR55" s="49"/>
      <c r="HDS55" s="240"/>
      <c r="HDT55" s="240"/>
      <c r="HDU55" s="240"/>
      <c r="HDV55" s="257"/>
      <c r="HDW55" s="240"/>
      <c r="HDX55" s="257"/>
      <c r="HDY55" s="240"/>
      <c r="HEB55" s="49"/>
      <c r="HEC55" s="240"/>
      <c r="HED55" s="240"/>
      <c r="HEE55" s="240"/>
      <c r="HEF55" s="257"/>
      <c r="HEG55" s="240"/>
      <c r="HEH55" s="257"/>
      <c r="HEI55" s="240"/>
      <c r="HEL55" s="49"/>
      <c r="HEM55" s="240"/>
      <c r="HEN55" s="240"/>
      <c r="HEO55" s="240"/>
      <c r="HEP55" s="257"/>
      <c r="HEQ55" s="240"/>
      <c r="HER55" s="257"/>
      <c r="HES55" s="240"/>
      <c r="HEV55" s="49"/>
      <c r="HEW55" s="240"/>
      <c r="HEX55" s="240"/>
      <c r="HEY55" s="240"/>
      <c r="HEZ55" s="257"/>
      <c r="HFA55" s="240"/>
      <c r="HFB55" s="257"/>
      <c r="HFC55" s="240"/>
      <c r="HFF55" s="49"/>
      <c r="HFG55" s="240"/>
      <c r="HFH55" s="240"/>
      <c r="HFI55" s="240"/>
      <c r="HFJ55" s="257"/>
      <c r="HFK55" s="240"/>
      <c r="HFL55" s="257"/>
      <c r="HFM55" s="240"/>
      <c r="HFP55" s="49"/>
      <c r="HFQ55" s="240"/>
      <c r="HFR55" s="240"/>
      <c r="HFS55" s="240"/>
      <c r="HFT55" s="257"/>
      <c r="HFU55" s="240"/>
      <c r="HFV55" s="257"/>
      <c r="HFW55" s="240"/>
      <c r="HFZ55" s="49"/>
      <c r="HGA55" s="240"/>
      <c r="HGB55" s="240"/>
      <c r="HGC55" s="240"/>
      <c r="HGD55" s="257"/>
      <c r="HGE55" s="240"/>
      <c r="HGF55" s="257"/>
      <c r="HGG55" s="240"/>
      <c r="HGJ55" s="49"/>
      <c r="HGK55" s="240"/>
      <c r="HGL55" s="240"/>
      <c r="HGM55" s="240"/>
      <c r="HGN55" s="257"/>
      <c r="HGO55" s="240"/>
      <c r="HGP55" s="257"/>
      <c r="HGQ55" s="240"/>
      <c r="HGT55" s="49"/>
      <c r="HGU55" s="240"/>
      <c r="HGV55" s="240"/>
      <c r="HGW55" s="240"/>
      <c r="HGX55" s="257"/>
      <c r="HGY55" s="240"/>
      <c r="HGZ55" s="257"/>
      <c r="HHA55" s="240"/>
      <c r="HHD55" s="49"/>
      <c r="HHE55" s="240"/>
      <c r="HHF55" s="240"/>
      <c r="HHG55" s="240"/>
      <c r="HHH55" s="257"/>
      <c r="HHI55" s="240"/>
      <c r="HHJ55" s="257"/>
      <c r="HHK55" s="240"/>
      <c r="HHN55" s="49"/>
      <c r="HHO55" s="240"/>
      <c r="HHP55" s="240"/>
      <c r="HHQ55" s="240"/>
      <c r="HHR55" s="257"/>
      <c r="HHS55" s="240"/>
      <c r="HHT55" s="257"/>
      <c r="HHU55" s="240"/>
      <c r="HHX55" s="49"/>
      <c r="HHY55" s="240"/>
      <c r="HHZ55" s="240"/>
      <c r="HIA55" s="240"/>
      <c r="HIB55" s="257"/>
      <c r="HIC55" s="240"/>
      <c r="HID55" s="257"/>
      <c r="HIE55" s="240"/>
      <c r="HIH55" s="49"/>
      <c r="HII55" s="240"/>
      <c r="HIJ55" s="240"/>
      <c r="HIK55" s="240"/>
      <c r="HIL55" s="257"/>
      <c r="HIM55" s="240"/>
      <c r="HIN55" s="257"/>
      <c r="HIO55" s="240"/>
      <c r="HIR55" s="49"/>
      <c r="HIS55" s="240"/>
      <c r="HIT55" s="240"/>
      <c r="HIU55" s="240"/>
      <c r="HIV55" s="257"/>
      <c r="HIW55" s="240"/>
      <c r="HIX55" s="257"/>
      <c r="HIY55" s="240"/>
      <c r="HJB55" s="49"/>
      <c r="HJC55" s="240"/>
      <c r="HJD55" s="240"/>
      <c r="HJE55" s="240"/>
      <c r="HJF55" s="257"/>
      <c r="HJG55" s="240"/>
      <c r="HJH55" s="257"/>
      <c r="HJI55" s="240"/>
      <c r="HJL55" s="49"/>
      <c r="HJM55" s="240"/>
      <c r="HJN55" s="240"/>
      <c r="HJO55" s="240"/>
      <c r="HJP55" s="257"/>
      <c r="HJQ55" s="240"/>
      <c r="HJR55" s="257"/>
      <c r="HJS55" s="240"/>
      <c r="HJV55" s="49"/>
      <c r="HJW55" s="240"/>
      <c r="HJX55" s="240"/>
      <c r="HJY55" s="240"/>
      <c r="HJZ55" s="257"/>
      <c r="HKA55" s="240"/>
      <c r="HKB55" s="257"/>
      <c r="HKC55" s="240"/>
      <c r="HKF55" s="49"/>
      <c r="HKG55" s="240"/>
      <c r="HKH55" s="240"/>
      <c r="HKI55" s="240"/>
      <c r="HKJ55" s="257"/>
      <c r="HKK55" s="240"/>
      <c r="HKL55" s="257"/>
      <c r="HKM55" s="240"/>
      <c r="HKP55" s="49"/>
      <c r="HKQ55" s="240"/>
      <c r="HKR55" s="240"/>
      <c r="HKS55" s="240"/>
      <c r="HKT55" s="257"/>
      <c r="HKU55" s="240"/>
      <c r="HKV55" s="257"/>
      <c r="HKW55" s="240"/>
      <c r="HKZ55" s="49"/>
      <c r="HLA55" s="240"/>
      <c r="HLB55" s="240"/>
      <c r="HLC55" s="240"/>
      <c r="HLD55" s="257"/>
      <c r="HLE55" s="240"/>
      <c r="HLF55" s="257"/>
      <c r="HLG55" s="240"/>
      <c r="HLJ55" s="49"/>
      <c r="HLK55" s="240"/>
      <c r="HLL55" s="240"/>
      <c r="HLM55" s="240"/>
      <c r="HLN55" s="257"/>
      <c r="HLO55" s="240"/>
      <c r="HLP55" s="257"/>
      <c r="HLQ55" s="240"/>
      <c r="HLT55" s="49"/>
      <c r="HLU55" s="240"/>
      <c r="HLV55" s="240"/>
      <c r="HLW55" s="240"/>
      <c r="HLX55" s="257"/>
      <c r="HLY55" s="240"/>
      <c r="HLZ55" s="257"/>
      <c r="HMA55" s="240"/>
      <c r="HMD55" s="49"/>
      <c r="HME55" s="240"/>
      <c r="HMF55" s="240"/>
      <c r="HMG55" s="240"/>
      <c r="HMH55" s="257"/>
      <c r="HMI55" s="240"/>
      <c r="HMJ55" s="257"/>
      <c r="HMK55" s="240"/>
      <c r="HMN55" s="49"/>
      <c r="HMO55" s="240"/>
      <c r="HMP55" s="240"/>
      <c r="HMQ55" s="240"/>
      <c r="HMR55" s="257"/>
      <c r="HMS55" s="240"/>
      <c r="HMT55" s="257"/>
      <c r="HMU55" s="240"/>
      <c r="HMX55" s="49"/>
      <c r="HMY55" s="240"/>
      <c r="HMZ55" s="240"/>
      <c r="HNA55" s="240"/>
      <c r="HNB55" s="257"/>
      <c r="HNC55" s="240"/>
      <c r="HND55" s="257"/>
      <c r="HNE55" s="240"/>
      <c r="HNH55" s="49"/>
      <c r="HNI55" s="240"/>
      <c r="HNJ55" s="240"/>
      <c r="HNK55" s="240"/>
      <c r="HNL55" s="257"/>
      <c r="HNM55" s="240"/>
      <c r="HNN55" s="257"/>
      <c r="HNO55" s="240"/>
      <c r="HNR55" s="49"/>
      <c r="HNS55" s="240"/>
      <c r="HNT55" s="240"/>
      <c r="HNU55" s="240"/>
      <c r="HNV55" s="257"/>
      <c r="HNW55" s="240"/>
      <c r="HNX55" s="257"/>
      <c r="HNY55" s="240"/>
      <c r="HOB55" s="49"/>
      <c r="HOC55" s="240"/>
      <c r="HOD55" s="240"/>
      <c r="HOE55" s="240"/>
      <c r="HOF55" s="257"/>
      <c r="HOG55" s="240"/>
      <c r="HOH55" s="257"/>
      <c r="HOI55" s="240"/>
      <c r="HOL55" s="49"/>
      <c r="HOM55" s="240"/>
      <c r="HON55" s="240"/>
      <c r="HOO55" s="240"/>
      <c r="HOP55" s="257"/>
      <c r="HOQ55" s="240"/>
      <c r="HOR55" s="257"/>
      <c r="HOS55" s="240"/>
      <c r="HOV55" s="49"/>
      <c r="HOW55" s="240"/>
      <c r="HOX55" s="240"/>
      <c r="HOY55" s="240"/>
      <c r="HOZ55" s="257"/>
      <c r="HPA55" s="240"/>
      <c r="HPB55" s="257"/>
      <c r="HPC55" s="240"/>
      <c r="HPF55" s="49"/>
      <c r="HPG55" s="240"/>
      <c r="HPH55" s="240"/>
      <c r="HPI55" s="240"/>
      <c r="HPJ55" s="257"/>
      <c r="HPK55" s="240"/>
      <c r="HPL55" s="257"/>
      <c r="HPM55" s="240"/>
      <c r="HPP55" s="49"/>
      <c r="HPQ55" s="240"/>
      <c r="HPR55" s="240"/>
      <c r="HPS55" s="240"/>
      <c r="HPT55" s="257"/>
      <c r="HPU55" s="240"/>
      <c r="HPV55" s="257"/>
      <c r="HPW55" s="240"/>
      <c r="HPZ55" s="49"/>
      <c r="HQA55" s="240"/>
      <c r="HQB55" s="240"/>
      <c r="HQC55" s="240"/>
      <c r="HQD55" s="257"/>
      <c r="HQE55" s="240"/>
      <c r="HQF55" s="257"/>
      <c r="HQG55" s="240"/>
      <c r="HQJ55" s="49"/>
      <c r="HQK55" s="240"/>
      <c r="HQL55" s="240"/>
      <c r="HQM55" s="240"/>
      <c r="HQN55" s="257"/>
      <c r="HQO55" s="240"/>
      <c r="HQP55" s="257"/>
      <c r="HQQ55" s="240"/>
      <c r="HQT55" s="49"/>
      <c r="HQU55" s="240"/>
      <c r="HQV55" s="240"/>
      <c r="HQW55" s="240"/>
      <c r="HQX55" s="257"/>
      <c r="HQY55" s="240"/>
      <c r="HQZ55" s="257"/>
      <c r="HRA55" s="240"/>
      <c r="HRD55" s="49"/>
      <c r="HRE55" s="240"/>
      <c r="HRF55" s="240"/>
      <c r="HRG55" s="240"/>
      <c r="HRH55" s="257"/>
      <c r="HRI55" s="240"/>
      <c r="HRJ55" s="257"/>
      <c r="HRK55" s="240"/>
      <c r="HRN55" s="49"/>
      <c r="HRO55" s="240"/>
      <c r="HRP55" s="240"/>
      <c r="HRQ55" s="240"/>
      <c r="HRR55" s="257"/>
      <c r="HRS55" s="240"/>
      <c r="HRT55" s="257"/>
      <c r="HRU55" s="240"/>
      <c r="HRX55" s="49"/>
      <c r="HRY55" s="240"/>
      <c r="HRZ55" s="240"/>
      <c r="HSA55" s="240"/>
      <c r="HSB55" s="257"/>
      <c r="HSC55" s="240"/>
      <c r="HSD55" s="257"/>
      <c r="HSE55" s="240"/>
      <c r="HSH55" s="49"/>
      <c r="HSI55" s="240"/>
      <c r="HSJ55" s="240"/>
      <c r="HSK55" s="240"/>
      <c r="HSL55" s="257"/>
      <c r="HSM55" s="240"/>
      <c r="HSN55" s="257"/>
      <c r="HSO55" s="240"/>
      <c r="HSR55" s="49"/>
      <c r="HSS55" s="240"/>
      <c r="HST55" s="240"/>
      <c r="HSU55" s="240"/>
      <c r="HSV55" s="257"/>
      <c r="HSW55" s="240"/>
      <c r="HSX55" s="257"/>
      <c r="HSY55" s="240"/>
      <c r="HTB55" s="49"/>
      <c r="HTC55" s="240"/>
      <c r="HTD55" s="240"/>
      <c r="HTE55" s="240"/>
      <c r="HTF55" s="257"/>
      <c r="HTG55" s="240"/>
      <c r="HTH55" s="257"/>
      <c r="HTI55" s="240"/>
      <c r="HTL55" s="49"/>
      <c r="HTM55" s="240"/>
      <c r="HTN55" s="240"/>
      <c r="HTO55" s="240"/>
      <c r="HTP55" s="257"/>
      <c r="HTQ55" s="240"/>
      <c r="HTR55" s="257"/>
      <c r="HTS55" s="240"/>
      <c r="HTV55" s="49"/>
      <c r="HTW55" s="240"/>
      <c r="HTX55" s="240"/>
      <c r="HTY55" s="240"/>
      <c r="HTZ55" s="257"/>
      <c r="HUA55" s="240"/>
      <c r="HUB55" s="257"/>
      <c r="HUC55" s="240"/>
      <c r="HUF55" s="49"/>
      <c r="HUG55" s="240"/>
      <c r="HUH55" s="240"/>
      <c r="HUI55" s="240"/>
      <c r="HUJ55" s="257"/>
      <c r="HUK55" s="240"/>
      <c r="HUL55" s="257"/>
      <c r="HUM55" s="240"/>
      <c r="HUP55" s="49"/>
      <c r="HUQ55" s="240"/>
      <c r="HUR55" s="240"/>
      <c r="HUS55" s="240"/>
      <c r="HUT55" s="257"/>
      <c r="HUU55" s="240"/>
      <c r="HUV55" s="257"/>
      <c r="HUW55" s="240"/>
      <c r="HUZ55" s="49"/>
      <c r="HVA55" s="240"/>
      <c r="HVB55" s="240"/>
      <c r="HVC55" s="240"/>
      <c r="HVD55" s="257"/>
      <c r="HVE55" s="240"/>
      <c r="HVF55" s="257"/>
      <c r="HVG55" s="240"/>
      <c r="HVJ55" s="49"/>
      <c r="HVK55" s="240"/>
      <c r="HVL55" s="240"/>
      <c r="HVM55" s="240"/>
      <c r="HVN55" s="257"/>
      <c r="HVO55" s="240"/>
      <c r="HVP55" s="257"/>
      <c r="HVQ55" s="240"/>
      <c r="HVT55" s="49"/>
      <c r="HVU55" s="240"/>
      <c r="HVV55" s="240"/>
      <c r="HVW55" s="240"/>
      <c r="HVX55" s="257"/>
      <c r="HVY55" s="240"/>
      <c r="HVZ55" s="257"/>
      <c r="HWA55" s="240"/>
      <c r="HWD55" s="49"/>
      <c r="HWE55" s="240"/>
      <c r="HWF55" s="240"/>
      <c r="HWG55" s="240"/>
      <c r="HWH55" s="257"/>
      <c r="HWI55" s="240"/>
      <c r="HWJ55" s="257"/>
      <c r="HWK55" s="240"/>
      <c r="HWN55" s="49"/>
      <c r="HWO55" s="240"/>
      <c r="HWP55" s="240"/>
      <c r="HWQ55" s="240"/>
      <c r="HWR55" s="257"/>
      <c r="HWS55" s="240"/>
      <c r="HWT55" s="257"/>
      <c r="HWU55" s="240"/>
      <c r="HWX55" s="49"/>
      <c r="HWY55" s="240"/>
      <c r="HWZ55" s="240"/>
      <c r="HXA55" s="240"/>
      <c r="HXB55" s="257"/>
      <c r="HXC55" s="240"/>
      <c r="HXD55" s="257"/>
      <c r="HXE55" s="240"/>
      <c r="HXH55" s="49"/>
      <c r="HXI55" s="240"/>
      <c r="HXJ55" s="240"/>
      <c r="HXK55" s="240"/>
      <c r="HXL55" s="257"/>
      <c r="HXM55" s="240"/>
      <c r="HXN55" s="257"/>
      <c r="HXO55" s="240"/>
      <c r="HXR55" s="49"/>
      <c r="HXS55" s="240"/>
      <c r="HXT55" s="240"/>
      <c r="HXU55" s="240"/>
      <c r="HXV55" s="257"/>
      <c r="HXW55" s="240"/>
      <c r="HXX55" s="257"/>
      <c r="HXY55" s="240"/>
      <c r="HYB55" s="49"/>
      <c r="HYC55" s="240"/>
      <c r="HYD55" s="240"/>
      <c r="HYE55" s="240"/>
      <c r="HYF55" s="257"/>
      <c r="HYG55" s="240"/>
      <c r="HYH55" s="257"/>
      <c r="HYI55" s="240"/>
      <c r="HYL55" s="49"/>
      <c r="HYM55" s="240"/>
      <c r="HYN55" s="240"/>
      <c r="HYO55" s="240"/>
      <c r="HYP55" s="257"/>
      <c r="HYQ55" s="240"/>
      <c r="HYR55" s="257"/>
      <c r="HYS55" s="240"/>
      <c r="HYV55" s="49"/>
      <c r="HYW55" s="240"/>
      <c r="HYX55" s="240"/>
      <c r="HYY55" s="240"/>
      <c r="HYZ55" s="257"/>
      <c r="HZA55" s="240"/>
      <c r="HZB55" s="257"/>
      <c r="HZC55" s="240"/>
      <c r="HZF55" s="49"/>
      <c r="HZG55" s="240"/>
      <c r="HZH55" s="240"/>
      <c r="HZI55" s="240"/>
      <c r="HZJ55" s="257"/>
      <c r="HZK55" s="240"/>
      <c r="HZL55" s="257"/>
      <c r="HZM55" s="240"/>
      <c r="HZP55" s="49"/>
      <c r="HZQ55" s="240"/>
      <c r="HZR55" s="240"/>
      <c r="HZS55" s="240"/>
      <c r="HZT55" s="257"/>
      <c r="HZU55" s="240"/>
      <c r="HZV55" s="257"/>
      <c r="HZW55" s="240"/>
      <c r="HZZ55" s="49"/>
      <c r="IAA55" s="240"/>
      <c r="IAB55" s="240"/>
      <c r="IAC55" s="240"/>
      <c r="IAD55" s="257"/>
      <c r="IAE55" s="240"/>
      <c r="IAF55" s="257"/>
      <c r="IAG55" s="240"/>
      <c r="IAJ55" s="49"/>
      <c r="IAK55" s="240"/>
      <c r="IAL55" s="240"/>
      <c r="IAM55" s="240"/>
      <c r="IAN55" s="257"/>
      <c r="IAO55" s="240"/>
      <c r="IAP55" s="257"/>
      <c r="IAQ55" s="240"/>
      <c r="IAT55" s="49"/>
      <c r="IAU55" s="240"/>
      <c r="IAV55" s="240"/>
      <c r="IAW55" s="240"/>
      <c r="IAX55" s="257"/>
      <c r="IAY55" s="240"/>
      <c r="IAZ55" s="257"/>
      <c r="IBA55" s="240"/>
      <c r="IBD55" s="49"/>
      <c r="IBE55" s="240"/>
      <c r="IBF55" s="240"/>
      <c r="IBG55" s="240"/>
      <c r="IBH55" s="257"/>
      <c r="IBI55" s="240"/>
      <c r="IBJ55" s="257"/>
      <c r="IBK55" s="240"/>
      <c r="IBN55" s="49"/>
      <c r="IBO55" s="240"/>
      <c r="IBP55" s="240"/>
      <c r="IBQ55" s="240"/>
      <c r="IBR55" s="257"/>
      <c r="IBS55" s="240"/>
      <c r="IBT55" s="257"/>
      <c r="IBU55" s="240"/>
      <c r="IBX55" s="49"/>
      <c r="IBY55" s="240"/>
      <c r="IBZ55" s="240"/>
      <c r="ICA55" s="240"/>
      <c r="ICB55" s="257"/>
      <c r="ICC55" s="240"/>
      <c r="ICD55" s="257"/>
      <c r="ICE55" s="240"/>
      <c r="ICH55" s="49"/>
      <c r="ICI55" s="240"/>
      <c r="ICJ55" s="240"/>
      <c r="ICK55" s="240"/>
      <c r="ICL55" s="257"/>
      <c r="ICM55" s="240"/>
      <c r="ICN55" s="257"/>
      <c r="ICO55" s="240"/>
      <c r="ICR55" s="49"/>
      <c r="ICS55" s="240"/>
      <c r="ICT55" s="240"/>
      <c r="ICU55" s="240"/>
      <c r="ICV55" s="257"/>
      <c r="ICW55" s="240"/>
      <c r="ICX55" s="257"/>
      <c r="ICY55" s="240"/>
      <c r="IDB55" s="49"/>
      <c r="IDC55" s="240"/>
      <c r="IDD55" s="240"/>
      <c r="IDE55" s="240"/>
      <c r="IDF55" s="257"/>
      <c r="IDG55" s="240"/>
      <c r="IDH55" s="257"/>
      <c r="IDI55" s="240"/>
      <c r="IDL55" s="49"/>
      <c r="IDM55" s="240"/>
      <c r="IDN55" s="240"/>
      <c r="IDO55" s="240"/>
      <c r="IDP55" s="257"/>
      <c r="IDQ55" s="240"/>
      <c r="IDR55" s="257"/>
      <c r="IDS55" s="240"/>
      <c r="IDV55" s="49"/>
      <c r="IDW55" s="240"/>
      <c r="IDX55" s="240"/>
      <c r="IDY55" s="240"/>
      <c r="IDZ55" s="257"/>
      <c r="IEA55" s="240"/>
      <c r="IEB55" s="257"/>
      <c r="IEC55" s="240"/>
      <c r="IEF55" s="49"/>
      <c r="IEG55" s="240"/>
      <c r="IEH55" s="240"/>
      <c r="IEI55" s="240"/>
      <c r="IEJ55" s="257"/>
      <c r="IEK55" s="240"/>
      <c r="IEL55" s="257"/>
      <c r="IEM55" s="240"/>
      <c r="IEP55" s="49"/>
      <c r="IEQ55" s="240"/>
      <c r="IER55" s="240"/>
      <c r="IES55" s="240"/>
      <c r="IET55" s="257"/>
      <c r="IEU55" s="240"/>
      <c r="IEV55" s="257"/>
      <c r="IEW55" s="240"/>
      <c r="IEZ55" s="49"/>
      <c r="IFA55" s="240"/>
      <c r="IFB55" s="240"/>
      <c r="IFC55" s="240"/>
      <c r="IFD55" s="257"/>
      <c r="IFE55" s="240"/>
      <c r="IFF55" s="257"/>
      <c r="IFG55" s="240"/>
      <c r="IFJ55" s="49"/>
      <c r="IFK55" s="240"/>
      <c r="IFL55" s="240"/>
      <c r="IFM55" s="240"/>
      <c r="IFN55" s="257"/>
      <c r="IFO55" s="240"/>
      <c r="IFP55" s="257"/>
      <c r="IFQ55" s="240"/>
      <c r="IFT55" s="49"/>
      <c r="IFU55" s="240"/>
      <c r="IFV55" s="240"/>
      <c r="IFW55" s="240"/>
      <c r="IFX55" s="257"/>
      <c r="IFY55" s="240"/>
      <c r="IFZ55" s="257"/>
      <c r="IGA55" s="240"/>
      <c r="IGD55" s="49"/>
      <c r="IGE55" s="240"/>
      <c r="IGF55" s="240"/>
      <c r="IGG55" s="240"/>
      <c r="IGH55" s="257"/>
      <c r="IGI55" s="240"/>
      <c r="IGJ55" s="257"/>
      <c r="IGK55" s="240"/>
      <c r="IGN55" s="49"/>
      <c r="IGO55" s="240"/>
      <c r="IGP55" s="240"/>
      <c r="IGQ55" s="240"/>
      <c r="IGR55" s="257"/>
      <c r="IGS55" s="240"/>
      <c r="IGT55" s="257"/>
      <c r="IGU55" s="240"/>
      <c r="IGX55" s="49"/>
      <c r="IGY55" s="240"/>
      <c r="IGZ55" s="240"/>
      <c r="IHA55" s="240"/>
      <c r="IHB55" s="257"/>
      <c r="IHC55" s="240"/>
      <c r="IHD55" s="257"/>
      <c r="IHE55" s="240"/>
      <c r="IHH55" s="49"/>
      <c r="IHI55" s="240"/>
      <c r="IHJ55" s="240"/>
      <c r="IHK55" s="240"/>
      <c r="IHL55" s="257"/>
      <c r="IHM55" s="240"/>
      <c r="IHN55" s="257"/>
      <c r="IHO55" s="240"/>
      <c r="IHR55" s="49"/>
      <c r="IHS55" s="240"/>
      <c r="IHT55" s="240"/>
      <c r="IHU55" s="240"/>
      <c r="IHV55" s="257"/>
      <c r="IHW55" s="240"/>
      <c r="IHX55" s="257"/>
      <c r="IHY55" s="240"/>
      <c r="IIB55" s="49"/>
      <c r="IIC55" s="240"/>
      <c r="IID55" s="240"/>
      <c r="IIE55" s="240"/>
      <c r="IIF55" s="257"/>
      <c r="IIG55" s="240"/>
      <c r="IIH55" s="257"/>
      <c r="III55" s="240"/>
      <c r="IIL55" s="49"/>
      <c r="IIM55" s="240"/>
      <c r="IIN55" s="240"/>
      <c r="IIO55" s="240"/>
      <c r="IIP55" s="257"/>
      <c r="IIQ55" s="240"/>
      <c r="IIR55" s="257"/>
      <c r="IIS55" s="240"/>
      <c r="IIV55" s="49"/>
      <c r="IIW55" s="240"/>
      <c r="IIX55" s="240"/>
      <c r="IIY55" s="240"/>
      <c r="IIZ55" s="257"/>
      <c r="IJA55" s="240"/>
      <c r="IJB55" s="257"/>
      <c r="IJC55" s="240"/>
      <c r="IJF55" s="49"/>
      <c r="IJG55" s="240"/>
      <c r="IJH55" s="240"/>
      <c r="IJI55" s="240"/>
      <c r="IJJ55" s="257"/>
      <c r="IJK55" s="240"/>
      <c r="IJL55" s="257"/>
      <c r="IJM55" s="240"/>
      <c r="IJP55" s="49"/>
      <c r="IJQ55" s="240"/>
      <c r="IJR55" s="240"/>
      <c r="IJS55" s="240"/>
      <c r="IJT55" s="257"/>
      <c r="IJU55" s="240"/>
      <c r="IJV55" s="257"/>
      <c r="IJW55" s="240"/>
      <c r="IJZ55" s="49"/>
      <c r="IKA55" s="240"/>
      <c r="IKB55" s="240"/>
      <c r="IKC55" s="240"/>
      <c r="IKD55" s="257"/>
      <c r="IKE55" s="240"/>
      <c r="IKF55" s="257"/>
      <c r="IKG55" s="240"/>
      <c r="IKJ55" s="49"/>
      <c r="IKK55" s="240"/>
      <c r="IKL55" s="240"/>
      <c r="IKM55" s="240"/>
      <c r="IKN55" s="257"/>
      <c r="IKO55" s="240"/>
      <c r="IKP55" s="257"/>
      <c r="IKQ55" s="240"/>
      <c r="IKT55" s="49"/>
      <c r="IKU55" s="240"/>
      <c r="IKV55" s="240"/>
      <c r="IKW55" s="240"/>
      <c r="IKX55" s="257"/>
      <c r="IKY55" s="240"/>
      <c r="IKZ55" s="257"/>
      <c r="ILA55" s="240"/>
      <c r="ILD55" s="49"/>
      <c r="ILE55" s="240"/>
      <c r="ILF55" s="240"/>
      <c r="ILG55" s="240"/>
      <c r="ILH55" s="257"/>
      <c r="ILI55" s="240"/>
      <c r="ILJ55" s="257"/>
      <c r="ILK55" s="240"/>
      <c r="ILN55" s="49"/>
      <c r="ILO55" s="240"/>
      <c r="ILP55" s="240"/>
      <c r="ILQ55" s="240"/>
      <c r="ILR55" s="257"/>
      <c r="ILS55" s="240"/>
      <c r="ILT55" s="257"/>
      <c r="ILU55" s="240"/>
      <c r="ILX55" s="49"/>
      <c r="ILY55" s="240"/>
      <c r="ILZ55" s="240"/>
      <c r="IMA55" s="240"/>
      <c r="IMB55" s="257"/>
      <c r="IMC55" s="240"/>
      <c r="IMD55" s="257"/>
      <c r="IME55" s="240"/>
      <c r="IMH55" s="49"/>
      <c r="IMI55" s="240"/>
      <c r="IMJ55" s="240"/>
      <c r="IMK55" s="240"/>
      <c r="IML55" s="257"/>
      <c r="IMM55" s="240"/>
      <c r="IMN55" s="257"/>
      <c r="IMO55" s="240"/>
      <c r="IMR55" s="49"/>
      <c r="IMS55" s="240"/>
      <c r="IMT55" s="240"/>
      <c r="IMU55" s="240"/>
      <c r="IMV55" s="257"/>
      <c r="IMW55" s="240"/>
      <c r="IMX55" s="257"/>
      <c r="IMY55" s="240"/>
      <c r="INB55" s="49"/>
      <c r="INC55" s="240"/>
      <c r="IND55" s="240"/>
      <c r="INE55" s="240"/>
      <c r="INF55" s="257"/>
      <c r="ING55" s="240"/>
      <c r="INH55" s="257"/>
      <c r="INI55" s="240"/>
      <c r="INL55" s="49"/>
      <c r="INM55" s="240"/>
      <c r="INN55" s="240"/>
      <c r="INO55" s="240"/>
      <c r="INP55" s="257"/>
      <c r="INQ55" s="240"/>
      <c r="INR55" s="257"/>
      <c r="INS55" s="240"/>
      <c r="INV55" s="49"/>
      <c r="INW55" s="240"/>
      <c r="INX55" s="240"/>
      <c r="INY55" s="240"/>
      <c r="INZ55" s="257"/>
      <c r="IOA55" s="240"/>
      <c r="IOB55" s="257"/>
      <c r="IOC55" s="240"/>
      <c r="IOF55" s="49"/>
      <c r="IOG55" s="240"/>
      <c r="IOH55" s="240"/>
      <c r="IOI55" s="240"/>
      <c r="IOJ55" s="257"/>
      <c r="IOK55" s="240"/>
      <c r="IOL55" s="257"/>
      <c r="IOM55" s="240"/>
      <c r="IOP55" s="49"/>
      <c r="IOQ55" s="240"/>
      <c r="IOR55" s="240"/>
      <c r="IOS55" s="240"/>
      <c r="IOT55" s="257"/>
      <c r="IOU55" s="240"/>
      <c r="IOV55" s="257"/>
      <c r="IOW55" s="240"/>
      <c r="IOZ55" s="49"/>
      <c r="IPA55" s="240"/>
      <c r="IPB55" s="240"/>
      <c r="IPC55" s="240"/>
      <c r="IPD55" s="257"/>
      <c r="IPE55" s="240"/>
      <c r="IPF55" s="257"/>
      <c r="IPG55" s="240"/>
      <c r="IPJ55" s="49"/>
      <c r="IPK55" s="240"/>
      <c r="IPL55" s="240"/>
      <c r="IPM55" s="240"/>
      <c r="IPN55" s="257"/>
      <c r="IPO55" s="240"/>
      <c r="IPP55" s="257"/>
      <c r="IPQ55" s="240"/>
      <c r="IPT55" s="49"/>
      <c r="IPU55" s="240"/>
      <c r="IPV55" s="240"/>
      <c r="IPW55" s="240"/>
      <c r="IPX55" s="257"/>
      <c r="IPY55" s="240"/>
      <c r="IPZ55" s="257"/>
      <c r="IQA55" s="240"/>
      <c r="IQD55" s="49"/>
      <c r="IQE55" s="240"/>
      <c r="IQF55" s="240"/>
      <c r="IQG55" s="240"/>
      <c r="IQH55" s="257"/>
      <c r="IQI55" s="240"/>
      <c r="IQJ55" s="257"/>
      <c r="IQK55" s="240"/>
      <c r="IQN55" s="49"/>
      <c r="IQO55" s="240"/>
      <c r="IQP55" s="240"/>
      <c r="IQQ55" s="240"/>
      <c r="IQR55" s="257"/>
      <c r="IQS55" s="240"/>
      <c r="IQT55" s="257"/>
      <c r="IQU55" s="240"/>
      <c r="IQX55" s="49"/>
      <c r="IQY55" s="240"/>
      <c r="IQZ55" s="240"/>
      <c r="IRA55" s="240"/>
      <c r="IRB55" s="257"/>
      <c r="IRC55" s="240"/>
      <c r="IRD55" s="257"/>
      <c r="IRE55" s="240"/>
      <c r="IRH55" s="49"/>
      <c r="IRI55" s="240"/>
      <c r="IRJ55" s="240"/>
      <c r="IRK55" s="240"/>
      <c r="IRL55" s="257"/>
      <c r="IRM55" s="240"/>
      <c r="IRN55" s="257"/>
      <c r="IRO55" s="240"/>
      <c r="IRR55" s="49"/>
      <c r="IRS55" s="240"/>
      <c r="IRT55" s="240"/>
      <c r="IRU55" s="240"/>
      <c r="IRV55" s="257"/>
      <c r="IRW55" s="240"/>
      <c r="IRX55" s="257"/>
      <c r="IRY55" s="240"/>
      <c r="ISB55" s="49"/>
      <c r="ISC55" s="240"/>
      <c r="ISD55" s="240"/>
      <c r="ISE55" s="240"/>
      <c r="ISF55" s="257"/>
      <c r="ISG55" s="240"/>
      <c r="ISH55" s="257"/>
      <c r="ISI55" s="240"/>
      <c r="ISL55" s="49"/>
      <c r="ISM55" s="240"/>
      <c r="ISN55" s="240"/>
      <c r="ISO55" s="240"/>
      <c r="ISP55" s="257"/>
      <c r="ISQ55" s="240"/>
      <c r="ISR55" s="257"/>
      <c r="ISS55" s="240"/>
      <c r="ISV55" s="49"/>
      <c r="ISW55" s="240"/>
      <c r="ISX55" s="240"/>
      <c r="ISY55" s="240"/>
      <c r="ISZ55" s="257"/>
      <c r="ITA55" s="240"/>
      <c r="ITB55" s="257"/>
      <c r="ITC55" s="240"/>
      <c r="ITF55" s="49"/>
      <c r="ITG55" s="240"/>
      <c r="ITH55" s="240"/>
      <c r="ITI55" s="240"/>
      <c r="ITJ55" s="257"/>
      <c r="ITK55" s="240"/>
      <c r="ITL55" s="257"/>
      <c r="ITM55" s="240"/>
      <c r="ITP55" s="49"/>
      <c r="ITQ55" s="240"/>
      <c r="ITR55" s="240"/>
      <c r="ITS55" s="240"/>
      <c r="ITT55" s="257"/>
      <c r="ITU55" s="240"/>
      <c r="ITV55" s="257"/>
      <c r="ITW55" s="240"/>
      <c r="ITZ55" s="49"/>
      <c r="IUA55" s="240"/>
      <c r="IUB55" s="240"/>
      <c r="IUC55" s="240"/>
      <c r="IUD55" s="257"/>
      <c r="IUE55" s="240"/>
      <c r="IUF55" s="257"/>
      <c r="IUG55" s="240"/>
      <c r="IUJ55" s="49"/>
      <c r="IUK55" s="240"/>
      <c r="IUL55" s="240"/>
      <c r="IUM55" s="240"/>
      <c r="IUN55" s="257"/>
      <c r="IUO55" s="240"/>
      <c r="IUP55" s="257"/>
      <c r="IUQ55" s="240"/>
      <c r="IUT55" s="49"/>
      <c r="IUU55" s="240"/>
      <c r="IUV55" s="240"/>
      <c r="IUW55" s="240"/>
      <c r="IUX55" s="257"/>
      <c r="IUY55" s="240"/>
      <c r="IUZ55" s="257"/>
      <c r="IVA55" s="240"/>
      <c r="IVD55" s="49"/>
      <c r="IVE55" s="240"/>
      <c r="IVF55" s="240"/>
      <c r="IVG55" s="240"/>
      <c r="IVH55" s="257"/>
      <c r="IVI55" s="240"/>
      <c r="IVJ55" s="257"/>
      <c r="IVK55" s="240"/>
      <c r="IVN55" s="49"/>
      <c r="IVO55" s="240"/>
      <c r="IVP55" s="240"/>
      <c r="IVQ55" s="240"/>
      <c r="IVR55" s="257"/>
      <c r="IVS55" s="240"/>
      <c r="IVT55" s="257"/>
      <c r="IVU55" s="240"/>
      <c r="IVX55" s="49"/>
      <c r="IVY55" s="240"/>
      <c r="IVZ55" s="240"/>
      <c r="IWA55" s="240"/>
      <c r="IWB55" s="257"/>
      <c r="IWC55" s="240"/>
      <c r="IWD55" s="257"/>
      <c r="IWE55" s="240"/>
      <c r="IWH55" s="49"/>
      <c r="IWI55" s="240"/>
      <c r="IWJ55" s="240"/>
      <c r="IWK55" s="240"/>
      <c r="IWL55" s="257"/>
      <c r="IWM55" s="240"/>
      <c r="IWN55" s="257"/>
      <c r="IWO55" s="240"/>
      <c r="IWR55" s="49"/>
      <c r="IWS55" s="240"/>
      <c r="IWT55" s="240"/>
      <c r="IWU55" s="240"/>
      <c r="IWV55" s="257"/>
      <c r="IWW55" s="240"/>
      <c r="IWX55" s="257"/>
      <c r="IWY55" s="240"/>
      <c r="IXB55" s="49"/>
      <c r="IXC55" s="240"/>
      <c r="IXD55" s="240"/>
      <c r="IXE55" s="240"/>
      <c r="IXF55" s="257"/>
      <c r="IXG55" s="240"/>
      <c r="IXH55" s="257"/>
      <c r="IXI55" s="240"/>
      <c r="IXL55" s="49"/>
      <c r="IXM55" s="240"/>
      <c r="IXN55" s="240"/>
      <c r="IXO55" s="240"/>
      <c r="IXP55" s="257"/>
      <c r="IXQ55" s="240"/>
      <c r="IXR55" s="257"/>
      <c r="IXS55" s="240"/>
      <c r="IXV55" s="49"/>
      <c r="IXW55" s="240"/>
      <c r="IXX55" s="240"/>
      <c r="IXY55" s="240"/>
      <c r="IXZ55" s="257"/>
      <c r="IYA55" s="240"/>
      <c r="IYB55" s="257"/>
      <c r="IYC55" s="240"/>
      <c r="IYF55" s="49"/>
      <c r="IYG55" s="240"/>
      <c r="IYH55" s="240"/>
      <c r="IYI55" s="240"/>
      <c r="IYJ55" s="257"/>
      <c r="IYK55" s="240"/>
      <c r="IYL55" s="257"/>
      <c r="IYM55" s="240"/>
      <c r="IYP55" s="49"/>
      <c r="IYQ55" s="240"/>
      <c r="IYR55" s="240"/>
      <c r="IYS55" s="240"/>
      <c r="IYT55" s="257"/>
      <c r="IYU55" s="240"/>
      <c r="IYV55" s="257"/>
      <c r="IYW55" s="240"/>
      <c r="IYZ55" s="49"/>
      <c r="IZA55" s="240"/>
      <c r="IZB55" s="240"/>
      <c r="IZC55" s="240"/>
      <c r="IZD55" s="257"/>
      <c r="IZE55" s="240"/>
      <c r="IZF55" s="257"/>
      <c r="IZG55" s="240"/>
      <c r="IZJ55" s="49"/>
      <c r="IZK55" s="240"/>
      <c r="IZL55" s="240"/>
      <c r="IZM55" s="240"/>
      <c r="IZN55" s="257"/>
      <c r="IZO55" s="240"/>
      <c r="IZP55" s="257"/>
      <c r="IZQ55" s="240"/>
      <c r="IZT55" s="49"/>
      <c r="IZU55" s="240"/>
      <c r="IZV55" s="240"/>
      <c r="IZW55" s="240"/>
      <c r="IZX55" s="257"/>
      <c r="IZY55" s="240"/>
      <c r="IZZ55" s="257"/>
      <c r="JAA55" s="240"/>
      <c r="JAD55" s="49"/>
      <c r="JAE55" s="240"/>
      <c r="JAF55" s="240"/>
      <c r="JAG55" s="240"/>
      <c r="JAH55" s="257"/>
      <c r="JAI55" s="240"/>
      <c r="JAJ55" s="257"/>
      <c r="JAK55" s="240"/>
      <c r="JAN55" s="49"/>
      <c r="JAO55" s="240"/>
      <c r="JAP55" s="240"/>
      <c r="JAQ55" s="240"/>
      <c r="JAR55" s="257"/>
      <c r="JAS55" s="240"/>
      <c r="JAT55" s="257"/>
      <c r="JAU55" s="240"/>
      <c r="JAX55" s="49"/>
      <c r="JAY55" s="240"/>
      <c r="JAZ55" s="240"/>
      <c r="JBA55" s="240"/>
      <c r="JBB55" s="257"/>
      <c r="JBC55" s="240"/>
      <c r="JBD55" s="257"/>
      <c r="JBE55" s="240"/>
      <c r="JBH55" s="49"/>
      <c r="JBI55" s="240"/>
      <c r="JBJ55" s="240"/>
      <c r="JBK55" s="240"/>
      <c r="JBL55" s="257"/>
      <c r="JBM55" s="240"/>
      <c r="JBN55" s="257"/>
      <c r="JBO55" s="240"/>
      <c r="JBR55" s="49"/>
      <c r="JBS55" s="240"/>
      <c r="JBT55" s="240"/>
      <c r="JBU55" s="240"/>
      <c r="JBV55" s="257"/>
      <c r="JBW55" s="240"/>
      <c r="JBX55" s="257"/>
      <c r="JBY55" s="240"/>
      <c r="JCB55" s="49"/>
      <c r="JCC55" s="240"/>
      <c r="JCD55" s="240"/>
      <c r="JCE55" s="240"/>
      <c r="JCF55" s="257"/>
      <c r="JCG55" s="240"/>
      <c r="JCH55" s="257"/>
      <c r="JCI55" s="240"/>
      <c r="JCL55" s="49"/>
      <c r="JCM55" s="240"/>
      <c r="JCN55" s="240"/>
      <c r="JCO55" s="240"/>
      <c r="JCP55" s="257"/>
      <c r="JCQ55" s="240"/>
      <c r="JCR55" s="257"/>
      <c r="JCS55" s="240"/>
      <c r="JCV55" s="49"/>
      <c r="JCW55" s="240"/>
      <c r="JCX55" s="240"/>
      <c r="JCY55" s="240"/>
      <c r="JCZ55" s="257"/>
      <c r="JDA55" s="240"/>
      <c r="JDB55" s="257"/>
      <c r="JDC55" s="240"/>
      <c r="JDF55" s="49"/>
      <c r="JDG55" s="240"/>
      <c r="JDH55" s="240"/>
      <c r="JDI55" s="240"/>
      <c r="JDJ55" s="257"/>
      <c r="JDK55" s="240"/>
      <c r="JDL55" s="257"/>
      <c r="JDM55" s="240"/>
      <c r="JDP55" s="49"/>
      <c r="JDQ55" s="240"/>
      <c r="JDR55" s="240"/>
      <c r="JDS55" s="240"/>
      <c r="JDT55" s="257"/>
      <c r="JDU55" s="240"/>
      <c r="JDV55" s="257"/>
      <c r="JDW55" s="240"/>
      <c r="JDZ55" s="49"/>
      <c r="JEA55" s="240"/>
      <c r="JEB55" s="240"/>
      <c r="JEC55" s="240"/>
      <c r="JED55" s="257"/>
      <c r="JEE55" s="240"/>
      <c r="JEF55" s="257"/>
      <c r="JEG55" s="240"/>
      <c r="JEJ55" s="49"/>
      <c r="JEK55" s="240"/>
      <c r="JEL55" s="240"/>
      <c r="JEM55" s="240"/>
      <c r="JEN55" s="257"/>
      <c r="JEO55" s="240"/>
      <c r="JEP55" s="257"/>
      <c r="JEQ55" s="240"/>
      <c r="JET55" s="49"/>
      <c r="JEU55" s="240"/>
      <c r="JEV55" s="240"/>
      <c r="JEW55" s="240"/>
      <c r="JEX55" s="257"/>
      <c r="JEY55" s="240"/>
      <c r="JEZ55" s="257"/>
      <c r="JFA55" s="240"/>
      <c r="JFD55" s="49"/>
      <c r="JFE55" s="240"/>
      <c r="JFF55" s="240"/>
      <c r="JFG55" s="240"/>
      <c r="JFH55" s="257"/>
      <c r="JFI55" s="240"/>
      <c r="JFJ55" s="257"/>
      <c r="JFK55" s="240"/>
      <c r="JFN55" s="49"/>
      <c r="JFO55" s="240"/>
      <c r="JFP55" s="240"/>
      <c r="JFQ55" s="240"/>
      <c r="JFR55" s="257"/>
      <c r="JFS55" s="240"/>
      <c r="JFT55" s="257"/>
      <c r="JFU55" s="240"/>
      <c r="JFX55" s="49"/>
      <c r="JFY55" s="240"/>
      <c r="JFZ55" s="240"/>
      <c r="JGA55" s="240"/>
      <c r="JGB55" s="257"/>
      <c r="JGC55" s="240"/>
      <c r="JGD55" s="257"/>
      <c r="JGE55" s="240"/>
      <c r="JGH55" s="49"/>
      <c r="JGI55" s="240"/>
      <c r="JGJ55" s="240"/>
      <c r="JGK55" s="240"/>
      <c r="JGL55" s="257"/>
      <c r="JGM55" s="240"/>
      <c r="JGN55" s="257"/>
      <c r="JGO55" s="240"/>
      <c r="JGR55" s="49"/>
      <c r="JGS55" s="240"/>
      <c r="JGT55" s="240"/>
      <c r="JGU55" s="240"/>
      <c r="JGV55" s="257"/>
      <c r="JGW55" s="240"/>
      <c r="JGX55" s="257"/>
      <c r="JGY55" s="240"/>
      <c r="JHB55" s="49"/>
      <c r="JHC55" s="240"/>
      <c r="JHD55" s="240"/>
      <c r="JHE55" s="240"/>
      <c r="JHF55" s="257"/>
      <c r="JHG55" s="240"/>
      <c r="JHH55" s="257"/>
      <c r="JHI55" s="240"/>
      <c r="JHL55" s="49"/>
      <c r="JHM55" s="240"/>
      <c r="JHN55" s="240"/>
      <c r="JHO55" s="240"/>
      <c r="JHP55" s="257"/>
      <c r="JHQ55" s="240"/>
      <c r="JHR55" s="257"/>
      <c r="JHS55" s="240"/>
      <c r="JHV55" s="49"/>
      <c r="JHW55" s="240"/>
      <c r="JHX55" s="240"/>
      <c r="JHY55" s="240"/>
      <c r="JHZ55" s="257"/>
      <c r="JIA55" s="240"/>
      <c r="JIB55" s="257"/>
      <c r="JIC55" s="240"/>
      <c r="JIF55" s="49"/>
      <c r="JIG55" s="240"/>
      <c r="JIH55" s="240"/>
      <c r="JII55" s="240"/>
      <c r="JIJ55" s="257"/>
      <c r="JIK55" s="240"/>
      <c r="JIL55" s="257"/>
      <c r="JIM55" s="240"/>
      <c r="JIP55" s="49"/>
      <c r="JIQ55" s="240"/>
      <c r="JIR55" s="240"/>
      <c r="JIS55" s="240"/>
      <c r="JIT55" s="257"/>
      <c r="JIU55" s="240"/>
      <c r="JIV55" s="257"/>
      <c r="JIW55" s="240"/>
      <c r="JIZ55" s="49"/>
      <c r="JJA55" s="240"/>
      <c r="JJB55" s="240"/>
      <c r="JJC55" s="240"/>
      <c r="JJD55" s="257"/>
      <c r="JJE55" s="240"/>
      <c r="JJF55" s="257"/>
      <c r="JJG55" s="240"/>
      <c r="JJJ55" s="49"/>
      <c r="JJK55" s="240"/>
      <c r="JJL55" s="240"/>
      <c r="JJM55" s="240"/>
      <c r="JJN55" s="257"/>
      <c r="JJO55" s="240"/>
      <c r="JJP55" s="257"/>
      <c r="JJQ55" s="240"/>
      <c r="JJT55" s="49"/>
      <c r="JJU55" s="240"/>
      <c r="JJV55" s="240"/>
      <c r="JJW55" s="240"/>
      <c r="JJX55" s="257"/>
      <c r="JJY55" s="240"/>
      <c r="JJZ55" s="257"/>
      <c r="JKA55" s="240"/>
      <c r="JKD55" s="49"/>
      <c r="JKE55" s="240"/>
      <c r="JKF55" s="240"/>
      <c r="JKG55" s="240"/>
      <c r="JKH55" s="257"/>
      <c r="JKI55" s="240"/>
      <c r="JKJ55" s="257"/>
      <c r="JKK55" s="240"/>
      <c r="JKN55" s="49"/>
      <c r="JKO55" s="240"/>
      <c r="JKP55" s="240"/>
      <c r="JKQ55" s="240"/>
      <c r="JKR55" s="257"/>
      <c r="JKS55" s="240"/>
      <c r="JKT55" s="257"/>
      <c r="JKU55" s="240"/>
      <c r="JKX55" s="49"/>
      <c r="JKY55" s="240"/>
      <c r="JKZ55" s="240"/>
      <c r="JLA55" s="240"/>
      <c r="JLB55" s="257"/>
      <c r="JLC55" s="240"/>
      <c r="JLD55" s="257"/>
      <c r="JLE55" s="240"/>
      <c r="JLH55" s="49"/>
      <c r="JLI55" s="240"/>
      <c r="JLJ55" s="240"/>
      <c r="JLK55" s="240"/>
      <c r="JLL55" s="257"/>
      <c r="JLM55" s="240"/>
      <c r="JLN55" s="257"/>
      <c r="JLO55" s="240"/>
      <c r="JLR55" s="49"/>
      <c r="JLS55" s="240"/>
      <c r="JLT55" s="240"/>
      <c r="JLU55" s="240"/>
      <c r="JLV55" s="257"/>
      <c r="JLW55" s="240"/>
      <c r="JLX55" s="257"/>
      <c r="JLY55" s="240"/>
      <c r="JMB55" s="49"/>
      <c r="JMC55" s="240"/>
      <c r="JMD55" s="240"/>
      <c r="JME55" s="240"/>
      <c r="JMF55" s="257"/>
      <c r="JMG55" s="240"/>
      <c r="JMH55" s="257"/>
      <c r="JMI55" s="240"/>
      <c r="JML55" s="49"/>
      <c r="JMM55" s="240"/>
      <c r="JMN55" s="240"/>
      <c r="JMO55" s="240"/>
      <c r="JMP55" s="257"/>
      <c r="JMQ55" s="240"/>
      <c r="JMR55" s="257"/>
      <c r="JMS55" s="240"/>
      <c r="JMV55" s="49"/>
      <c r="JMW55" s="240"/>
      <c r="JMX55" s="240"/>
      <c r="JMY55" s="240"/>
      <c r="JMZ55" s="257"/>
      <c r="JNA55" s="240"/>
      <c r="JNB55" s="257"/>
      <c r="JNC55" s="240"/>
      <c r="JNF55" s="49"/>
      <c r="JNG55" s="240"/>
      <c r="JNH55" s="240"/>
      <c r="JNI55" s="240"/>
      <c r="JNJ55" s="257"/>
      <c r="JNK55" s="240"/>
      <c r="JNL55" s="257"/>
      <c r="JNM55" s="240"/>
      <c r="JNP55" s="49"/>
      <c r="JNQ55" s="240"/>
      <c r="JNR55" s="240"/>
      <c r="JNS55" s="240"/>
      <c r="JNT55" s="257"/>
      <c r="JNU55" s="240"/>
      <c r="JNV55" s="257"/>
      <c r="JNW55" s="240"/>
      <c r="JNZ55" s="49"/>
      <c r="JOA55" s="240"/>
      <c r="JOB55" s="240"/>
      <c r="JOC55" s="240"/>
      <c r="JOD55" s="257"/>
      <c r="JOE55" s="240"/>
      <c r="JOF55" s="257"/>
      <c r="JOG55" s="240"/>
      <c r="JOJ55" s="49"/>
      <c r="JOK55" s="240"/>
      <c r="JOL55" s="240"/>
      <c r="JOM55" s="240"/>
      <c r="JON55" s="257"/>
      <c r="JOO55" s="240"/>
      <c r="JOP55" s="257"/>
      <c r="JOQ55" s="240"/>
      <c r="JOT55" s="49"/>
      <c r="JOU55" s="240"/>
      <c r="JOV55" s="240"/>
      <c r="JOW55" s="240"/>
      <c r="JOX55" s="257"/>
      <c r="JOY55" s="240"/>
      <c r="JOZ55" s="257"/>
      <c r="JPA55" s="240"/>
      <c r="JPD55" s="49"/>
      <c r="JPE55" s="240"/>
      <c r="JPF55" s="240"/>
      <c r="JPG55" s="240"/>
      <c r="JPH55" s="257"/>
      <c r="JPI55" s="240"/>
      <c r="JPJ55" s="257"/>
      <c r="JPK55" s="240"/>
      <c r="JPN55" s="49"/>
      <c r="JPO55" s="240"/>
      <c r="JPP55" s="240"/>
      <c r="JPQ55" s="240"/>
      <c r="JPR55" s="257"/>
      <c r="JPS55" s="240"/>
      <c r="JPT55" s="257"/>
      <c r="JPU55" s="240"/>
      <c r="JPX55" s="49"/>
      <c r="JPY55" s="240"/>
      <c r="JPZ55" s="240"/>
      <c r="JQA55" s="240"/>
      <c r="JQB55" s="257"/>
      <c r="JQC55" s="240"/>
      <c r="JQD55" s="257"/>
      <c r="JQE55" s="240"/>
      <c r="JQH55" s="49"/>
      <c r="JQI55" s="240"/>
      <c r="JQJ55" s="240"/>
      <c r="JQK55" s="240"/>
      <c r="JQL55" s="257"/>
      <c r="JQM55" s="240"/>
      <c r="JQN55" s="257"/>
      <c r="JQO55" s="240"/>
      <c r="JQR55" s="49"/>
      <c r="JQS55" s="240"/>
      <c r="JQT55" s="240"/>
      <c r="JQU55" s="240"/>
      <c r="JQV55" s="257"/>
      <c r="JQW55" s="240"/>
      <c r="JQX55" s="257"/>
      <c r="JQY55" s="240"/>
      <c r="JRB55" s="49"/>
      <c r="JRC55" s="240"/>
      <c r="JRD55" s="240"/>
      <c r="JRE55" s="240"/>
      <c r="JRF55" s="257"/>
      <c r="JRG55" s="240"/>
      <c r="JRH55" s="257"/>
      <c r="JRI55" s="240"/>
      <c r="JRL55" s="49"/>
      <c r="JRM55" s="240"/>
      <c r="JRN55" s="240"/>
      <c r="JRO55" s="240"/>
      <c r="JRP55" s="257"/>
      <c r="JRQ55" s="240"/>
      <c r="JRR55" s="257"/>
      <c r="JRS55" s="240"/>
      <c r="JRV55" s="49"/>
      <c r="JRW55" s="240"/>
      <c r="JRX55" s="240"/>
      <c r="JRY55" s="240"/>
      <c r="JRZ55" s="257"/>
      <c r="JSA55" s="240"/>
      <c r="JSB55" s="257"/>
      <c r="JSC55" s="240"/>
      <c r="JSF55" s="49"/>
      <c r="JSG55" s="240"/>
      <c r="JSH55" s="240"/>
      <c r="JSI55" s="240"/>
      <c r="JSJ55" s="257"/>
      <c r="JSK55" s="240"/>
      <c r="JSL55" s="257"/>
      <c r="JSM55" s="240"/>
      <c r="JSP55" s="49"/>
      <c r="JSQ55" s="240"/>
      <c r="JSR55" s="240"/>
      <c r="JSS55" s="240"/>
      <c r="JST55" s="257"/>
      <c r="JSU55" s="240"/>
      <c r="JSV55" s="257"/>
      <c r="JSW55" s="240"/>
      <c r="JSZ55" s="49"/>
      <c r="JTA55" s="240"/>
      <c r="JTB55" s="240"/>
      <c r="JTC55" s="240"/>
      <c r="JTD55" s="257"/>
      <c r="JTE55" s="240"/>
      <c r="JTF55" s="257"/>
      <c r="JTG55" s="240"/>
      <c r="JTJ55" s="49"/>
      <c r="JTK55" s="240"/>
      <c r="JTL55" s="240"/>
      <c r="JTM55" s="240"/>
      <c r="JTN55" s="257"/>
      <c r="JTO55" s="240"/>
      <c r="JTP55" s="257"/>
      <c r="JTQ55" s="240"/>
      <c r="JTT55" s="49"/>
      <c r="JTU55" s="240"/>
      <c r="JTV55" s="240"/>
      <c r="JTW55" s="240"/>
      <c r="JTX55" s="257"/>
      <c r="JTY55" s="240"/>
      <c r="JTZ55" s="257"/>
      <c r="JUA55" s="240"/>
      <c r="JUD55" s="49"/>
      <c r="JUE55" s="240"/>
      <c r="JUF55" s="240"/>
      <c r="JUG55" s="240"/>
      <c r="JUH55" s="257"/>
      <c r="JUI55" s="240"/>
      <c r="JUJ55" s="257"/>
      <c r="JUK55" s="240"/>
      <c r="JUN55" s="49"/>
      <c r="JUO55" s="240"/>
      <c r="JUP55" s="240"/>
      <c r="JUQ55" s="240"/>
      <c r="JUR55" s="257"/>
      <c r="JUS55" s="240"/>
      <c r="JUT55" s="257"/>
      <c r="JUU55" s="240"/>
      <c r="JUX55" s="49"/>
      <c r="JUY55" s="240"/>
      <c r="JUZ55" s="240"/>
      <c r="JVA55" s="240"/>
      <c r="JVB55" s="257"/>
      <c r="JVC55" s="240"/>
      <c r="JVD55" s="257"/>
      <c r="JVE55" s="240"/>
      <c r="JVH55" s="49"/>
      <c r="JVI55" s="240"/>
      <c r="JVJ55" s="240"/>
      <c r="JVK55" s="240"/>
      <c r="JVL55" s="257"/>
      <c r="JVM55" s="240"/>
      <c r="JVN55" s="257"/>
      <c r="JVO55" s="240"/>
      <c r="JVR55" s="49"/>
      <c r="JVS55" s="240"/>
      <c r="JVT55" s="240"/>
      <c r="JVU55" s="240"/>
      <c r="JVV55" s="257"/>
      <c r="JVW55" s="240"/>
      <c r="JVX55" s="257"/>
      <c r="JVY55" s="240"/>
      <c r="JWB55" s="49"/>
      <c r="JWC55" s="240"/>
      <c r="JWD55" s="240"/>
      <c r="JWE55" s="240"/>
      <c r="JWF55" s="257"/>
      <c r="JWG55" s="240"/>
      <c r="JWH55" s="257"/>
      <c r="JWI55" s="240"/>
      <c r="JWL55" s="49"/>
      <c r="JWM55" s="240"/>
      <c r="JWN55" s="240"/>
      <c r="JWO55" s="240"/>
      <c r="JWP55" s="257"/>
      <c r="JWQ55" s="240"/>
      <c r="JWR55" s="257"/>
      <c r="JWS55" s="240"/>
      <c r="JWV55" s="49"/>
      <c r="JWW55" s="240"/>
      <c r="JWX55" s="240"/>
      <c r="JWY55" s="240"/>
      <c r="JWZ55" s="257"/>
      <c r="JXA55" s="240"/>
      <c r="JXB55" s="257"/>
      <c r="JXC55" s="240"/>
      <c r="JXF55" s="49"/>
      <c r="JXG55" s="240"/>
      <c r="JXH55" s="240"/>
      <c r="JXI55" s="240"/>
      <c r="JXJ55" s="257"/>
      <c r="JXK55" s="240"/>
      <c r="JXL55" s="257"/>
      <c r="JXM55" s="240"/>
      <c r="JXP55" s="49"/>
      <c r="JXQ55" s="240"/>
      <c r="JXR55" s="240"/>
      <c r="JXS55" s="240"/>
      <c r="JXT55" s="257"/>
      <c r="JXU55" s="240"/>
      <c r="JXV55" s="257"/>
      <c r="JXW55" s="240"/>
      <c r="JXZ55" s="49"/>
      <c r="JYA55" s="240"/>
      <c r="JYB55" s="240"/>
      <c r="JYC55" s="240"/>
      <c r="JYD55" s="257"/>
      <c r="JYE55" s="240"/>
      <c r="JYF55" s="257"/>
      <c r="JYG55" s="240"/>
      <c r="JYJ55" s="49"/>
      <c r="JYK55" s="240"/>
      <c r="JYL55" s="240"/>
      <c r="JYM55" s="240"/>
      <c r="JYN55" s="257"/>
      <c r="JYO55" s="240"/>
      <c r="JYP55" s="257"/>
      <c r="JYQ55" s="240"/>
      <c r="JYT55" s="49"/>
      <c r="JYU55" s="240"/>
      <c r="JYV55" s="240"/>
      <c r="JYW55" s="240"/>
      <c r="JYX55" s="257"/>
      <c r="JYY55" s="240"/>
      <c r="JYZ55" s="257"/>
      <c r="JZA55" s="240"/>
      <c r="JZD55" s="49"/>
      <c r="JZE55" s="240"/>
      <c r="JZF55" s="240"/>
      <c r="JZG55" s="240"/>
      <c r="JZH55" s="257"/>
      <c r="JZI55" s="240"/>
      <c r="JZJ55" s="257"/>
      <c r="JZK55" s="240"/>
      <c r="JZN55" s="49"/>
      <c r="JZO55" s="240"/>
      <c r="JZP55" s="240"/>
      <c r="JZQ55" s="240"/>
      <c r="JZR55" s="257"/>
      <c r="JZS55" s="240"/>
      <c r="JZT55" s="257"/>
      <c r="JZU55" s="240"/>
      <c r="JZX55" s="49"/>
      <c r="JZY55" s="240"/>
      <c r="JZZ55" s="240"/>
      <c r="KAA55" s="240"/>
      <c r="KAB55" s="257"/>
      <c r="KAC55" s="240"/>
      <c r="KAD55" s="257"/>
      <c r="KAE55" s="240"/>
      <c r="KAH55" s="49"/>
      <c r="KAI55" s="240"/>
      <c r="KAJ55" s="240"/>
      <c r="KAK55" s="240"/>
      <c r="KAL55" s="257"/>
      <c r="KAM55" s="240"/>
      <c r="KAN55" s="257"/>
      <c r="KAO55" s="240"/>
      <c r="KAR55" s="49"/>
      <c r="KAS55" s="240"/>
      <c r="KAT55" s="240"/>
      <c r="KAU55" s="240"/>
      <c r="KAV55" s="257"/>
      <c r="KAW55" s="240"/>
      <c r="KAX55" s="257"/>
      <c r="KAY55" s="240"/>
      <c r="KBB55" s="49"/>
      <c r="KBC55" s="240"/>
      <c r="KBD55" s="240"/>
      <c r="KBE55" s="240"/>
      <c r="KBF55" s="257"/>
      <c r="KBG55" s="240"/>
      <c r="KBH55" s="257"/>
      <c r="KBI55" s="240"/>
      <c r="KBL55" s="49"/>
      <c r="KBM55" s="240"/>
      <c r="KBN55" s="240"/>
      <c r="KBO55" s="240"/>
      <c r="KBP55" s="257"/>
      <c r="KBQ55" s="240"/>
      <c r="KBR55" s="257"/>
      <c r="KBS55" s="240"/>
      <c r="KBV55" s="49"/>
      <c r="KBW55" s="240"/>
      <c r="KBX55" s="240"/>
      <c r="KBY55" s="240"/>
      <c r="KBZ55" s="257"/>
      <c r="KCA55" s="240"/>
      <c r="KCB55" s="257"/>
      <c r="KCC55" s="240"/>
      <c r="KCF55" s="49"/>
      <c r="KCG55" s="240"/>
      <c r="KCH55" s="240"/>
      <c r="KCI55" s="240"/>
      <c r="KCJ55" s="257"/>
      <c r="KCK55" s="240"/>
      <c r="KCL55" s="257"/>
      <c r="KCM55" s="240"/>
      <c r="KCP55" s="49"/>
      <c r="KCQ55" s="240"/>
      <c r="KCR55" s="240"/>
      <c r="KCS55" s="240"/>
      <c r="KCT55" s="257"/>
      <c r="KCU55" s="240"/>
      <c r="KCV55" s="257"/>
      <c r="KCW55" s="240"/>
      <c r="KCZ55" s="49"/>
      <c r="KDA55" s="240"/>
      <c r="KDB55" s="240"/>
      <c r="KDC55" s="240"/>
      <c r="KDD55" s="257"/>
      <c r="KDE55" s="240"/>
      <c r="KDF55" s="257"/>
      <c r="KDG55" s="240"/>
      <c r="KDJ55" s="49"/>
      <c r="KDK55" s="240"/>
      <c r="KDL55" s="240"/>
      <c r="KDM55" s="240"/>
      <c r="KDN55" s="257"/>
      <c r="KDO55" s="240"/>
      <c r="KDP55" s="257"/>
      <c r="KDQ55" s="240"/>
      <c r="KDT55" s="49"/>
      <c r="KDU55" s="240"/>
      <c r="KDV55" s="240"/>
      <c r="KDW55" s="240"/>
      <c r="KDX55" s="257"/>
      <c r="KDY55" s="240"/>
      <c r="KDZ55" s="257"/>
      <c r="KEA55" s="240"/>
      <c r="KED55" s="49"/>
      <c r="KEE55" s="240"/>
      <c r="KEF55" s="240"/>
      <c r="KEG55" s="240"/>
      <c r="KEH55" s="257"/>
      <c r="KEI55" s="240"/>
      <c r="KEJ55" s="257"/>
      <c r="KEK55" s="240"/>
      <c r="KEN55" s="49"/>
      <c r="KEO55" s="240"/>
      <c r="KEP55" s="240"/>
      <c r="KEQ55" s="240"/>
      <c r="KER55" s="257"/>
      <c r="KES55" s="240"/>
      <c r="KET55" s="257"/>
      <c r="KEU55" s="240"/>
      <c r="KEX55" s="49"/>
      <c r="KEY55" s="240"/>
      <c r="KEZ55" s="240"/>
      <c r="KFA55" s="240"/>
      <c r="KFB55" s="257"/>
      <c r="KFC55" s="240"/>
      <c r="KFD55" s="257"/>
      <c r="KFE55" s="240"/>
      <c r="KFH55" s="49"/>
      <c r="KFI55" s="240"/>
      <c r="KFJ55" s="240"/>
      <c r="KFK55" s="240"/>
      <c r="KFL55" s="257"/>
      <c r="KFM55" s="240"/>
      <c r="KFN55" s="257"/>
      <c r="KFO55" s="240"/>
      <c r="KFR55" s="49"/>
      <c r="KFS55" s="240"/>
      <c r="KFT55" s="240"/>
      <c r="KFU55" s="240"/>
      <c r="KFV55" s="257"/>
      <c r="KFW55" s="240"/>
      <c r="KFX55" s="257"/>
      <c r="KFY55" s="240"/>
      <c r="KGB55" s="49"/>
      <c r="KGC55" s="240"/>
      <c r="KGD55" s="240"/>
      <c r="KGE55" s="240"/>
      <c r="KGF55" s="257"/>
      <c r="KGG55" s="240"/>
      <c r="KGH55" s="257"/>
      <c r="KGI55" s="240"/>
      <c r="KGL55" s="49"/>
      <c r="KGM55" s="240"/>
      <c r="KGN55" s="240"/>
      <c r="KGO55" s="240"/>
      <c r="KGP55" s="257"/>
      <c r="KGQ55" s="240"/>
      <c r="KGR55" s="257"/>
      <c r="KGS55" s="240"/>
      <c r="KGV55" s="49"/>
      <c r="KGW55" s="240"/>
      <c r="KGX55" s="240"/>
      <c r="KGY55" s="240"/>
      <c r="KGZ55" s="257"/>
      <c r="KHA55" s="240"/>
      <c r="KHB55" s="257"/>
      <c r="KHC55" s="240"/>
      <c r="KHF55" s="49"/>
      <c r="KHG55" s="240"/>
      <c r="KHH55" s="240"/>
      <c r="KHI55" s="240"/>
      <c r="KHJ55" s="257"/>
      <c r="KHK55" s="240"/>
      <c r="KHL55" s="257"/>
      <c r="KHM55" s="240"/>
      <c r="KHP55" s="49"/>
      <c r="KHQ55" s="240"/>
      <c r="KHR55" s="240"/>
      <c r="KHS55" s="240"/>
      <c r="KHT55" s="257"/>
      <c r="KHU55" s="240"/>
      <c r="KHV55" s="257"/>
      <c r="KHW55" s="240"/>
      <c r="KHZ55" s="49"/>
      <c r="KIA55" s="240"/>
      <c r="KIB55" s="240"/>
      <c r="KIC55" s="240"/>
      <c r="KID55" s="257"/>
      <c r="KIE55" s="240"/>
      <c r="KIF55" s="257"/>
      <c r="KIG55" s="240"/>
      <c r="KIJ55" s="49"/>
      <c r="KIK55" s="240"/>
      <c r="KIL55" s="240"/>
      <c r="KIM55" s="240"/>
      <c r="KIN55" s="257"/>
      <c r="KIO55" s="240"/>
      <c r="KIP55" s="257"/>
      <c r="KIQ55" s="240"/>
      <c r="KIT55" s="49"/>
      <c r="KIU55" s="240"/>
      <c r="KIV55" s="240"/>
      <c r="KIW55" s="240"/>
      <c r="KIX55" s="257"/>
      <c r="KIY55" s="240"/>
      <c r="KIZ55" s="257"/>
      <c r="KJA55" s="240"/>
      <c r="KJD55" s="49"/>
      <c r="KJE55" s="240"/>
      <c r="KJF55" s="240"/>
      <c r="KJG55" s="240"/>
      <c r="KJH55" s="257"/>
      <c r="KJI55" s="240"/>
      <c r="KJJ55" s="257"/>
      <c r="KJK55" s="240"/>
      <c r="KJN55" s="49"/>
      <c r="KJO55" s="240"/>
      <c r="KJP55" s="240"/>
      <c r="KJQ55" s="240"/>
      <c r="KJR55" s="257"/>
      <c r="KJS55" s="240"/>
      <c r="KJT55" s="257"/>
      <c r="KJU55" s="240"/>
      <c r="KJX55" s="49"/>
      <c r="KJY55" s="240"/>
      <c r="KJZ55" s="240"/>
      <c r="KKA55" s="240"/>
      <c r="KKB55" s="257"/>
      <c r="KKC55" s="240"/>
      <c r="KKD55" s="257"/>
      <c r="KKE55" s="240"/>
      <c r="KKH55" s="49"/>
      <c r="KKI55" s="240"/>
      <c r="KKJ55" s="240"/>
      <c r="KKK55" s="240"/>
      <c r="KKL55" s="257"/>
      <c r="KKM55" s="240"/>
      <c r="KKN55" s="257"/>
      <c r="KKO55" s="240"/>
      <c r="KKR55" s="49"/>
      <c r="KKS55" s="240"/>
      <c r="KKT55" s="240"/>
      <c r="KKU55" s="240"/>
      <c r="KKV55" s="257"/>
      <c r="KKW55" s="240"/>
      <c r="KKX55" s="257"/>
      <c r="KKY55" s="240"/>
      <c r="KLB55" s="49"/>
      <c r="KLC55" s="240"/>
      <c r="KLD55" s="240"/>
      <c r="KLE55" s="240"/>
      <c r="KLF55" s="257"/>
      <c r="KLG55" s="240"/>
      <c r="KLH55" s="257"/>
      <c r="KLI55" s="240"/>
      <c r="KLL55" s="49"/>
      <c r="KLM55" s="240"/>
      <c r="KLN55" s="240"/>
      <c r="KLO55" s="240"/>
      <c r="KLP55" s="257"/>
      <c r="KLQ55" s="240"/>
      <c r="KLR55" s="257"/>
      <c r="KLS55" s="240"/>
      <c r="KLV55" s="49"/>
      <c r="KLW55" s="240"/>
      <c r="KLX55" s="240"/>
      <c r="KLY55" s="240"/>
      <c r="KLZ55" s="257"/>
      <c r="KMA55" s="240"/>
      <c r="KMB55" s="257"/>
      <c r="KMC55" s="240"/>
      <c r="KMF55" s="49"/>
      <c r="KMG55" s="240"/>
      <c r="KMH55" s="240"/>
      <c r="KMI55" s="240"/>
      <c r="KMJ55" s="257"/>
      <c r="KMK55" s="240"/>
      <c r="KML55" s="257"/>
      <c r="KMM55" s="240"/>
      <c r="KMP55" s="49"/>
      <c r="KMQ55" s="240"/>
      <c r="KMR55" s="240"/>
      <c r="KMS55" s="240"/>
      <c r="KMT55" s="257"/>
      <c r="KMU55" s="240"/>
      <c r="KMV55" s="257"/>
      <c r="KMW55" s="240"/>
      <c r="KMZ55" s="49"/>
      <c r="KNA55" s="240"/>
      <c r="KNB55" s="240"/>
      <c r="KNC55" s="240"/>
      <c r="KND55" s="257"/>
      <c r="KNE55" s="240"/>
      <c r="KNF55" s="257"/>
      <c r="KNG55" s="240"/>
      <c r="KNJ55" s="49"/>
      <c r="KNK55" s="240"/>
      <c r="KNL55" s="240"/>
      <c r="KNM55" s="240"/>
      <c r="KNN55" s="257"/>
      <c r="KNO55" s="240"/>
      <c r="KNP55" s="257"/>
      <c r="KNQ55" s="240"/>
      <c r="KNT55" s="49"/>
      <c r="KNU55" s="240"/>
      <c r="KNV55" s="240"/>
      <c r="KNW55" s="240"/>
      <c r="KNX55" s="257"/>
      <c r="KNY55" s="240"/>
      <c r="KNZ55" s="257"/>
      <c r="KOA55" s="240"/>
      <c r="KOD55" s="49"/>
      <c r="KOE55" s="240"/>
      <c r="KOF55" s="240"/>
      <c r="KOG55" s="240"/>
      <c r="KOH55" s="257"/>
      <c r="KOI55" s="240"/>
      <c r="KOJ55" s="257"/>
      <c r="KOK55" s="240"/>
      <c r="KON55" s="49"/>
      <c r="KOO55" s="240"/>
      <c r="KOP55" s="240"/>
      <c r="KOQ55" s="240"/>
      <c r="KOR55" s="257"/>
      <c r="KOS55" s="240"/>
      <c r="KOT55" s="257"/>
      <c r="KOU55" s="240"/>
      <c r="KOX55" s="49"/>
      <c r="KOY55" s="240"/>
      <c r="KOZ55" s="240"/>
      <c r="KPA55" s="240"/>
      <c r="KPB55" s="257"/>
      <c r="KPC55" s="240"/>
      <c r="KPD55" s="257"/>
      <c r="KPE55" s="240"/>
      <c r="KPH55" s="49"/>
      <c r="KPI55" s="240"/>
      <c r="KPJ55" s="240"/>
      <c r="KPK55" s="240"/>
      <c r="KPL55" s="257"/>
      <c r="KPM55" s="240"/>
      <c r="KPN55" s="257"/>
      <c r="KPO55" s="240"/>
      <c r="KPR55" s="49"/>
      <c r="KPS55" s="240"/>
      <c r="KPT55" s="240"/>
      <c r="KPU55" s="240"/>
      <c r="KPV55" s="257"/>
      <c r="KPW55" s="240"/>
      <c r="KPX55" s="257"/>
      <c r="KPY55" s="240"/>
      <c r="KQB55" s="49"/>
      <c r="KQC55" s="240"/>
      <c r="KQD55" s="240"/>
      <c r="KQE55" s="240"/>
      <c r="KQF55" s="257"/>
      <c r="KQG55" s="240"/>
      <c r="KQH55" s="257"/>
      <c r="KQI55" s="240"/>
      <c r="KQL55" s="49"/>
      <c r="KQM55" s="240"/>
      <c r="KQN55" s="240"/>
      <c r="KQO55" s="240"/>
      <c r="KQP55" s="257"/>
      <c r="KQQ55" s="240"/>
      <c r="KQR55" s="257"/>
      <c r="KQS55" s="240"/>
      <c r="KQV55" s="49"/>
      <c r="KQW55" s="240"/>
      <c r="KQX55" s="240"/>
      <c r="KQY55" s="240"/>
      <c r="KQZ55" s="257"/>
      <c r="KRA55" s="240"/>
      <c r="KRB55" s="257"/>
      <c r="KRC55" s="240"/>
      <c r="KRF55" s="49"/>
      <c r="KRG55" s="240"/>
      <c r="KRH55" s="240"/>
      <c r="KRI55" s="240"/>
      <c r="KRJ55" s="257"/>
      <c r="KRK55" s="240"/>
      <c r="KRL55" s="257"/>
      <c r="KRM55" s="240"/>
      <c r="KRP55" s="49"/>
      <c r="KRQ55" s="240"/>
      <c r="KRR55" s="240"/>
      <c r="KRS55" s="240"/>
      <c r="KRT55" s="257"/>
      <c r="KRU55" s="240"/>
      <c r="KRV55" s="257"/>
      <c r="KRW55" s="240"/>
      <c r="KRZ55" s="49"/>
      <c r="KSA55" s="240"/>
      <c r="KSB55" s="240"/>
      <c r="KSC55" s="240"/>
      <c r="KSD55" s="257"/>
      <c r="KSE55" s="240"/>
      <c r="KSF55" s="257"/>
      <c r="KSG55" s="240"/>
      <c r="KSJ55" s="49"/>
      <c r="KSK55" s="240"/>
      <c r="KSL55" s="240"/>
      <c r="KSM55" s="240"/>
      <c r="KSN55" s="257"/>
      <c r="KSO55" s="240"/>
      <c r="KSP55" s="257"/>
      <c r="KSQ55" s="240"/>
      <c r="KST55" s="49"/>
      <c r="KSU55" s="240"/>
      <c r="KSV55" s="240"/>
      <c r="KSW55" s="240"/>
      <c r="KSX55" s="257"/>
      <c r="KSY55" s="240"/>
      <c r="KSZ55" s="257"/>
      <c r="KTA55" s="240"/>
      <c r="KTD55" s="49"/>
      <c r="KTE55" s="240"/>
      <c r="KTF55" s="240"/>
      <c r="KTG55" s="240"/>
      <c r="KTH55" s="257"/>
      <c r="KTI55" s="240"/>
      <c r="KTJ55" s="257"/>
      <c r="KTK55" s="240"/>
      <c r="KTN55" s="49"/>
      <c r="KTO55" s="240"/>
      <c r="KTP55" s="240"/>
      <c r="KTQ55" s="240"/>
      <c r="KTR55" s="257"/>
      <c r="KTS55" s="240"/>
      <c r="KTT55" s="257"/>
      <c r="KTU55" s="240"/>
      <c r="KTX55" s="49"/>
      <c r="KTY55" s="240"/>
      <c r="KTZ55" s="240"/>
      <c r="KUA55" s="240"/>
      <c r="KUB55" s="257"/>
      <c r="KUC55" s="240"/>
      <c r="KUD55" s="257"/>
      <c r="KUE55" s="240"/>
      <c r="KUH55" s="49"/>
      <c r="KUI55" s="240"/>
      <c r="KUJ55" s="240"/>
      <c r="KUK55" s="240"/>
      <c r="KUL55" s="257"/>
      <c r="KUM55" s="240"/>
      <c r="KUN55" s="257"/>
      <c r="KUO55" s="240"/>
      <c r="KUR55" s="49"/>
      <c r="KUS55" s="240"/>
      <c r="KUT55" s="240"/>
      <c r="KUU55" s="240"/>
      <c r="KUV55" s="257"/>
      <c r="KUW55" s="240"/>
      <c r="KUX55" s="257"/>
      <c r="KUY55" s="240"/>
      <c r="KVB55" s="49"/>
      <c r="KVC55" s="240"/>
      <c r="KVD55" s="240"/>
      <c r="KVE55" s="240"/>
      <c r="KVF55" s="257"/>
      <c r="KVG55" s="240"/>
      <c r="KVH55" s="257"/>
      <c r="KVI55" s="240"/>
      <c r="KVL55" s="49"/>
      <c r="KVM55" s="240"/>
      <c r="KVN55" s="240"/>
      <c r="KVO55" s="240"/>
      <c r="KVP55" s="257"/>
      <c r="KVQ55" s="240"/>
      <c r="KVR55" s="257"/>
      <c r="KVS55" s="240"/>
      <c r="KVV55" s="49"/>
      <c r="KVW55" s="240"/>
      <c r="KVX55" s="240"/>
      <c r="KVY55" s="240"/>
      <c r="KVZ55" s="257"/>
      <c r="KWA55" s="240"/>
      <c r="KWB55" s="257"/>
      <c r="KWC55" s="240"/>
      <c r="KWF55" s="49"/>
      <c r="KWG55" s="240"/>
      <c r="KWH55" s="240"/>
      <c r="KWI55" s="240"/>
      <c r="KWJ55" s="257"/>
      <c r="KWK55" s="240"/>
      <c r="KWL55" s="257"/>
      <c r="KWM55" s="240"/>
      <c r="KWP55" s="49"/>
      <c r="KWQ55" s="240"/>
      <c r="KWR55" s="240"/>
      <c r="KWS55" s="240"/>
      <c r="KWT55" s="257"/>
      <c r="KWU55" s="240"/>
      <c r="KWV55" s="257"/>
      <c r="KWW55" s="240"/>
      <c r="KWZ55" s="49"/>
      <c r="KXA55" s="240"/>
      <c r="KXB55" s="240"/>
      <c r="KXC55" s="240"/>
      <c r="KXD55" s="257"/>
      <c r="KXE55" s="240"/>
      <c r="KXF55" s="257"/>
      <c r="KXG55" s="240"/>
      <c r="KXJ55" s="49"/>
      <c r="KXK55" s="240"/>
      <c r="KXL55" s="240"/>
      <c r="KXM55" s="240"/>
      <c r="KXN55" s="257"/>
      <c r="KXO55" s="240"/>
      <c r="KXP55" s="257"/>
      <c r="KXQ55" s="240"/>
      <c r="KXT55" s="49"/>
      <c r="KXU55" s="240"/>
      <c r="KXV55" s="240"/>
      <c r="KXW55" s="240"/>
      <c r="KXX55" s="257"/>
      <c r="KXY55" s="240"/>
      <c r="KXZ55" s="257"/>
      <c r="KYA55" s="240"/>
      <c r="KYD55" s="49"/>
      <c r="KYE55" s="240"/>
      <c r="KYF55" s="240"/>
      <c r="KYG55" s="240"/>
      <c r="KYH55" s="257"/>
      <c r="KYI55" s="240"/>
      <c r="KYJ55" s="257"/>
      <c r="KYK55" s="240"/>
      <c r="KYN55" s="49"/>
      <c r="KYO55" s="240"/>
      <c r="KYP55" s="240"/>
      <c r="KYQ55" s="240"/>
      <c r="KYR55" s="257"/>
      <c r="KYS55" s="240"/>
      <c r="KYT55" s="257"/>
      <c r="KYU55" s="240"/>
      <c r="KYX55" s="49"/>
      <c r="KYY55" s="240"/>
      <c r="KYZ55" s="240"/>
      <c r="KZA55" s="240"/>
      <c r="KZB55" s="257"/>
      <c r="KZC55" s="240"/>
      <c r="KZD55" s="257"/>
      <c r="KZE55" s="240"/>
      <c r="KZH55" s="49"/>
      <c r="KZI55" s="240"/>
      <c r="KZJ55" s="240"/>
      <c r="KZK55" s="240"/>
      <c r="KZL55" s="257"/>
      <c r="KZM55" s="240"/>
      <c r="KZN55" s="257"/>
      <c r="KZO55" s="240"/>
      <c r="KZR55" s="49"/>
      <c r="KZS55" s="240"/>
      <c r="KZT55" s="240"/>
      <c r="KZU55" s="240"/>
      <c r="KZV55" s="257"/>
      <c r="KZW55" s="240"/>
      <c r="KZX55" s="257"/>
      <c r="KZY55" s="240"/>
      <c r="LAB55" s="49"/>
      <c r="LAC55" s="240"/>
      <c r="LAD55" s="240"/>
      <c r="LAE55" s="240"/>
      <c r="LAF55" s="257"/>
      <c r="LAG55" s="240"/>
      <c r="LAH55" s="257"/>
      <c r="LAI55" s="240"/>
      <c r="LAL55" s="49"/>
      <c r="LAM55" s="240"/>
      <c r="LAN55" s="240"/>
      <c r="LAO55" s="240"/>
      <c r="LAP55" s="257"/>
      <c r="LAQ55" s="240"/>
      <c r="LAR55" s="257"/>
      <c r="LAS55" s="240"/>
      <c r="LAV55" s="49"/>
      <c r="LAW55" s="240"/>
      <c r="LAX55" s="240"/>
      <c r="LAY55" s="240"/>
      <c r="LAZ55" s="257"/>
      <c r="LBA55" s="240"/>
      <c r="LBB55" s="257"/>
      <c r="LBC55" s="240"/>
      <c r="LBF55" s="49"/>
      <c r="LBG55" s="240"/>
      <c r="LBH55" s="240"/>
      <c r="LBI55" s="240"/>
      <c r="LBJ55" s="257"/>
      <c r="LBK55" s="240"/>
      <c r="LBL55" s="257"/>
      <c r="LBM55" s="240"/>
      <c r="LBP55" s="49"/>
      <c r="LBQ55" s="240"/>
      <c r="LBR55" s="240"/>
      <c r="LBS55" s="240"/>
      <c r="LBT55" s="257"/>
      <c r="LBU55" s="240"/>
      <c r="LBV55" s="257"/>
      <c r="LBW55" s="240"/>
      <c r="LBZ55" s="49"/>
      <c r="LCA55" s="240"/>
      <c r="LCB55" s="240"/>
      <c r="LCC55" s="240"/>
      <c r="LCD55" s="257"/>
      <c r="LCE55" s="240"/>
      <c r="LCF55" s="257"/>
      <c r="LCG55" s="240"/>
      <c r="LCJ55" s="49"/>
      <c r="LCK55" s="240"/>
      <c r="LCL55" s="240"/>
      <c r="LCM55" s="240"/>
      <c r="LCN55" s="257"/>
      <c r="LCO55" s="240"/>
      <c r="LCP55" s="257"/>
      <c r="LCQ55" s="240"/>
      <c r="LCT55" s="49"/>
      <c r="LCU55" s="240"/>
      <c r="LCV55" s="240"/>
      <c r="LCW55" s="240"/>
      <c r="LCX55" s="257"/>
      <c r="LCY55" s="240"/>
      <c r="LCZ55" s="257"/>
      <c r="LDA55" s="240"/>
      <c r="LDD55" s="49"/>
      <c r="LDE55" s="240"/>
      <c r="LDF55" s="240"/>
      <c r="LDG55" s="240"/>
      <c r="LDH55" s="257"/>
      <c r="LDI55" s="240"/>
      <c r="LDJ55" s="257"/>
      <c r="LDK55" s="240"/>
      <c r="LDN55" s="49"/>
      <c r="LDO55" s="240"/>
      <c r="LDP55" s="240"/>
      <c r="LDQ55" s="240"/>
      <c r="LDR55" s="257"/>
      <c r="LDS55" s="240"/>
      <c r="LDT55" s="257"/>
      <c r="LDU55" s="240"/>
      <c r="LDX55" s="49"/>
      <c r="LDY55" s="240"/>
      <c r="LDZ55" s="240"/>
      <c r="LEA55" s="240"/>
      <c r="LEB55" s="257"/>
      <c r="LEC55" s="240"/>
      <c r="LED55" s="257"/>
      <c r="LEE55" s="240"/>
      <c r="LEH55" s="49"/>
      <c r="LEI55" s="240"/>
      <c r="LEJ55" s="240"/>
      <c r="LEK55" s="240"/>
      <c r="LEL55" s="257"/>
      <c r="LEM55" s="240"/>
      <c r="LEN55" s="257"/>
      <c r="LEO55" s="240"/>
      <c r="LER55" s="49"/>
      <c r="LES55" s="240"/>
      <c r="LET55" s="240"/>
      <c r="LEU55" s="240"/>
      <c r="LEV55" s="257"/>
      <c r="LEW55" s="240"/>
      <c r="LEX55" s="257"/>
      <c r="LEY55" s="240"/>
      <c r="LFB55" s="49"/>
      <c r="LFC55" s="240"/>
      <c r="LFD55" s="240"/>
      <c r="LFE55" s="240"/>
      <c r="LFF55" s="257"/>
      <c r="LFG55" s="240"/>
      <c r="LFH55" s="257"/>
      <c r="LFI55" s="240"/>
      <c r="LFL55" s="49"/>
      <c r="LFM55" s="240"/>
      <c r="LFN55" s="240"/>
      <c r="LFO55" s="240"/>
      <c r="LFP55" s="257"/>
      <c r="LFQ55" s="240"/>
      <c r="LFR55" s="257"/>
      <c r="LFS55" s="240"/>
      <c r="LFV55" s="49"/>
      <c r="LFW55" s="240"/>
      <c r="LFX55" s="240"/>
      <c r="LFY55" s="240"/>
      <c r="LFZ55" s="257"/>
      <c r="LGA55" s="240"/>
      <c r="LGB55" s="257"/>
      <c r="LGC55" s="240"/>
      <c r="LGF55" s="49"/>
      <c r="LGG55" s="240"/>
      <c r="LGH55" s="240"/>
      <c r="LGI55" s="240"/>
      <c r="LGJ55" s="257"/>
      <c r="LGK55" s="240"/>
      <c r="LGL55" s="257"/>
      <c r="LGM55" s="240"/>
      <c r="LGP55" s="49"/>
      <c r="LGQ55" s="240"/>
      <c r="LGR55" s="240"/>
      <c r="LGS55" s="240"/>
      <c r="LGT55" s="257"/>
      <c r="LGU55" s="240"/>
      <c r="LGV55" s="257"/>
      <c r="LGW55" s="240"/>
      <c r="LGZ55" s="49"/>
      <c r="LHA55" s="240"/>
      <c r="LHB55" s="240"/>
      <c r="LHC55" s="240"/>
      <c r="LHD55" s="257"/>
      <c r="LHE55" s="240"/>
      <c r="LHF55" s="257"/>
      <c r="LHG55" s="240"/>
      <c r="LHJ55" s="49"/>
      <c r="LHK55" s="240"/>
      <c r="LHL55" s="240"/>
      <c r="LHM55" s="240"/>
      <c r="LHN55" s="257"/>
      <c r="LHO55" s="240"/>
      <c r="LHP55" s="257"/>
      <c r="LHQ55" s="240"/>
      <c r="LHT55" s="49"/>
      <c r="LHU55" s="240"/>
      <c r="LHV55" s="240"/>
      <c r="LHW55" s="240"/>
      <c r="LHX55" s="257"/>
      <c r="LHY55" s="240"/>
      <c r="LHZ55" s="257"/>
      <c r="LIA55" s="240"/>
      <c r="LID55" s="49"/>
      <c r="LIE55" s="240"/>
      <c r="LIF55" s="240"/>
      <c r="LIG55" s="240"/>
      <c r="LIH55" s="257"/>
      <c r="LII55" s="240"/>
      <c r="LIJ55" s="257"/>
      <c r="LIK55" s="240"/>
      <c r="LIN55" s="49"/>
      <c r="LIO55" s="240"/>
      <c r="LIP55" s="240"/>
      <c r="LIQ55" s="240"/>
      <c r="LIR55" s="257"/>
      <c r="LIS55" s="240"/>
      <c r="LIT55" s="257"/>
      <c r="LIU55" s="240"/>
      <c r="LIX55" s="49"/>
      <c r="LIY55" s="240"/>
      <c r="LIZ55" s="240"/>
      <c r="LJA55" s="240"/>
      <c r="LJB55" s="257"/>
      <c r="LJC55" s="240"/>
      <c r="LJD55" s="257"/>
      <c r="LJE55" s="240"/>
      <c r="LJH55" s="49"/>
      <c r="LJI55" s="240"/>
      <c r="LJJ55" s="240"/>
      <c r="LJK55" s="240"/>
      <c r="LJL55" s="257"/>
      <c r="LJM55" s="240"/>
      <c r="LJN55" s="257"/>
      <c r="LJO55" s="240"/>
      <c r="LJR55" s="49"/>
      <c r="LJS55" s="240"/>
      <c r="LJT55" s="240"/>
      <c r="LJU55" s="240"/>
      <c r="LJV55" s="257"/>
      <c r="LJW55" s="240"/>
      <c r="LJX55" s="257"/>
      <c r="LJY55" s="240"/>
      <c r="LKB55" s="49"/>
      <c r="LKC55" s="240"/>
      <c r="LKD55" s="240"/>
      <c r="LKE55" s="240"/>
      <c r="LKF55" s="257"/>
      <c r="LKG55" s="240"/>
      <c r="LKH55" s="257"/>
      <c r="LKI55" s="240"/>
      <c r="LKL55" s="49"/>
      <c r="LKM55" s="240"/>
      <c r="LKN55" s="240"/>
      <c r="LKO55" s="240"/>
      <c r="LKP55" s="257"/>
      <c r="LKQ55" s="240"/>
      <c r="LKR55" s="257"/>
      <c r="LKS55" s="240"/>
      <c r="LKV55" s="49"/>
      <c r="LKW55" s="240"/>
      <c r="LKX55" s="240"/>
      <c r="LKY55" s="240"/>
      <c r="LKZ55" s="257"/>
      <c r="LLA55" s="240"/>
      <c r="LLB55" s="257"/>
      <c r="LLC55" s="240"/>
      <c r="LLF55" s="49"/>
      <c r="LLG55" s="240"/>
      <c r="LLH55" s="240"/>
      <c r="LLI55" s="240"/>
      <c r="LLJ55" s="257"/>
      <c r="LLK55" s="240"/>
      <c r="LLL55" s="257"/>
      <c r="LLM55" s="240"/>
      <c r="LLP55" s="49"/>
      <c r="LLQ55" s="240"/>
      <c r="LLR55" s="240"/>
      <c r="LLS55" s="240"/>
      <c r="LLT55" s="257"/>
      <c r="LLU55" s="240"/>
      <c r="LLV55" s="257"/>
      <c r="LLW55" s="240"/>
      <c r="LLZ55" s="49"/>
      <c r="LMA55" s="240"/>
      <c r="LMB55" s="240"/>
      <c r="LMC55" s="240"/>
      <c r="LMD55" s="257"/>
      <c r="LME55" s="240"/>
      <c r="LMF55" s="257"/>
      <c r="LMG55" s="240"/>
      <c r="LMJ55" s="49"/>
      <c r="LMK55" s="240"/>
      <c r="LML55" s="240"/>
      <c r="LMM55" s="240"/>
      <c r="LMN55" s="257"/>
      <c r="LMO55" s="240"/>
      <c r="LMP55" s="257"/>
      <c r="LMQ55" s="240"/>
      <c r="LMT55" s="49"/>
      <c r="LMU55" s="240"/>
      <c r="LMV55" s="240"/>
      <c r="LMW55" s="240"/>
      <c r="LMX55" s="257"/>
      <c r="LMY55" s="240"/>
      <c r="LMZ55" s="257"/>
      <c r="LNA55" s="240"/>
      <c r="LND55" s="49"/>
      <c r="LNE55" s="240"/>
      <c r="LNF55" s="240"/>
      <c r="LNG55" s="240"/>
      <c r="LNH55" s="257"/>
      <c r="LNI55" s="240"/>
      <c r="LNJ55" s="257"/>
      <c r="LNK55" s="240"/>
      <c r="LNN55" s="49"/>
      <c r="LNO55" s="240"/>
      <c r="LNP55" s="240"/>
      <c r="LNQ55" s="240"/>
      <c r="LNR55" s="257"/>
      <c r="LNS55" s="240"/>
      <c r="LNT55" s="257"/>
      <c r="LNU55" s="240"/>
      <c r="LNX55" s="49"/>
      <c r="LNY55" s="240"/>
      <c r="LNZ55" s="240"/>
      <c r="LOA55" s="240"/>
      <c r="LOB55" s="257"/>
      <c r="LOC55" s="240"/>
      <c r="LOD55" s="257"/>
      <c r="LOE55" s="240"/>
      <c r="LOH55" s="49"/>
      <c r="LOI55" s="240"/>
      <c r="LOJ55" s="240"/>
      <c r="LOK55" s="240"/>
      <c r="LOL55" s="257"/>
      <c r="LOM55" s="240"/>
      <c r="LON55" s="257"/>
      <c r="LOO55" s="240"/>
      <c r="LOR55" s="49"/>
      <c r="LOS55" s="240"/>
      <c r="LOT55" s="240"/>
      <c r="LOU55" s="240"/>
      <c r="LOV55" s="257"/>
      <c r="LOW55" s="240"/>
      <c r="LOX55" s="257"/>
      <c r="LOY55" s="240"/>
      <c r="LPB55" s="49"/>
      <c r="LPC55" s="240"/>
      <c r="LPD55" s="240"/>
      <c r="LPE55" s="240"/>
      <c r="LPF55" s="257"/>
      <c r="LPG55" s="240"/>
      <c r="LPH55" s="257"/>
      <c r="LPI55" s="240"/>
      <c r="LPL55" s="49"/>
      <c r="LPM55" s="240"/>
      <c r="LPN55" s="240"/>
      <c r="LPO55" s="240"/>
      <c r="LPP55" s="257"/>
      <c r="LPQ55" s="240"/>
      <c r="LPR55" s="257"/>
      <c r="LPS55" s="240"/>
      <c r="LPV55" s="49"/>
      <c r="LPW55" s="240"/>
      <c r="LPX55" s="240"/>
      <c r="LPY55" s="240"/>
      <c r="LPZ55" s="257"/>
      <c r="LQA55" s="240"/>
      <c r="LQB55" s="257"/>
      <c r="LQC55" s="240"/>
      <c r="LQF55" s="49"/>
      <c r="LQG55" s="240"/>
      <c r="LQH55" s="240"/>
      <c r="LQI55" s="240"/>
      <c r="LQJ55" s="257"/>
      <c r="LQK55" s="240"/>
      <c r="LQL55" s="257"/>
      <c r="LQM55" s="240"/>
      <c r="LQP55" s="49"/>
      <c r="LQQ55" s="240"/>
      <c r="LQR55" s="240"/>
      <c r="LQS55" s="240"/>
      <c r="LQT55" s="257"/>
      <c r="LQU55" s="240"/>
      <c r="LQV55" s="257"/>
      <c r="LQW55" s="240"/>
      <c r="LQZ55" s="49"/>
      <c r="LRA55" s="240"/>
      <c r="LRB55" s="240"/>
      <c r="LRC55" s="240"/>
      <c r="LRD55" s="257"/>
      <c r="LRE55" s="240"/>
      <c r="LRF55" s="257"/>
      <c r="LRG55" s="240"/>
      <c r="LRJ55" s="49"/>
      <c r="LRK55" s="240"/>
      <c r="LRL55" s="240"/>
      <c r="LRM55" s="240"/>
      <c r="LRN55" s="257"/>
      <c r="LRO55" s="240"/>
      <c r="LRP55" s="257"/>
      <c r="LRQ55" s="240"/>
      <c r="LRT55" s="49"/>
      <c r="LRU55" s="240"/>
      <c r="LRV55" s="240"/>
      <c r="LRW55" s="240"/>
      <c r="LRX55" s="257"/>
      <c r="LRY55" s="240"/>
      <c r="LRZ55" s="257"/>
      <c r="LSA55" s="240"/>
      <c r="LSD55" s="49"/>
      <c r="LSE55" s="240"/>
      <c r="LSF55" s="240"/>
      <c r="LSG55" s="240"/>
      <c r="LSH55" s="257"/>
      <c r="LSI55" s="240"/>
      <c r="LSJ55" s="257"/>
      <c r="LSK55" s="240"/>
      <c r="LSN55" s="49"/>
      <c r="LSO55" s="240"/>
      <c r="LSP55" s="240"/>
      <c r="LSQ55" s="240"/>
      <c r="LSR55" s="257"/>
      <c r="LSS55" s="240"/>
      <c r="LST55" s="257"/>
      <c r="LSU55" s="240"/>
      <c r="LSX55" s="49"/>
      <c r="LSY55" s="240"/>
      <c r="LSZ55" s="240"/>
      <c r="LTA55" s="240"/>
      <c r="LTB55" s="257"/>
      <c r="LTC55" s="240"/>
      <c r="LTD55" s="257"/>
      <c r="LTE55" s="240"/>
      <c r="LTH55" s="49"/>
      <c r="LTI55" s="240"/>
      <c r="LTJ55" s="240"/>
      <c r="LTK55" s="240"/>
      <c r="LTL55" s="257"/>
      <c r="LTM55" s="240"/>
      <c r="LTN55" s="257"/>
      <c r="LTO55" s="240"/>
      <c r="LTR55" s="49"/>
      <c r="LTS55" s="240"/>
      <c r="LTT55" s="240"/>
      <c r="LTU55" s="240"/>
      <c r="LTV55" s="257"/>
      <c r="LTW55" s="240"/>
      <c r="LTX55" s="257"/>
      <c r="LTY55" s="240"/>
      <c r="LUB55" s="49"/>
      <c r="LUC55" s="240"/>
      <c r="LUD55" s="240"/>
      <c r="LUE55" s="240"/>
      <c r="LUF55" s="257"/>
      <c r="LUG55" s="240"/>
      <c r="LUH55" s="257"/>
      <c r="LUI55" s="240"/>
      <c r="LUL55" s="49"/>
      <c r="LUM55" s="240"/>
      <c r="LUN55" s="240"/>
      <c r="LUO55" s="240"/>
      <c r="LUP55" s="257"/>
      <c r="LUQ55" s="240"/>
      <c r="LUR55" s="257"/>
      <c r="LUS55" s="240"/>
      <c r="LUV55" s="49"/>
      <c r="LUW55" s="240"/>
      <c r="LUX55" s="240"/>
      <c r="LUY55" s="240"/>
      <c r="LUZ55" s="257"/>
      <c r="LVA55" s="240"/>
      <c r="LVB55" s="257"/>
      <c r="LVC55" s="240"/>
      <c r="LVF55" s="49"/>
      <c r="LVG55" s="240"/>
      <c r="LVH55" s="240"/>
      <c r="LVI55" s="240"/>
      <c r="LVJ55" s="257"/>
      <c r="LVK55" s="240"/>
      <c r="LVL55" s="257"/>
      <c r="LVM55" s="240"/>
      <c r="LVP55" s="49"/>
      <c r="LVQ55" s="240"/>
      <c r="LVR55" s="240"/>
      <c r="LVS55" s="240"/>
      <c r="LVT55" s="257"/>
      <c r="LVU55" s="240"/>
      <c r="LVV55" s="257"/>
      <c r="LVW55" s="240"/>
      <c r="LVZ55" s="49"/>
      <c r="LWA55" s="240"/>
      <c r="LWB55" s="240"/>
      <c r="LWC55" s="240"/>
      <c r="LWD55" s="257"/>
      <c r="LWE55" s="240"/>
      <c r="LWF55" s="257"/>
      <c r="LWG55" s="240"/>
      <c r="LWJ55" s="49"/>
      <c r="LWK55" s="240"/>
      <c r="LWL55" s="240"/>
      <c r="LWM55" s="240"/>
      <c r="LWN55" s="257"/>
      <c r="LWO55" s="240"/>
      <c r="LWP55" s="257"/>
      <c r="LWQ55" s="240"/>
      <c r="LWT55" s="49"/>
      <c r="LWU55" s="240"/>
      <c r="LWV55" s="240"/>
      <c r="LWW55" s="240"/>
      <c r="LWX55" s="257"/>
      <c r="LWY55" s="240"/>
      <c r="LWZ55" s="257"/>
      <c r="LXA55" s="240"/>
      <c r="LXD55" s="49"/>
      <c r="LXE55" s="240"/>
      <c r="LXF55" s="240"/>
      <c r="LXG55" s="240"/>
      <c r="LXH55" s="257"/>
      <c r="LXI55" s="240"/>
      <c r="LXJ55" s="257"/>
      <c r="LXK55" s="240"/>
      <c r="LXN55" s="49"/>
      <c r="LXO55" s="240"/>
      <c r="LXP55" s="240"/>
      <c r="LXQ55" s="240"/>
      <c r="LXR55" s="257"/>
      <c r="LXS55" s="240"/>
      <c r="LXT55" s="257"/>
      <c r="LXU55" s="240"/>
      <c r="LXX55" s="49"/>
      <c r="LXY55" s="240"/>
      <c r="LXZ55" s="240"/>
      <c r="LYA55" s="240"/>
      <c r="LYB55" s="257"/>
      <c r="LYC55" s="240"/>
      <c r="LYD55" s="257"/>
      <c r="LYE55" s="240"/>
      <c r="LYH55" s="49"/>
      <c r="LYI55" s="240"/>
      <c r="LYJ55" s="240"/>
      <c r="LYK55" s="240"/>
      <c r="LYL55" s="257"/>
      <c r="LYM55" s="240"/>
      <c r="LYN55" s="257"/>
      <c r="LYO55" s="240"/>
      <c r="LYR55" s="49"/>
      <c r="LYS55" s="240"/>
      <c r="LYT55" s="240"/>
      <c r="LYU55" s="240"/>
      <c r="LYV55" s="257"/>
      <c r="LYW55" s="240"/>
      <c r="LYX55" s="257"/>
      <c r="LYY55" s="240"/>
      <c r="LZB55" s="49"/>
      <c r="LZC55" s="240"/>
      <c r="LZD55" s="240"/>
      <c r="LZE55" s="240"/>
      <c r="LZF55" s="257"/>
      <c r="LZG55" s="240"/>
      <c r="LZH55" s="257"/>
      <c r="LZI55" s="240"/>
      <c r="LZL55" s="49"/>
      <c r="LZM55" s="240"/>
      <c r="LZN55" s="240"/>
      <c r="LZO55" s="240"/>
      <c r="LZP55" s="257"/>
      <c r="LZQ55" s="240"/>
      <c r="LZR55" s="257"/>
      <c r="LZS55" s="240"/>
      <c r="LZV55" s="49"/>
      <c r="LZW55" s="240"/>
      <c r="LZX55" s="240"/>
      <c r="LZY55" s="240"/>
      <c r="LZZ55" s="257"/>
      <c r="MAA55" s="240"/>
      <c r="MAB55" s="257"/>
      <c r="MAC55" s="240"/>
      <c r="MAF55" s="49"/>
      <c r="MAG55" s="240"/>
      <c r="MAH55" s="240"/>
      <c r="MAI55" s="240"/>
      <c r="MAJ55" s="257"/>
      <c r="MAK55" s="240"/>
      <c r="MAL55" s="257"/>
      <c r="MAM55" s="240"/>
      <c r="MAP55" s="49"/>
      <c r="MAQ55" s="240"/>
      <c r="MAR55" s="240"/>
      <c r="MAS55" s="240"/>
      <c r="MAT55" s="257"/>
      <c r="MAU55" s="240"/>
      <c r="MAV55" s="257"/>
      <c r="MAW55" s="240"/>
      <c r="MAZ55" s="49"/>
      <c r="MBA55" s="240"/>
      <c r="MBB55" s="240"/>
      <c r="MBC55" s="240"/>
      <c r="MBD55" s="257"/>
      <c r="MBE55" s="240"/>
      <c r="MBF55" s="257"/>
      <c r="MBG55" s="240"/>
      <c r="MBJ55" s="49"/>
      <c r="MBK55" s="240"/>
      <c r="MBL55" s="240"/>
      <c r="MBM55" s="240"/>
      <c r="MBN55" s="257"/>
      <c r="MBO55" s="240"/>
      <c r="MBP55" s="257"/>
      <c r="MBQ55" s="240"/>
      <c r="MBT55" s="49"/>
      <c r="MBU55" s="240"/>
      <c r="MBV55" s="240"/>
      <c r="MBW55" s="240"/>
      <c r="MBX55" s="257"/>
      <c r="MBY55" s="240"/>
      <c r="MBZ55" s="257"/>
      <c r="MCA55" s="240"/>
      <c r="MCD55" s="49"/>
      <c r="MCE55" s="240"/>
      <c r="MCF55" s="240"/>
      <c r="MCG55" s="240"/>
      <c r="MCH55" s="257"/>
      <c r="MCI55" s="240"/>
      <c r="MCJ55" s="257"/>
      <c r="MCK55" s="240"/>
      <c r="MCN55" s="49"/>
      <c r="MCO55" s="240"/>
      <c r="MCP55" s="240"/>
      <c r="MCQ55" s="240"/>
      <c r="MCR55" s="257"/>
      <c r="MCS55" s="240"/>
      <c r="MCT55" s="257"/>
      <c r="MCU55" s="240"/>
      <c r="MCX55" s="49"/>
      <c r="MCY55" s="240"/>
      <c r="MCZ55" s="240"/>
      <c r="MDA55" s="240"/>
      <c r="MDB55" s="257"/>
      <c r="MDC55" s="240"/>
      <c r="MDD55" s="257"/>
      <c r="MDE55" s="240"/>
      <c r="MDH55" s="49"/>
      <c r="MDI55" s="240"/>
      <c r="MDJ55" s="240"/>
      <c r="MDK55" s="240"/>
      <c r="MDL55" s="257"/>
      <c r="MDM55" s="240"/>
      <c r="MDN55" s="257"/>
      <c r="MDO55" s="240"/>
      <c r="MDR55" s="49"/>
      <c r="MDS55" s="240"/>
      <c r="MDT55" s="240"/>
      <c r="MDU55" s="240"/>
      <c r="MDV55" s="257"/>
      <c r="MDW55" s="240"/>
      <c r="MDX55" s="257"/>
      <c r="MDY55" s="240"/>
      <c r="MEB55" s="49"/>
      <c r="MEC55" s="240"/>
      <c r="MED55" s="240"/>
      <c r="MEE55" s="240"/>
      <c r="MEF55" s="257"/>
      <c r="MEG55" s="240"/>
      <c r="MEH55" s="257"/>
      <c r="MEI55" s="240"/>
      <c r="MEL55" s="49"/>
      <c r="MEM55" s="240"/>
      <c r="MEN55" s="240"/>
      <c r="MEO55" s="240"/>
      <c r="MEP55" s="257"/>
      <c r="MEQ55" s="240"/>
      <c r="MER55" s="257"/>
      <c r="MES55" s="240"/>
      <c r="MEV55" s="49"/>
      <c r="MEW55" s="240"/>
      <c r="MEX55" s="240"/>
      <c r="MEY55" s="240"/>
      <c r="MEZ55" s="257"/>
      <c r="MFA55" s="240"/>
      <c r="MFB55" s="257"/>
      <c r="MFC55" s="240"/>
      <c r="MFF55" s="49"/>
      <c r="MFG55" s="240"/>
      <c r="MFH55" s="240"/>
      <c r="MFI55" s="240"/>
      <c r="MFJ55" s="257"/>
      <c r="MFK55" s="240"/>
      <c r="MFL55" s="257"/>
      <c r="MFM55" s="240"/>
      <c r="MFP55" s="49"/>
      <c r="MFQ55" s="240"/>
      <c r="MFR55" s="240"/>
      <c r="MFS55" s="240"/>
      <c r="MFT55" s="257"/>
      <c r="MFU55" s="240"/>
      <c r="MFV55" s="257"/>
      <c r="MFW55" s="240"/>
      <c r="MFZ55" s="49"/>
      <c r="MGA55" s="240"/>
      <c r="MGB55" s="240"/>
      <c r="MGC55" s="240"/>
      <c r="MGD55" s="257"/>
      <c r="MGE55" s="240"/>
      <c r="MGF55" s="257"/>
      <c r="MGG55" s="240"/>
      <c r="MGJ55" s="49"/>
      <c r="MGK55" s="240"/>
      <c r="MGL55" s="240"/>
      <c r="MGM55" s="240"/>
      <c r="MGN55" s="257"/>
      <c r="MGO55" s="240"/>
      <c r="MGP55" s="257"/>
      <c r="MGQ55" s="240"/>
      <c r="MGT55" s="49"/>
      <c r="MGU55" s="240"/>
      <c r="MGV55" s="240"/>
      <c r="MGW55" s="240"/>
      <c r="MGX55" s="257"/>
      <c r="MGY55" s="240"/>
      <c r="MGZ55" s="257"/>
      <c r="MHA55" s="240"/>
      <c r="MHD55" s="49"/>
      <c r="MHE55" s="240"/>
      <c r="MHF55" s="240"/>
      <c r="MHG55" s="240"/>
      <c r="MHH55" s="257"/>
      <c r="MHI55" s="240"/>
      <c r="MHJ55" s="257"/>
      <c r="MHK55" s="240"/>
      <c r="MHN55" s="49"/>
      <c r="MHO55" s="240"/>
      <c r="MHP55" s="240"/>
      <c r="MHQ55" s="240"/>
      <c r="MHR55" s="257"/>
      <c r="MHS55" s="240"/>
      <c r="MHT55" s="257"/>
      <c r="MHU55" s="240"/>
      <c r="MHX55" s="49"/>
      <c r="MHY55" s="240"/>
      <c r="MHZ55" s="240"/>
      <c r="MIA55" s="240"/>
      <c r="MIB55" s="257"/>
      <c r="MIC55" s="240"/>
      <c r="MID55" s="257"/>
      <c r="MIE55" s="240"/>
      <c r="MIH55" s="49"/>
      <c r="MII55" s="240"/>
      <c r="MIJ55" s="240"/>
      <c r="MIK55" s="240"/>
      <c r="MIL55" s="257"/>
      <c r="MIM55" s="240"/>
      <c r="MIN55" s="257"/>
      <c r="MIO55" s="240"/>
      <c r="MIR55" s="49"/>
      <c r="MIS55" s="240"/>
      <c r="MIT55" s="240"/>
      <c r="MIU55" s="240"/>
      <c r="MIV55" s="257"/>
      <c r="MIW55" s="240"/>
      <c r="MIX55" s="257"/>
      <c r="MIY55" s="240"/>
      <c r="MJB55" s="49"/>
      <c r="MJC55" s="240"/>
      <c r="MJD55" s="240"/>
      <c r="MJE55" s="240"/>
      <c r="MJF55" s="257"/>
      <c r="MJG55" s="240"/>
      <c r="MJH55" s="257"/>
      <c r="MJI55" s="240"/>
      <c r="MJL55" s="49"/>
      <c r="MJM55" s="240"/>
      <c r="MJN55" s="240"/>
      <c r="MJO55" s="240"/>
      <c r="MJP55" s="257"/>
      <c r="MJQ55" s="240"/>
      <c r="MJR55" s="257"/>
      <c r="MJS55" s="240"/>
      <c r="MJV55" s="49"/>
      <c r="MJW55" s="240"/>
      <c r="MJX55" s="240"/>
      <c r="MJY55" s="240"/>
      <c r="MJZ55" s="257"/>
      <c r="MKA55" s="240"/>
      <c r="MKB55" s="257"/>
      <c r="MKC55" s="240"/>
      <c r="MKF55" s="49"/>
      <c r="MKG55" s="240"/>
      <c r="MKH55" s="240"/>
      <c r="MKI55" s="240"/>
      <c r="MKJ55" s="257"/>
      <c r="MKK55" s="240"/>
      <c r="MKL55" s="257"/>
      <c r="MKM55" s="240"/>
      <c r="MKP55" s="49"/>
      <c r="MKQ55" s="240"/>
      <c r="MKR55" s="240"/>
      <c r="MKS55" s="240"/>
      <c r="MKT55" s="257"/>
      <c r="MKU55" s="240"/>
      <c r="MKV55" s="257"/>
      <c r="MKW55" s="240"/>
      <c r="MKZ55" s="49"/>
      <c r="MLA55" s="240"/>
      <c r="MLB55" s="240"/>
      <c r="MLC55" s="240"/>
      <c r="MLD55" s="257"/>
      <c r="MLE55" s="240"/>
      <c r="MLF55" s="257"/>
      <c r="MLG55" s="240"/>
      <c r="MLJ55" s="49"/>
      <c r="MLK55" s="240"/>
      <c r="MLL55" s="240"/>
      <c r="MLM55" s="240"/>
      <c r="MLN55" s="257"/>
      <c r="MLO55" s="240"/>
      <c r="MLP55" s="257"/>
      <c r="MLQ55" s="240"/>
      <c r="MLT55" s="49"/>
      <c r="MLU55" s="240"/>
      <c r="MLV55" s="240"/>
      <c r="MLW55" s="240"/>
      <c r="MLX55" s="257"/>
      <c r="MLY55" s="240"/>
      <c r="MLZ55" s="257"/>
      <c r="MMA55" s="240"/>
      <c r="MMD55" s="49"/>
      <c r="MME55" s="240"/>
      <c r="MMF55" s="240"/>
      <c r="MMG55" s="240"/>
      <c r="MMH55" s="257"/>
      <c r="MMI55" s="240"/>
      <c r="MMJ55" s="257"/>
      <c r="MMK55" s="240"/>
      <c r="MMN55" s="49"/>
      <c r="MMO55" s="240"/>
      <c r="MMP55" s="240"/>
      <c r="MMQ55" s="240"/>
      <c r="MMR55" s="257"/>
      <c r="MMS55" s="240"/>
      <c r="MMT55" s="257"/>
      <c r="MMU55" s="240"/>
      <c r="MMX55" s="49"/>
      <c r="MMY55" s="240"/>
      <c r="MMZ55" s="240"/>
      <c r="MNA55" s="240"/>
      <c r="MNB55" s="257"/>
      <c r="MNC55" s="240"/>
      <c r="MND55" s="257"/>
      <c r="MNE55" s="240"/>
      <c r="MNH55" s="49"/>
      <c r="MNI55" s="240"/>
      <c r="MNJ55" s="240"/>
      <c r="MNK55" s="240"/>
      <c r="MNL55" s="257"/>
      <c r="MNM55" s="240"/>
      <c r="MNN55" s="257"/>
      <c r="MNO55" s="240"/>
      <c r="MNR55" s="49"/>
      <c r="MNS55" s="240"/>
      <c r="MNT55" s="240"/>
      <c r="MNU55" s="240"/>
      <c r="MNV55" s="257"/>
      <c r="MNW55" s="240"/>
      <c r="MNX55" s="257"/>
      <c r="MNY55" s="240"/>
      <c r="MOB55" s="49"/>
      <c r="MOC55" s="240"/>
      <c r="MOD55" s="240"/>
      <c r="MOE55" s="240"/>
      <c r="MOF55" s="257"/>
      <c r="MOG55" s="240"/>
      <c r="MOH55" s="257"/>
      <c r="MOI55" s="240"/>
      <c r="MOL55" s="49"/>
      <c r="MOM55" s="240"/>
      <c r="MON55" s="240"/>
      <c r="MOO55" s="240"/>
      <c r="MOP55" s="257"/>
      <c r="MOQ55" s="240"/>
      <c r="MOR55" s="257"/>
      <c r="MOS55" s="240"/>
      <c r="MOV55" s="49"/>
      <c r="MOW55" s="240"/>
      <c r="MOX55" s="240"/>
      <c r="MOY55" s="240"/>
      <c r="MOZ55" s="257"/>
      <c r="MPA55" s="240"/>
      <c r="MPB55" s="257"/>
      <c r="MPC55" s="240"/>
      <c r="MPF55" s="49"/>
      <c r="MPG55" s="240"/>
      <c r="MPH55" s="240"/>
      <c r="MPI55" s="240"/>
      <c r="MPJ55" s="257"/>
      <c r="MPK55" s="240"/>
      <c r="MPL55" s="257"/>
      <c r="MPM55" s="240"/>
      <c r="MPP55" s="49"/>
      <c r="MPQ55" s="240"/>
      <c r="MPR55" s="240"/>
      <c r="MPS55" s="240"/>
      <c r="MPT55" s="257"/>
      <c r="MPU55" s="240"/>
      <c r="MPV55" s="257"/>
      <c r="MPW55" s="240"/>
      <c r="MPZ55" s="49"/>
      <c r="MQA55" s="240"/>
      <c r="MQB55" s="240"/>
      <c r="MQC55" s="240"/>
      <c r="MQD55" s="257"/>
      <c r="MQE55" s="240"/>
      <c r="MQF55" s="257"/>
      <c r="MQG55" s="240"/>
      <c r="MQJ55" s="49"/>
      <c r="MQK55" s="240"/>
      <c r="MQL55" s="240"/>
      <c r="MQM55" s="240"/>
      <c r="MQN55" s="257"/>
      <c r="MQO55" s="240"/>
      <c r="MQP55" s="257"/>
      <c r="MQQ55" s="240"/>
      <c r="MQT55" s="49"/>
      <c r="MQU55" s="240"/>
      <c r="MQV55" s="240"/>
      <c r="MQW55" s="240"/>
      <c r="MQX55" s="257"/>
      <c r="MQY55" s="240"/>
      <c r="MQZ55" s="257"/>
      <c r="MRA55" s="240"/>
      <c r="MRD55" s="49"/>
      <c r="MRE55" s="240"/>
      <c r="MRF55" s="240"/>
      <c r="MRG55" s="240"/>
      <c r="MRH55" s="257"/>
      <c r="MRI55" s="240"/>
      <c r="MRJ55" s="257"/>
      <c r="MRK55" s="240"/>
      <c r="MRN55" s="49"/>
      <c r="MRO55" s="240"/>
      <c r="MRP55" s="240"/>
      <c r="MRQ55" s="240"/>
      <c r="MRR55" s="257"/>
      <c r="MRS55" s="240"/>
      <c r="MRT55" s="257"/>
      <c r="MRU55" s="240"/>
      <c r="MRX55" s="49"/>
      <c r="MRY55" s="240"/>
      <c r="MRZ55" s="240"/>
      <c r="MSA55" s="240"/>
      <c r="MSB55" s="257"/>
      <c r="MSC55" s="240"/>
      <c r="MSD55" s="257"/>
      <c r="MSE55" s="240"/>
      <c r="MSH55" s="49"/>
      <c r="MSI55" s="240"/>
      <c r="MSJ55" s="240"/>
      <c r="MSK55" s="240"/>
      <c r="MSL55" s="257"/>
      <c r="MSM55" s="240"/>
      <c r="MSN55" s="257"/>
      <c r="MSO55" s="240"/>
      <c r="MSR55" s="49"/>
      <c r="MSS55" s="240"/>
      <c r="MST55" s="240"/>
      <c r="MSU55" s="240"/>
      <c r="MSV55" s="257"/>
      <c r="MSW55" s="240"/>
      <c r="MSX55" s="257"/>
      <c r="MSY55" s="240"/>
      <c r="MTB55" s="49"/>
      <c r="MTC55" s="240"/>
      <c r="MTD55" s="240"/>
      <c r="MTE55" s="240"/>
      <c r="MTF55" s="257"/>
      <c r="MTG55" s="240"/>
      <c r="MTH55" s="257"/>
      <c r="MTI55" s="240"/>
      <c r="MTL55" s="49"/>
      <c r="MTM55" s="240"/>
      <c r="MTN55" s="240"/>
      <c r="MTO55" s="240"/>
      <c r="MTP55" s="257"/>
      <c r="MTQ55" s="240"/>
      <c r="MTR55" s="257"/>
      <c r="MTS55" s="240"/>
      <c r="MTV55" s="49"/>
      <c r="MTW55" s="240"/>
      <c r="MTX55" s="240"/>
      <c r="MTY55" s="240"/>
      <c r="MTZ55" s="257"/>
      <c r="MUA55" s="240"/>
      <c r="MUB55" s="257"/>
      <c r="MUC55" s="240"/>
      <c r="MUF55" s="49"/>
      <c r="MUG55" s="240"/>
      <c r="MUH55" s="240"/>
      <c r="MUI55" s="240"/>
      <c r="MUJ55" s="257"/>
      <c r="MUK55" s="240"/>
      <c r="MUL55" s="257"/>
      <c r="MUM55" s="240"/>
      <c r="MUP55" s="49"/>
      <c r="MUQ55" s="240"/>
      <c r="MUR55" s="240"/>
      <c r="MUS55" s="240"/>
      <c r="MUT55" s="257"/>
      <c r="MUU55" s="240"/>
      <c r="MUV55" s="257"/>
      <c r="MUW55" s="240"/>
      <c r="MUZ55" s="49"/>
      <c r="MVA55" s="240"/>
      <c r="MVB55" s="240"/>
      <c r="MVC55" s="240"/>
      <c r="MVD55" s="257"/>
      <c r="MVE55" s="240"/>
      <c r="MVF55" s="257"/>
      <c r="MVG55" s="240"/>
      <c r="MVJ55" s="49"/>
      <c r="MVK55" s="240"/>
      <c r="MVL55" s="240"/>
      <c r="MVM55" s="240"/>
      <c r="MVN55" s="257"/>
      <c r="MVO55" s="240"/>
      <c r="MVP55" s="257"/>
      <c r="MVQ55" s="240"/>
      <c r="MVT55" s="49"/>
      <c r="MVU55" s="240"/>
      <c r="MVV55" s="240"/>
      <c r="MVW55" s="240"/>
      <c r="MVX55" s="257"/>
      <c r="MVY55" s="240"/>
      <c r="MVZ55" s="257"/>
      <c r="MWA55" s="240"/>
      <c r="MWD55" s="49"/>
      <c r="MWE55" s="240"/>
      <c r="MWF55" s="240"/>
      <c r="MWG55" s="240"/>
      <c r="MWH55" s="257"/>
      <c r="MWI55" s="240"/>
      <c r="MWJ55" s="257"/>
      <c r="MWK55" s="240"/>
      <c r="MWN55" s="49"/>
      <c r="MWO55" s="240"/>
      <c r="MWP55" s="240"/>
      <c r="MWQ55" s="240"/>
      <c r="MWR55" s="257"/>
      <c r="MWS55" s="240"/>
      <c r="MWT55" s="257"/>
      <c r="MWU55" s="240"/>
      <c r="MWX55" s="49"/>
      <c r="MWY55" s="240"/>
      <c r="MWZ55" s="240"/>
      <c r="MXA55" s="240"/>
      <c r="MXB55" s="257"/>
      <c r="MXC55" s="240"/>
      <c r="MXD55" s="257"/>
      <c r="MXE55" s="240"/>
      <c r="MXH55" s="49"/>
      <c r="MXI55" s="240"/>
      <c r="MXJ55" s="240"/>
      <c r="MXK55" s="240"/>
      <c r="MXL55" s="257"/>
      <c r="MXM55" s="240"/>
      <c r="MXN55" s="257"/>
      <c r="MXO55" s="240"/>
      <c r="MXR55" s="49"/>
      <c r="MXS55" s="240"/>
      <c r="MXT55" s="240"/>
      <c r="MXU55" s="240"/>
      <c r="MXV55" s="257"/>
      <c r="MXW55" s="240"/>
      <c r="MXX55" s="257"/>
      <c r="MXY55" s="240"/>
      <c r="MYB55" s="49"/>
      <c r="MYC55" s="240"/>
      <c r="MYD55" s="240"/>
      <c r="MYE55" s="240"/>
      <c r="MYF55" s="257"/>
      <c r="MYG55" s="240"/>
      <c r="MYH55" s="257"/>
      <c r="MYI55" s="240"/>
      <c r="MYL55" s="49"/>
      <c r="MYM55" s="240"/>
      <c r="MYN55" s="240"/>
      <c r="MYO55" s="240"/>
      <c r="MYP55" s="257"/>
      <c r="MYQ55" s="240"/>
      <c r="MYR55" s="257"/>
      <c r="MYS55" s="240"/>
      <c r="MYV55" s="49"/>
      <c r="MYW55" s="240"/>
      <c r="MYX55" s="240"/>
      <c r="MYY55" s="240"/>
      <c r="MYZ55" s="257"/>
      <c r="MZA55" s="240"/>
      <c r="MZB55" s="257"/>
      <c r="MZC55" s="240"/>
      <c r="MZF55" s="49"/>
      <c r="MZG55" s="240"/>
      <c r="MZH55" s="240"/>
      <c r="MZI55" s="240"/>
      <c r="MZJ55" s="257"/>
      <c r="MZK55" s="240"/>
      <c r="MZL55" s="257"/>
      <c r="MZM55" s="240"/>
      <c r="MZP55" s="49"/>
      <c r="MZQ55" s="240"/>
      <c r="MZR55" s="240"/>
      <c r="MZS55" s="240"/>
      <c r="MZT55" s="257"/>
      <c r="MZU55" s="240"/>
      <c r="MZV55" s="257"/>
      <c r="MZW55" s="240"/>
      <c r="MZZ55" s="49"/>
      <c r="NAA55" s="240"/>
      <c r="NAB55" s="240"/>
      <c r="NAC55" s="240"/>
      <c r="NAD55" s="257"/>
      <c r="NAE55" s="240"/>
      <c r="NAF55" s="257"/>
      <c r="NAG55" s="240"/>
      <c r="NAJ55" s="49"/>
      <c r="NAK55" s="240"/>
      <c r="NAL55" s="240"/>
      <c r="NAM55" s="240"/>
      <c r="NAN55" s="257"/>
      <c r="NAO55" s="240"/>
      <c r="NAP55" s="257"/>
      <c r="NAQ55" s="240"/>
      <c r="NAT55" s="49"/>
      <c r="NAU55" s="240"/>
      <c r="NAV55" s="240"/>
      <c r="NAW55" s="240"/>
      <c r="NAX55" s="257"/>
      <c r="NAY55" s="240"/>
      <c r="NAZ55" s="257"/>
      <c r="NBA55" s="240"/>
      <c r="NBD55" s="49"/>
      <c r="NBE55" s="240"/>
      <c r="NBF55" s="240"/>
      <c r="NBG55" s="240"/>
      <c r="NBH55" s="257"/>
      <c r="NBI55" s="240"/>
      <c r="NBJ55" s="257"/>
      <c r="NBK55" s="240"/>
      <c r="NBN55" s="49"/>
      <c r="NBO55" s="240"/>
      <c r="NBP55" s="240"/>
      <c r="NBQ55" s="240"/>
      <c r="NBR55" s="257"/>
      <c r="NBS55" s="240"/>
      <c r="NBT55" s="257"/>
      <c r="NBU55" s="240"/>
      <c r="NBX55" s="49"/>
      <c r="NBY55" s="240"/>
      <c r="NBZ55" s="240"/>
      <c r="NCA55" s="240"/>
      <c r="NCB55" s="257"/>
      <c r="NCC55" s="240"/>
      <c r="NCD55" s="257"/>
      <c r="NCE55" s="240"/>
      <c r="NCH55" s="49"/>
      <c r="NCI55" s="240"/>
      <c r="NCJ55" s="240"/>
      <c r="NCK55" s="240"/>
      <c r="NCL55" s="257"/>
      <c r="NCM55" s="240"/>
      <c r="NCN55" s="257"/>
      <c r="NCO55" s="240"/>
      <c r="NCR55" s="49"/>
      <c r="NCS55" s="240"/>
      <c r="NCT55" s="240"/>
      <c r="NCU55" s="240"/>
      <c r="NCV55" s="257"/>
      <c r="NCW55" s="240"/>
      <c r="NCX55" s="257"/>
      <c r="NCY55" s="240"/>
      <c r="NDB55" s="49"/>
      <c r="NDC55" s="240"/>
      <c r="NDD55" s="240"/>
      <c r="NDE55" s="240"/>
      <c r="NDF55" s="257"/>
      <c r="NDG55" s="240"/>
      <c r="NDH55" s="257"/>
      <c r="NDI55" s="240"/>
      <c r="NDL55" s="49"/>
      <c r="NDM55" s="240"/>
      <c r="NDN55" s="240"/>
      <c r="NDO55" s="240"/>
      <c r="NDP55" s="257"/>
      <c r="NDQ55" s="240"/>
      <c r="NDR55" s="257"/>
      <c r="NDS55" s="240"/>
      <c r="NDV55" s="49"/>
      <c r="NDW55" s="240"/>
      <c r="NDX55" s="240"/>
      <c r="NDY55" s="240"/>
      <c r="NDZ55" s="257"/>
      <c r="NEA55" s="240"/>
      <c r="NEB55" s="257"/>
      <c r="NEC55" s="240"/>
      <c r="NEF55" s="49"/>
      <c r="NEG55" s="240"/>
      <c r="NEH55" s="240"/>
      <c r="NEI55" s="240"/>
      <c r="NEJ55" s="257"/>
      <c r="NEK55" s="240"/>
      <c r="NEL55" s="257"/>
      <c r="NEM55" s="240"/>
      <c r="NEP55" s="49"/>
      <c r="NEQ55" s="240"/>
      <c r="NER55" s="240"/>
      <c r="NES55" s="240"/>
      <c r="NET55" s="257"/>
      <c r="NEU55" s="240"/>
      <c r="NEV55" s="257"/>
      <c r="NEW55" s="240"/>
      <c r="NEZ55" s="49"/>
      <c r="NFA55" s="240"/>
      <c r="NFB55" s="240"/>
      <c r="NFC55" s="240"/>
      <c r="NFD55" s="257"/>
      <c r="NFE55" s="240"/>
      <c r="NFF55" s="257"/>
      <c r="NFG55" s="240"/>
      <c r="NFJ55" s="49"/>
      <c r="NFK55" s="240"/>
      <c r="NFL55" s="240"/>
      <c r="NFM55" s="240"/>
      <c r="NFN55" s="257"/>
      <c r="NFO55" s="240"/>
      <c r="NFP55" s="257"/>
      <c r="NFQ55" s="240"/>
      <c r="NFT55" s="49"/>
      <c r="NFU55" s="240"/>
      <c r="NFV55" s="240"/>
      <c r="NFW55" s="240"/>
      <c r="NFX55" s="257"/>
      <c r="NFY55" s="240"/>
      <c r="NFZ55" s="257"/>
      <c r="NGA55" s="240"/>
      <c r="NGD55" s="49"/>
      <c r="NGE55" s="240"/>
      <c r="NGF55" s="240"/>
      <c r="NGG55" s="240"/>
      <c r="NGH55" s="257"/>
      <c r="NGI55" s="240"/>
      <c r="NGJ55" s="257"/>
      <c r="NGK55" s="240"/>
      <c r="NGN55" s="49"/>
      <c r="NGO55" s="240"/>
      <c r="NGP55" s="240"/>
      <c r="NGQ55" s="240"/>
      <c r="NGR55" s="257"/>
      <c r="NGS55" s="240"/>
      <c r="NGT55" s="257"/>
      <c r="NGU55" s="240"/>
      <c r="NGX55" s="49"/>
      <c r="NGY55" s="240"/>
      <c r="NGZ55" s="240"/>
      <c r="NHA55" s="240"/>
      <c r="NHB55" s="257"/>
      <c r="NHC55" s="240"/>
      <c r="NHD55" s="257"/>
      <c r="NHE55" s="240"/>
      <c r="NHH55" s="49"/>
      <c r="NHI55" s="240"/>
      <c r="NHJ55" s="240"/>
      <c r="NHK55" s="240"/>
      <c r="NHL55" s="257"/>
      <c r="NHM55" s="240"/>
      <c r="NHN55" s="257"/>
      <c r="NHO55" s="240"/>
      <c r="NHR55" s="49"/>
      <c r="NHS55" s="240"/>
      <c r="NHT55" s="240"/>
      <c r="NHU55" s="240"/>
      <c r="NHV55" s="257"/>
      <c r="NHW55" s="240"/>
      <c r="NHX55" s="257"/>
      <c r="NHY55" s="240"/>
      <c r="NIB55" s="49"/>
      <c r="NIC55" s="240"/>
      <c r="NID55" s="240"/>
      <c r="NIE55" s="240"/>
      <c r="NIF55" s="257"/>
      <c r="NIG55" s="240"/>
      <c r="NIH55" s="257"/>
      <c r="NII55" s="240"/>
      <c r="NIL55" s="49"/>
      <c r="NIM55" s="240"/>
      <c r="NIN55" s="240"/>
      <c r="NIO55" s="240"/>
      <c r="NIP55" s="257"/>
      <c r="NIQ55" s="240"/>
      <c r="NIR55" s="257"/>
      <c r="NIS55" s="240"/>
      <c r="NIV55" s="49"/>
      <c r="NIW55" s="240"/>
      <c r="NIX55" s="240"/>
      <c r="NIY55" s="240"/>
      <c r="NIZ55" s="257"/>
      <c r="NJA55" s="240"/>
      <c r="NJB55" s="257"/>
      <c r="NJC55" s="240"/>
      <c r="NJF55" s="49"/>
      <c r="NJG55" s="240"/>
      <c r="NJH55" s="240"/>
      <c r="NJI55" s="240"/>
      <c r="NJJ55" s="257"/>
      <c r="NJK55" s="240"/>
      <c r="NJL55" s="257"/>
      <c r="NJM55" s="240"/>
      <c r="NJP55" s="49"/>
      <c r="NJQ55" s="240"/>
      <c r="NJR55" s="240"/>
      <c r="NJS55" s="240"/>
      <c r="NJT55" s="257"/>
      <c r="NJU55" s="240"/>
      <c r="NJV55" s="257"/>
      <c r="NJW55" s="240"/>
      <c r="NJZ55" s="49"/>
      <c r="NKA55" s="240"/>
      <c r="NKB55" s="240"/>
      <c r="NKC55" s="240"/>
      <c r="NKD55" s="257"/>
      <c r="NKE55" s="240"/>
      <c r="NKF55" s="257"/>
      <c r="NKG55" s="240"/>
      <c r="NKJ55" s="49"/>
      <c r="NKK55" s="240"/>
      <c r="NKL55" s="240"/>
      <c r="NKM55" s="240"/>
      <c r="NKN55" s="257"/>
      <c r="NKO55" s="240"/>
      <c r="NKP55" s="257"/>
      <c r="NKQ55" s="240"/>
      <c r="NKT55" s="49"/>
      <c r="NKU55" s="240"/>
      <c r="NKV55" s="240"/>
      <c r="NKW55" s="240"/>
      <c r="NKX55" s="257"/>
      <c r="NKY55" s="240"/>
      <c r="NKZ55" s="257"/>
      <c r="NLA55" s="240"/>
      <c r="NLD55" s="49"/>
      <c r="NLE55" s="240"/>
      <c r="NLF55" s="240"/>
      <c r="NLG55" s="240"/>
      <c r="NLH55" s="257"/>
      <c r="NLI55" s="240"/>
      <c r="NLJ55" s="257"/>
      <c r="NLK55" s="240"/>
      <c r="NLN55" s="49"/>
      <c r="NLO55" s="240"/>
      <c r="NLP55" s="240"/>
      <c r="NLQ55" s="240"/>
      <c r="NLR55" s="257"/>
      <c r="NLS55" s="240"/>
      <c r="NLT55" s="257"/>
      <c r="NLU55" s="240"/>
      <c r="NLX55" s="49"/>
      <c r="NLY55" s="240"/>
      <c r="NLZ55" s="240"/>
      <c r="NMA55" s="240"/>
      <c r="NMB55" s="257"/>
      <c r="NMC55" s="240"/>
      <c r="NMD55" s="257"/>
      <c r="NME55" s="240"/>
      <c r="NMH55" s="49"/>
      <c r="NMI55" s="240"/>
      <c r="NMJ55" s="240"/>
      <c r="NMK55" s="240"/>
      <c r="NML55" s="257"/>
      <c r="NMM55" s="240"/>
      <c r="NMN55" s="257"/>
      <c r="NMO55" s="240"/>
      <c r="NMR55" s="49"/>
      <c r="NMS55" s="240"/>
      <c r="NMT55" s="240"/>
      <c r="NMU55" s="240"/>
      <c r="NMV55" s="257"/>
      <c r="NMW55" s="240"/>
      <c r="NMX55" s="257"/>
      <c r="NMY55" s="240"/>
      <c r="NNB55" s="49"/>
      <c r="NNC55" s="240"/>
      <c r="NND55" s="240"/>
      <c r="NNE55" s="240"/>
      <c r="NNF55" s="257"/>
      <c r="NNG55" s="240"/>
      <c r="NNH55" s="257"/>
      <c r="NNI55" s="240"/>
      <c r="NNL55" s="49"/>
      <c r="NNM55" s="240"/>
      <c r="NNN55" s="240"/>
      <c r="NNO55" s="240"/>
      <c r="NNP55" s="257"/>
      <c r="NNQ55" s="240"/>
      <c r="NNR55" s="257"/>
      <c r="NNS55" s="240"/>
      <c r="NNV55" s="49"/>
      <c r="NNW55" s="240"/>
      <c r="NNX55" s="240"/>
      <c r="NNY55" s="240"/>
      <c r="NNZ55" s="257"/>
      <c r="NOA55" s="240"/>
      <c r="NOB55" s="257"/>
      <c r="NOC55" s="240"/>
      <c r="NOF55" s="49"/>
      <c r="NOG55" s="240"/>
      <c r="NOH55" s="240"/>
      <c r="NOI55" s="240"/>
      <c r="NOJ55" s="257"/>
      <c r="NOK55" s="240"/>
      <c r="NOL55" s="257"/>
      <c r="NOM55" s="240"/>
      <c r="NOP55" s="49"/>
      <c r="NOQ55" s="240"/>
      <c r="NOR55" s="240"/>
      <c r="NOS55" s="240"/>
      <c r="NOT55" s="257"/>
      <c r="NOU55" s="240"/>
      <c r="NOV55" s="257"/>
      <c r="NOW55" s="240"/>
      <c r="NOZ55" s="49"/>
      <c r="NPA55" s="240"/>
      <c r="NPB55" s="240"/>
      <c r="NPC55" s="240"/>
      <c r="NPD55" s="257"/>
      <c r="NPE55" s="240"/>
      <c r="NPF55" s="257"/>
      <c r="NPG55" s="240"/>
      <c r="NPJ55" s="49"/>
      <c r="NPK55" s="240"/>
      <c r="NPL55" s="240"/>
      <c r="NPM55" s="240"/>
      <c r="NPN55" s="257"/>
      <c r="NPO55" s="240"/>
      <c r="NPP55" s="257"/>
      <c r="NPQ55" s="240"/>
      <c r="NPT55" s="49"/>
      <c r="NPU55" s="240"/>
      <c r="NPV55" s="240"/>
      <c r="NPW55" s="240"/>
      <c r="NPX55" s="257"/>
      <c r="NPY55" s="240"/>
      <c r="NPZ55" s="257"/>
      <c r="NQA55" s="240"/>
      <c r="NQD55" s="49"/>
      <c r="NQE55" s="240"/>
      <c r="NQF55" s="240"/>
      <c r="NQG55" s="240"/>
      <c r="NQH55" s="257"/>
      <c r="NQI55" s="240"/>
      <c r="NQJ55" s="257"/>
      <c r="NQK55" s="240"/>
      <c r="NQN55" s="49"/>
      <c r="NQO55" s="240"/>
      <c r="NQP55" s="240"/>
      <c r="NQQ55" s="240"/>
      <c r="NQR55" s="257"/>
      <c r="NQS55" s="240"/>
      <c r="NQT55" s="257"/>
      <c r="NQU55" s="240"/>
      <c r="NQX55" s="49"/>
      <c r="NQY55" s="240"/>
      <c r="NQZ55" s="240"/>
      <c r="NRA55" s="240"/>
      <c r="NRB55" s="257"/>
      <c r="NRC55" s="240"/>
      <c r="NRD55" s="257"/>
      <c r="NRE55" s="240"/>
      <c r="NRH55" s="49"/>
      <c r="NRI55" s="240"/>
      <c r="NRJ55" s="240"/>
      <c r="NRK55" s="240"/>
      <c r="NRL55" s="257"/>
      <c r="NRM55" s="240"/>
      <c r="NRN55" s="257"/>
      <c r="NRO55" s="240"/>
      <c r="NRR55" s="49"/>
      <c r="NRS55" s="240"/>
      <c r="NRT55" s="240"/>
      <c r="NRU55" s="240"/>
      <c r="NRV55" s="257"/>
      <c r="NRW55" s="240"/>
      <c r="NRX55" s="257"/>
      <c r="NRY55" s="240"/>
      <c r="NSB55" s="49"/>
      <c r="NSC55" s="240"/>
      <c r="NSD55" s="240"/>
      <c r="NSE55" s="240"/>
      <c r="NSF55" s="257"/>
      <c r="NSG55" s="240"/>
      <c r="NSH55" s="257"/>
      <c r="NSI55" s="240"/>
      <c r="NSL55" s="49"/>
      <c r="NSM55" s="240"/>
      <c r="NSN55" s="240"/>
      <c r="NSO55" s="240"/>
      <c r="NSP55" s="257"/>
      <c r="NSQ55" s="240"/>
      <c r="NSR55" s="257"/>
      <c r="NSS55" s="240"/>
      <c r="NSV55" s="49"/>
      <c r="NSW55" s="240"/>
      <c r="NSX55" s="240"/>
      <c r="NSY55" s="240"/>
      <c r="NSZ55" s="257"/>
      <c r="NTA55" s="240"/>
      <c r="NTB55" s="257"/>
      <c r="NTC55" s="240"/>
      <c r="NTF55" s="49"/>
      <c r="NTG55" s="240"/>
      <c r="NTH55" s="240"/>
      <c r="NTI55" s="240"/>
      <c r="NTJ55" s="257"/>
      <c r="NTK55" s="240"/>
      <c r="NTL55" s="257"/>
      <c r="NTM55" s="240"/>
      <c r="NTP55" s="49"/>
      <c r="NTQ55" s="240"/>
      <c r="NTR55" s="240"/>
      <c r="NTS55" s="240"/>
      <c r="NTT55" s="257"/>
      <c r="NTU55" s="240"/>
      <c r="NTV55" s="257"/>
      <c r="NTW55" s="240"/>
      <c r="NTZ55" s="49"/>
      <c r="NUA55" s="240"/>
      <c r="NUB55" s="240"/>
      <c r="NUC55" s="240"/>
      <c r="NUD55" s="257"/>
      <c r="NUE55" s="240"/>
      <c r="NUF55" s="257"/>
      <c r="NUG55" s="240"/>
      <c r="NUJ55" s="49"/>
      <c r="NUK55" s="240"/>
      <c r="NUL55" s="240"/>
      <c r="NUM55" s="240"/>
      <c r="NUN55" s="257"/>
      <c r="NUO55" s="240"/>
      <c r="NUP55" s="257"/>
      <c r="NUQ55" s="240"/>
      <c r="NUT55" s="49"/>
      <c r="NUU55" s="240"/>
      <c r="NUV55" s="240"/>
      <c r="NUW55" s="240"/>
      <c r="NUX55" s="257"/>
      <c r="NUY55" s="240"/>
      <c r="NUZ55" s="257"/>
      <c r="NVA55" s="240"/>
      <c r="NVD55" s="49"/>
      <c r="NVE55" s="240"/>
      <c r="NVF55" s="240"/>
      <c r="NVG55" s="240"/>
      <c r="NVH55" s="257"/>
      <c r="NVI55" s="240"/>
      <c r="NVJ55" s="257"/>
      <c r="NVK55" s="240"/>
      <c r="NVN55" s="49"/>
      <c r="NVO55" s="240"/>
      <c r="NVP55" s="240"/>
      <c r="NVQ55" s="240"/>
      <c r="NVR55" s="257"/>
      <c r="NVS55" s="240"/>
      <c r="NVT55" s="257"/>
      <c r="NVU55" s="240"/>
      <c r="NVX55" s="49"/>
      <c r="NVY55" s="240"/>
      <c r="NVZ55" s="240"/>
      <c r="NWA55" s="240"/>
      <c r="NWB55" s="257"/>
      <c r="NWC55" s="240"/>
      <c r="NWD55" s="257"/>
      <c r="NWE55" s="240"/>
      <c r="NWH55" s="49"/>
      <c r="NWI55" s="240"/>
      <c r="NWJ55" s="240"/>
      <c r="NWK55" s="240"/>
      <c r="NWL55" s="257"/>
      <c r="NWM55" s="240"/>
      <c r="NWN55" s="257"/>
      <c r="NWO55" s="240"/>
      <c r="NWR55" s="49"/>
      <c r="NWS55" s="240"/>
      <c r="NWT55" s="240"/>
      <c r="NWU55" s="240"/>
      <c r="NWV55" s="257"/>
      <c r="NWW55" s="240"/>
      <c r="NWX55" s="257"/>
      <c r="NWY55" s="240"/>
      <c r="NXB55" s="49"/>
      <c r="NXC55" s="240"/>
      <c r="NXD55" s="240"/>
      <c r="NXE55" s="240"/>
      <c r="NXF55" s="257"/>
      <c r="NXG55" s="240"/>
      <c r="NXH55" s="257"/>
      <c r="NXI55" s="240"/>
      <c r="NXL55" s="49"/>
      <c r="NXM55" s="240"/>
      <c r="NXN55" s="240"/>
      <c r="NXO55" s="240"/>
      <c r="NXP55" s="257"/>
      <c r="NXQ55" s="240"/>
      <c r="NXR55" s="257"/>
      <c r="NXS55" s="240"/>
      <c r="NXV55" s="49"/>
      <c r="NXW55" s="240"/>
      <c r="NXX55" s="240"/>
      <c r="NXY55" s="240"/>
      <c r="NXZ55" s="257"/>
      <c r="NYA55" s="240"/>
      <c r="NYB55" s="257"/>
      <c r="NYC55" s="240"/>
      <c r="NYF55" s="49"/>
      <c r="NYG55" s="240"/>
      <c r="NYH55" s="240"/>
      <c r="NYI55" s="240"/>
      <c r="NYJ55" s="257"/>
      <c r="NYK55" s="240"/>
      <c r="NYL55" s="257"/>
      <c r="NYM55" s="240"/>
      <c r="NYP55" s="49"/>
      <c r="NYQ55" s="240"/>
      <c r="NYR55" s="240"/>
      <c r="NYS55" s="240"/>
      <c r="NYT55" s="257"/>
      <c r="NYU55" s="240"/>
      <c r="NYV55" s="257"/>
      <c r="NYW55" s="240"/>
      <c r="NYZ55" s="49"/>
      <c r="NZA55" s="240"/>
      <c r="NZB55" s="240"/>
      <c r="NZC55" s="240"/>
      <c r="NZD55" s="257"/>
      <c r="NZE55" s="240"/>
      <c r="NZF55" s="257"/>
      <c r="NZG55" s="240"/>
      <c r="NZJ55" s="49"/>
      <c r="NZK55" s="240"/>
      <c r="NZL55" s="240"/>
      <c r="NZM55" s="240"/>
      <c r="NZN55" s="257"/>
      <c r="NZO55" s="240"/>
      <c r="NZP55" s="257"/>
      <c r="NZQ55" s="240"/>
      <c r="NZT55" s="49"/>
      <c r="NZU55" s="240"/>
      <c r="NZV55" s="240"/>
      <c r="NZW55" s="240"/>
      <c r="NZX55" s="257"/>
      <c r="NZY55" s="240"/>
      <c r="NZZ55" s="257"/>
      <c r="OAA55" s="240"/>
      <c r="OAD55" s="49"/>
      <c r="OAE55" s="240"/>
      <c r="OAF55" s="240"/>
      <c r="OAG55" s="240"/>
      <c r="OAH55" s="257"/>
      <c r="OAI55" s="240"/>
      <c r="OAJ55" s="257"/>
      <c r="OAK55" s="240"/>
      <c r="OAN55" s="49"/>
      <c r="OAO55" s="240"/>
      <c r="OAP55" s="240"/>
      <c r="OAQ55" s="240"/>
      <c r="OAR55" s="257"/>
      <c r="OAS55" s="240"/>
      <c r="OAT55" s="257"/>
      <c r="OAU55" s="240"/>
      <c r="OAX55" s="49"/>
      <c r="OAY55" s="240"/>
      <c r="OAZ55" s="240"/>
      <c r="OBA55" s="240"/>
      <c r="OBB55" s="257"/>
      <c r="OBC55" s="240"/>
      <c r="OBD55" s="257"/>
      <c r="OBE55" s="240"/>
      <c r="OBH55" s="49"/>
      <c r="OBI55" s="240"/>
      <c r="OBJ55" s="240"/>
      <c r="OBK55" s="240"/>
      <c r="OBL55" s="257"/>
      <c r="OBM55" s="240"/>
      <c r="OBN55" s="257"/>
      <c r="OBO55" s="240"/>
      <c r="OBR55" s="49"/>
      <c r="OBS55" s="240"/>
      <c r="OBT55" s="240"/>
      <c r="OBU55" s="240"/>
      <c r="OBV55" s="257"/>
      <c r="OBW55" s="240"/>
      <c r="OBX55" s="257"/>
      <c r="OBY55" s="240"/>
      <c r="OCB55" s="49"/>
      <c r="OCC55" s="240"/>
      <c r="OCD55" s="240"/>
      <c r="OCE55" s="240"/>
      <c r="OCF55" s="257"/>
      <c r="OCG55" s="240"/>
      <c r="OCH55" s="257"/>
      <c r="OCI55" s="240"/>
      <c r="OCL55" s="49"/>
      <c r="OCM55" s="240"/>
      <c r="OCN55" s="240"/>
      <c r="OCO55" s="240"/>
      <c r="OCP55" s="257"/>
      <c r="OCQ55" s="240"/>
      <c r="OCR55" s="257"/>
      <c r="OCS55" s="240"/>
      <c r="OCV55" s="49"/>
      <c r="OCW55" s="240"/>
      <c r="OCX55" s="240"/>
      <c r="OCY55" s="240"/>
      <c r="OCZ55" s="257"/>
      <c r="ODA55" s="240"/>
      <c r="ODB55" s="257"/>
      <c r="ODC55" s="240"/>
      <c r="ODF55" s="49"/>
      <c r="ODG55" s="240"/>
      <c r="ODH55" s="240"/>
      <c r="ODI55" s="240"/>
      <c r="ODJ55" s="257"/>
      <c r="ODK55" s="240"/>
      <c r="ODL55" s="257"/>
      <c r="ODM55" s="240"/>
      <c r="ODP55" s="49"/>
      <c r="ODQ55" s="240"/>
      <c r="ODR55" s="240"/>
      <c r="ODS55" s="240"/>
      <c r="ODT55" s="257"/>
      <c r="ODU55" s="240"/>
      <c r="ODV55" s="257"/>
      <c r="ODW55" s="240"/>
      <c r="ODZ55" s="49"/>
      <c r="OEA55" s="240"/>
      <c r="OEB55" s="240"/>
      <c r="OEC55" s="240"/>
      <c r="OED55" s="257"/>
      <c r="OEE55" s="240"/>
      <c r="OEF55" s="257"/>
      <c r="OEG55" s="240"/>
      <c r="OEJ55" s="49"/>
      <c r="OEK55" s="240"/>
      <c r="OEL55" s="240"/>
      <c r="OEM55" s="240"/>
      <c r="OEN55" s="257"/>
      <c r="OEO55" s="240"/>
      <c r="OEP55" s="257"/>
      <c r="OEQ55" s="240"/>
      <c r="OET55" s="49"/>
      <c r="OEU55" s="240"/>
      <c r="OEV55" s="240"/>
      <c r="OEW55" s="240"/>
      <c r="OEX55" s="257"/>
      <c r="OEY55" s="240"/>
      <c r="OEZ55" s="257"/>
      <c r="OFA55" s="240"/>
      <c r="OFD55" s="49"/>
      <c r="OFE55" s="240"/>
      <c r="OFF55" s="240"/>
      <c r="OFG55" s="240"/>
      <c r="OFH55" s="257"/>
      <c r="OFI55" s="240"/>
      <c r="OFJ55" s="257"/>
      <c r="OFK55" s="240"/>
      <c r="OFN55" s="49"/>
      <c r="OFO55" s="240"/>
      <c r="OFP55" s="240"/>
      <c r="OFQ55" s="240"/>
      <c r="OFR55" s="257"/>
      <c r="OFS55" s="240"/>
      <c r="OFT55" s="257"/>
      <c r="OFU55" s="240"/>
      <c r="OFX55" s="49"/>
      <c r="OFY55" s="240"/>
      <c r="OFZ55" s="240"/>
      <c r="OGA55" s="240"/>
      <c r="OGB55" s="257"/>
      <c r="OGC55" s="240"/>
      <c r="OGD55" s="257"/>
      <c r="OGE55" s="240"/>
      <c r="OGH55" s="49"/>
      <c r="OGI55" s="240"/>
      <c r="OGJ55" s="240"/>
      <c r="OGK55" s="240"/>
      <c r="OGL55" s="257"/>
      <c r="OGM55" s="240"/>
      <c r="OGN55" s="257"/>
      <c r="OGO55" s="240"/>
      <c r="OGR55" s="49"/>
      <c r="OGS55" s="240"/>
      <c r="OGT55" s="240"/>
      <c r="OGU55" s="240"/>
      <c r="OGV55" s="257"/>
      <c r="OGW55" s="240"/>
      <c r="OGX55" s="257"/>
      <c r="OGY55" s="240"/>
      <c r="OHB55" s="49"/>
      <c r="OHC55" s="240"/>
      <c r="OHD55" s="240"/>
      <c r="OHE55" s="240"/>
      <c r="OHF55" s="257"/>
      <c r="OHG55" s="240"/>
      <c r="OHH55" s="257"/>
      <c r="OHI55" s="240"/>
      <c r="OHL55" s="49"/>
      <c r="OHM55" s="240"/>
      <c r="OHN55" s="240"/>
      <c r="OHO55" s="240"/>
      <c r="OHP55" s="257"/>
      <c r="OHQ55" s="240"/>
      <c r="OHR55" s="257"/>
      <c r="OHS55" s="240"/>
      <c r="OHV55" s="49"/>
      <c r="OHW55" s="240"/>
      <c r="OHX55" s="240"/>
      <c r="OHY55" s="240"/>
      <c r="OHZ55" s="257"/>
      <c r="OIA55" s="240"/>
      <c r="OIB55" s="257"/>
      <c r="OIC55" s="240"/>
      <c r="OIF55" s="49"/>
      <c r="OIG55" s="240"/>
      <c r="OIH55" s="240"/>
      <c r="OII55" s="240"/>
      <c r="OIJ55" s="257"/>
      <c r="OIK55" s="240"/>
      <c r="OIL55" s="257"/>
      <c r="OIM55" s="240"/>
      <c r="OIP55" s="49"/>
      <c r="OIQ55" s="240"/>
      <c r="OIR55" s="240"/>
      <c r="OIS55" s="240"/>
      <c r="OIT55" s="257"/>
      <c r="OIU55" s="240"/>
      <c r="OIV55" s="257"/>
      <c r="OIW55" s="240"/>
      <c r="OIZ55" s="49"/>
      <c r="OJA55" s="240"/>
      <c r="OJB55" s="240"/>
      <c r="OJC55" s="240"/>
      <c r="OJD55" s="257"/>
      <c r="OJE55" s="240"/>
      <c r="OJF55" s="257"/>
      <c r="OJG55" s="240"/>
      <c r="OJJ55" s="49"/>
      <c r="OJK55" s="240"/>
      <c r="OJL55" s="240"/>
      <c r="OJM55" s="240"/>
      <c r="OJN55" s="257"/>
      <c r="OJO55" s="240"/>
      <c r="OJP55" s="257"/>
      <c r="OJQ55" s="240"/>
      <c r="OJT55" s="49"/>
      <c r="OJU55" s="240"/>
      <c r="OJV55" s="240"/>
      <c r="OJW55" s="240"/>
      <c r="OJX55" s="257"/>
      <c r="OJY55" s="240"/>
      <c r="OJZ55" s="257"/>
      <c r="OKA55" s="240"/>
      <c r="OKD55" s="49"/>
      <c r="OKE55" s="240"/>
      <c r="OKF55" s="240"/>
      <c r="OKG55" s="240"/>
      <c r="OKH55" s="257"/>
      <c r="OKI55" s="240"/>
      <c r="OKJ55" s="257"/>
      <c r="OKK55" s="240"/>
      <c r="OKN55" s="49"/>
      <c r="OKO55" s="240"/>
      <c r="OKP55" s="240"/>
      <c r="OKQ55" s="240"/>
      <c r="OKR55" s="257"/>
      <c r="OKS55" s="240"/>
      <c r="OKT55" s="257"/>
      <c r="OKU55" s="240"/>
      <c r="OKX55" s="49"/>
      <c r="OKY55" s="240"/>
      <c r="OKZ55" s="240"/>
      <c r="OLA55" s="240"/>
      <c r="OLB55" s="257"/>
      <c r="OLC55" s="240"/>
      <c r="OLD55" s="257"/>
      <c r="OLE55" s="240"/>
      <c r="OLH55" s="49"/>
      <c r="OLI55" s="240"/>
      <c r="OLJ55" s="240"/>
      <c r="OLK55" s="240"/>
      <c r="OLL55" s="257"/>
      <c r="OLM55" s="240"/>
      <c r="OLN55" s="257"/>
      <c r="OLO55" s="240"/>
      <c r="OLR55" s="49"/>
      <c r="OLS55" s="240"/>
      <c r="OLT55" s="240"/>
      <c r="OLU55" s="240"/>
      <c r="OLV55" s="257"/>
      <c r="OLW55" s="240"/>
      <c r="OLX55" s="257"/>
      <c r="OLY55" s="240"/>
      <c r="OMB55" s="49"/>
      <c r="OMC55" s="240"/>
      <c r="OMD55" s="240"/>
      <c r="OME55" s="240"/>
      <c r="OMF55" s="257"/>
      <c r="OMG55" s="240"/>
      <c r="OMH55" s="257"/>
      <c r="OMI55" s="240"/>
      <c r="OML55" s="49"/>
      <c r="OMM55" s="240"/>
      <c r="OMN55" s="240"/>
      <c r="OMO55" s="240"/>
      <c r="OMP55" s="257"/>
      <c r="OMQ55" s="240"/>
      <c r="OMR55" s="257"/>
      <c r="OMS55" s="240"/>
      <c r="OMV55" s="49"/>
      <c r="OMW55" s="240"/>
      <c r="OMX55" s="240"/>
      <c r="OMY55" s="240"/>
      <c r="OMZ55" s="257"/>
      <c r="ONA55" s="240"/>
      <c r="ONB55" s="257"/>
      <c r="ONC55" s="240"/>
      <c r="ONF55" s="49"/>
      <c r="ONG55" s="240"/>
      <c r="ONH55" s="240"/>
      <c r="ONI55" s="240"/>
      <c r="ONJ55" s="257"/>
      <c r="ONK55" s="240"/>
      <c r="ONL55" s="257"/>
      <c r="ONM55" s="240"/>
      <c r="ONP55" s="49"/>
      <c r="ONQ55" s="240"/>
      <c r="ONR55" s="240"/>
      <c r="ONS55" s="240"/>
      <c r="ONT55" s="257"/>
      <c r="ONU55" s="240"/>
      <c r="ONV55" s="257"/>
      <c r="ONW55" s="240"/>
      <c r="ONZ55" s="49"/>
      <c r="OOA55" s="240"/>
      <c r="OOB55" s="240"/>
      <c r="OOC55" s="240"/>
      <c r="OOD55" s="257"/>
      <c r="OOE55" s="240"/>
      <c r="OOF55" s="257"/>
      <c r="OOG55" s="240"/>
      <c r="OOJ55" s="49"/>
      <c r="OOK55" s="240"/>
      <c r="OOL55" s="240"/>
      <c r="OOM55" s="240"/>
      <c r="OON55" s="257"/>
      <c r="OOO55" s="240"/>
      <c r="OOP55" s="257"/>
      <c r="OOQ55" s="240"/>
      <c r="OOT55" s="49"/>
      <c r="OOU55" s="240"/>
      <c r="OOV55" s="240"/>
      <c r="OOW55" s="240"/>
      <c r="OOX55" s="257"/>
      <c r="OOY55" s="240"/>
      <c r="OOZ55" s="257"/>
      <c r="OPA55" s="240"/>
      <c r="OPD55" s="49"/>
      <c r="OPE55" s="240"/>
      <c r="OPF55" s="240"/>
      <c r="OPG55" s="240"/>
      <c r="OPH55" s="257"/>
      <c r="OPI55" s="240"/>
      <c r="OPJ55" s="257"/>
      <c r="OPK55" s="240"/>
      <c r="OPN55" s="49"/>
      <c r="OPO55" s="240"/>
      <c r="OPP55" s="240"/>
      <c r="OPQ55" s="240"/>
      <c r="OPR55" s="257"/>
      <c r="OPS55" s="240"/>
      <c r="OPT55" s="257"/>
      <c r="OPU55" s="240"/>
      <c r="OPX55" s="49"/>
      <c r="OPY55" s="240"/>
      <c r="OPZ55" s="240"/>
      <c r="OQA55" s="240"/>
      <c r="OQB55" s="257"/>
      <c r="OQC55" s="240"/>
      <c r="OQD55" s="257"/>
      <c r="OQE55" s="240"/>
      <c r="OQH55" s="49"/>
      <c r="OQI55" s="240"/>
      <c r="OQJ55" s="240"/>
      <c r="OQK55" s="240"/>
      <c r="OQL55" s="257"/>
      <c r="OQM55" s="240"/>
      <c r="OQN55" s="257"/>
      <c r="OQO55" s="240"/>
      <c r="OQR55" s="49"/>
      <c r="OQS55" s="240"/>
      <c r="OQT55" s="240"/>
      <c r="OQU55" s="240"/>
      <c r="OQV55" s="257"/>
      <c r="OQW55" s="240"/>
      <c r="OQX55" s="257"/>
      <c r="OQY55" s="240"/>
      <c r="ORB55" s="49"/>
      <c r="ORC55" s="240"/>
      <c r="ORD55" s="240"/>
      <c r="ORE55" s="240"/>
      <c r="ORF55" s="257"/>
      <c r="ORG55" s="240"/>
      <c r="ORH55" s="257"/>
      <c r="ORI55" s="240"/>
      <c r="ORL55" s="49"/>
      <c r="ORM55" s="240"/>
      <c r="ORN55" s="240"/>
      <c r="ORO55" s="240"/>
      <c r="ORP55" s="257"/>
      <c r="ORQ55" s="240"/>
      <c r="ORR55" s="257"/>
      <c r="ORS55" s="240"/>
      <c r="ORV55" s="49"/>
      <c r="ORW55" s="240"/>
      <c r="ORX55" s="240"/>
      <c r="ORY55" s="240"/>
      <c r="ORZ55" s="257"/>
      <c r="OSA55" s="240"/>
      <c r="OSB55" s="257"/>
      <c r="OSC55" s="240"/>
      <c r="OSF55" s="49"/>
      <c r="OSG55" s="240"/>
      <c r="OSH55" s="240"/>
      <c r="OSI55" s="240"/>
      <c r="OSJ55" s="257"/>
      <c r="OSK55" s="240"/>
      <c r="OSL55" s="257"/>
      <c r="OSM55" s="240"/>
      <c r="OSP55" s="49"/>
      <c r="OSQ55" s="240"/>
      <c r="OSR55" s="240"/>
      <c r="OSS55" s="240"/>
      <c r="OST55" s="257"/>
      <c r="OSU55" s="240"/>
      <c r="OSV55" s="257"/>
      <c r="OSW55" s="240"/>
      <c r="OSZ55" s="49"/>
      <c r="OTA55" s="240"/>
      <c r="OTB55" s="240"/>
      <c r="OTC55" s="240"/>
      <c r="OTD55" s="257"/>
      <c r="OTE55" s="240"/>
      <c r="OTF55" s="257"/>
      <c r="OTG55" s="240"/>
      <c r="OTJ55" s="49"/>
      <c r="OTK55" s="240"/>
      <c r="OTL55" s="240"/>
      <c r="OTM55" s="240"/>
      <c r="OTN55" s="257"/>
      <c r="OTO55" s="240"/>
      <c r="OTP55" s="257"/>
      <c r="OTQ55" s="240"/>
      <c r="OTT55" s="49"/>
      <c r="OTU55" s="240"/>
      <c r="OTV55" s="240"/>
      <c r="OTW55" s="240"/>
      <c r="OTX55" s="257"/>
      <c r="OTY55" s="240"/>
      <c r="OTZ55" s="257"/>
      <c r="OUA55" s="240"/>
      <c r="OUD55" s="49"/>
      <c r="OUE55" s="240"/>
      <c r="OUF55" s="240"/>
      <c r="OUG55" s="240"/>
      <c r="OUH55" s="257"/>
      <c r="OUI55" s="240"/>
      <c r="OUJ55" s="257"/>
      <c r="OUK55" s="240"/>
      <c r="OUN55" s="49"/>
      <c r="OUO55" s="240"/>
      <c r="OUP55" s="240"/>
      <c r="OUQ55" s="240"/>
      <c r="OUR55" s="257"/>
      <c r="OUS55" s="240"/>
      <c r="OUT55" s="257"/>
      <c r="OUU55" s="240"/>
      <c r="OUX55" s="49"/>
      <c r="OUY55" s="240"/>
      <c r="OUZ55" s="240"/>
      <c r="OVA55" s="240"/>
      <c r="OVB55" s="257"/>
      <c r="OVC55" s="240"/>
      <c r="OVD55" s="257"/>
      <c r="OVE55" s="240"/>
      <c r="OVH55" s="49"/>
      <c r="OVI55" s="240"/>
      <c r="OVJ55" s="240"/>
      <c r="OVK55" s="240"/>
      <c r="OVL55" s="257"/>
      <c r="OVM55" s="240"/>
      <c r="OVN55" s="257"/>
      <c r="OVO55" s="240"/>
      <c r="OVR55" s="49"/>
      <c r="OVS55" s="240"/>
      <c r="OVT55" s="240"/>
      <c r="OVU55" s="240"/>
      <c r="OVV55" s="257"/>
      <c r="OVW55" s="240"/>
      <c r="OVX55" s="257"/>
      <c r="OVY55" s="240"/>
      <c r="OWB55" s="49"/>
      <c r="OWC55" s="240"/>
      <c r="OWD55" s="240"/>
      <c r="OWE55" s="240"/>
      <c r="OWF55" s="257"/>
      <c r="OWG55" s="240"/>
      <c r="OWH55" s="257"/>
      <c r="OWI55" s="240"/>
      <c r="OWL55" s="49"/>
      <c r="OWM55" s="240"/>
      <c r="OWN55" s="240"/>
      <c r="OWO55" s="240"/>
      <c r="OWP55" s="257"/>
      <c r="OWQ55" s="240"/>
      <c r="OWR55" s="257"/>
      <c r="OWS55" s="240"/>
      <c r="OWV55" s="49"/>
      <c r="OWW55" s="240"/>
      <c r="OWX55" s="240"/>
      <c r="OWY55" s="240"/>
      <c r="OWZ55" s="257"/>
      <c r="OXA55" s="240"/>
      <c r="OXB55" s="257"/>
      <c r="OXC55" s="240"/>
      <c r="OXF55" s="49"/>
      <c r="OXG55" s="240"/>
      <c r="OXH55" s="240"/>
      <c r="OXI55" s="240"/>
      <c r="OXJ55" s="257"/>
      <c r="OXK55" s="240"/>
      <c r="OXL55" s="257"/>
      <c r="OXM55" s="240"/>
      <c r="OXP55" s="49"/>
      <c r="OXQ55" s="240"/>
      <c r="OXR55" s="240"/>
      <c r="OXS55" s="240"/>
      <c r="OXT55" s="257"/>
      <c r="OXU55" s="240"/>
      <c r="OXV55" s="257"/>
      <c r="OXW55" s="240"/>
      <c r="OXZ55" s="49"/>
      <c r="OYA55" s="240"/>
      <c r="OYB55" s="240"/>
      <c r="OYC55" s="240"/>
      <c r="OYD55" s="257"/>
      <c r="OYE55" s="240"/>
      <c r="OYF55" s="257"/>
      <c r="OYG55" s="240"/>
      <c r="OYJ55" s="49"/>
      <c r="OYK55" s="240"/>
      <c r="OYL55" s="240"/>
      <c r="OYM55" s="240"/>
      <c r="OYN55" s="257"/>
      <c r="OYO55" s="240"/>
      <c r="OYP55" s="257"/>
      <c r="OYQ55" s="240"/>
      <c r="OYT55" s="49"/>
      <c r="OYU55" s="240"/>
      <c r="OYV55" s="240"/>
      <c r="OYW55" s="240"/>
      <c r="OYX55" s="257"/>
      <c r="OYY55" s="240"/>
      <c r="OYZ55" s="257"/>
      <c r="OZA55" s="240"/>
      <c r="OZD55" s="49"/>
      <c r="OZE55" s="240"/>
      <c r="OZF55" s="240"/>
      <c r="OZG55" s="240"/>
      <c r="OZH55" s="257"/>
      <c r="OZI55" s="240"/>
      <c r="OZJ55" s="257"/>
      <c r="OZK55" s="240"/>
      <c r="OZN55" s="49"/>
      <c r="OZO55" s="240"/>
      <c r="OZP55" s="240"/>
      <c r="OZQ55" s="240"/>
      <c r="OZR55" s="257"/>
      <c r="OZS55" s="240"/>
      <c r="OZT55" s="257"/>
      <c r="OZU55" s="240"/>
      <c r="OZX55" s="49"/>
      <c r="OZY55" s="240"/>
      <c r="OZZ55" s="240"/>
      <c r="PAA55" s="240"/>
      <c r="PAB55" s="257"/>
      <c r="PAC55" s="240"/>
      <c r="PAD55" s="257"/>
      <c r="PAE55" s="240"/>
      <c r="PAH55" s="49"/>
      <c r="PAI55" s="240"/>
      <c r="PAJ55" s="240"/>
      <c r="PAK55" s="240"/>
      <c r="PAL55" s="257"/>
      <c r="PAM55" s="240"/>
      <c r="PAN55" s="257"/>
      <c r="PAO55" s="240"/>
      <c r="PAR55" s="49"/>
      <c r="PAS55" s="240"/>
      <c r="PAT55" s="240"/>
      <c r="PAU55" s="240"/>
      <c r="PAV55" s="257"/>
      <c r="PAW55" s="240"/>
      <c r="PAX55" s="257"/>
      <c r="PAY55" s="240"/>
      <c r="PBB55" s="49"/>
      <c r="PBC55" s="240"/>
      <c r="PBD55" s="240"/>
      <c r="PBE55" s="240"/>
      <c r="PBF55" s="257"/>
      <c r="PBG55" s="240"/>
      <c r="PBH55" s="257"/>
      <c r="PBI55" s="240"/>
      <c r="PBL55" s="49"/>
      <c r="PBM55" s="240"/>
      <c r="PBN55" s="240"/>
      <c r="PBO55" s="240"/>
      <c r="PBP55" s="257"/>
      <c r="PBQ55" s="240"/>
      <c r="PBR55" s="257"/>
      <c r="PBS55" s="240"/>
      <c r="PBV55" s="49"/>
      <c r="PBW55" s="240"/>
      <c r="PBX55" s="240"/>
      <c r="PBY55" s="240"/>
      <c r="PBZ55" s="257"/>
      <c r="PCA55" s="240"/>
      <c r="PCB55" s="257"/>
      <c r="PCC55" s="240"/>
      <c r="PCF55" s="49"/>
      <c r="PCG55" s="240"/>
      <c r="PCH55" s="240"/>
      <c r="PCI55" s="240"/>
      <c r="PCJ55" s="257"/>
      <c r="PCK55" s="240"/>
      <c r="PCL55" s="257"/>
      <c r="PCM55" s="240"/>
      <c r="PCP55" s="49"/>
      <c r="PCQ55" s="240"/>
      <c r="PCR55" s="240"/>
      <c r="PCS55" s="240"/>
      <c r="PCT55" s="257"/>
      <c r="PCU55" s="240"/>
      <c r="PCV55" s="257"/>
      <c r="PCW55" s="240"/>
      <c r="PCZ55" s="49"/>
      <c r="PDA55" s="240"/>
      <c r="PDB55" s="240"/>
      <c r="PDC55" s="240"/>
      <c r="PDD55" s="257"/>
      <c r="PDE55" s="240"/>
      <c r="PDF55" s="257"/>
      <c r="PDG55" s="240"/>
      <c r="PDJ55" s="49"/>
      <c r="PDK55" s="240"/>
      <c r="PDL55" s="240"/>
      <c r="PDM55" s="240"/>
      <c r="PDN55" s="257"/>
      <c r="PDO55" s="240"/>
      <c r="PDP55" s="257"/>
      <c r="PDQ55" s="240"/>
      <c r="PDT55" s="49"/>
      <c r="PDU55" s="240"/>
      <c r="PDV55" s="240"/>
      <c r="PDW55" s="240"/>
      <c r="PDX55" s="257"/>
      <c r="PDY55" s="240"/>
      <c r="PDZ55" s="257"/>
      <c r="PEA55" s="240"/>
      <c r="PED55" s="49"/>
      <c r="PEE55" s="240"/>
      <c r="PEF55" s="240"/>
      <c r="PEG55" s="240"/>
      <c r="PEH55" s="257"/>
      <c r="PEI55" s="240"/>
      <c r="PEJ55" s="257"/>
      <c r="PEK55" s="240"/>
      <c r="PEN55" s="49"/>
      <c r="PEO55" s="240"/>
      <c r="PEP55" s="240"/>
      <c r="PEQ55" s="240"/>
      <c r="PER55" s="257"/>
      <c r="PES55" s="240"/>
      <c r="PET55" s="257"/>
      <c r="PEU55" s="240"/>
      <c r="PEX55" s="49"/>
      <c r="PEY55" s="240"/>
      <c r="PEZ55" s="240"/>
      <c r="PFA55" s="240"/>
      <c r="PFB55" s="257"/>
      <c r="PFC55" s="240"/>
      <c r="PFD55" s="257"/>
      <c r="PFE55" s="240"/>
      <c r="PFH55" s="49"/>
      <c r="PFI55" s="240"/>
      <c r="PFJ55" s="240"/>
      <c r="PFK55" s="240"/>
      <c r="PFL55" s="257"/>
      <c r="PFM55" s="240"/>
      <c r="PFN55" s="257"/>
      <c r="PFO55" s="240"/>
      <c r="PFR55" s="49"/>
      <c r="PFS55" s="240"/>
      <c r="PFT55" s="240"/>
      <c r="PFU55" s="240"/>
      <c r="PFV55" s="257"/>
      <c r="PFW55" s="240"/>
      <c r="PFX55" s="257"/>
      <c r="PFY55" s="240"/>
      <c r="PGB55" s="49"/>
      <c r="PGC55" s="240"/>
      <c r="PGD55" s="240"/>
      <c r="PGE55" s="240"/>
      <c r="PGF55" s="257"/>
      <c r="PGG55" s="240"/>
      <c r="PGH55" s="257"/>
      <c r="PGI55" s="240"/>
      <c r="PGL55" s="49"/>
      <c r="PGM55" s="240"/>
      <c r="PGN55" s="240"/>
      <c r="PGO55" s="240"/>
      <c r="PGP55" s="257"/>
      <c r="PGQ55" s="240"/>
      <c r="PGR55" s="257"/>
      <c r="PGS55" s="240"/>
      <c r="PGV55" s="49"/>
      <c r="PGW55" s="240"/>
      <c r="PGX55" s="240"/>
      <c r="PGY55" s="240"/>
      <c r="PGZ55" s="257"/>
      <c r="PHA55" s="240"/>
      <c r="PHB55" s="257"/>
      <c r="PHC55" s="240"/>
      <c r="PHF55" s="49"/>
      <c r="PHG55" s="240"/>
      <c r="PHH55" s="240"/>
      <c r="PHI55" s="240"/>
      <c r="PHJ55" s="257"/>
      <c r="PHK55" s="240"/>
      <c r="PHL55" s="257"/>
      <c r="PHM55" s="240"/>
      <c r="PHP55" s="49"/>
      <c r="PHQ55" s="240"/>
      <c r="PHR55" s="240"/>
      <c r="PHS55" s="240"/>
      <c r="PHT55" s="257"/>
      <c r="PHU55" s="240"/>
      <c r="PHV55" s="257"/>
      <c r="PHW55" s="240"/>
      <c r="PHZ55" s="49"/>
      <c r="PIA55" s="240"/>
      <c r="PIB55" s="240"/>
      <c r="PIC55" s="240"/>
      <c r="PID55" s="257"/>
      <c r="PIE55" s="240"/>
      <c r="PIF55" s="257"/>
      <c r="PIG55" s="240"/>
      <c r="PIJ55" s="49"/>
      <c r="PIK55" s="240"/>
      <c r="PIL55" s="240"/>
      <c r="PIM55" s="240"/>
      <c r="PIN55" s="257"/>
      <c r="PIO55" s="240"/>
      <c r="PIP55" s="257"/>
      <c r="PIQ55" s="240"/>
      <c r="PIT55" s="49"/>
      <c r="PIU55" s="240"/>
      <c r="PIV55" s="240"/>
      <c r="PIW55" s="240"/>
      <c r="PIX55" s="257"/>
      <c r="PIY55" s="240"/>
      <c r="PIZ55" s="257"/>
      <c r="PJA55" s="240"/>
      <c r="PJD55" s="49"/>
      <c r="PJE55" s="240"/>
      <c r="PJF55" s="240"/>
      <c r="PJG55" s="240"/>
      <c r="PJH55" s="257"/>
      <c r="PJI55" s="240"/>
      <c r="PJJ55" s="257"/>
      <c r="PJK55" s="240"/>
      <c r="PJN55" s="49"/>
      <c r="PJO55" s="240"/>
      <c r="PJP55" s="240"/>
      <c r="PJQ55" s="240"/>
      <c r="PJR55" s="257"/>
      <c r="PJS55" s="240"/>
      <c r="PJT55" s="257"/>
      <c r="PJU55" s="240"/>
      <c r="PJX55" s="49"/>
      <c r="PJY55" s="240"/>
      <c r="PJZ55" s="240"/>
      <c r="PKA55" s="240"/>
      <c r="PKB55" s="257"/>
      <c r="PKC55" s="240"/>
      <c r="PKD55" s="257"/>
      <c r="PKE55" s="240"/>
      <c r="PKH55" s="49"/>
      <c r="PKI55" s="240"/>
      <c r="PKJ55" s="240"/>
      <c r="PKK55" s="240"/>
      <c r="PKL55" s="257"/>
      <c r="PKM55" s="240"/>
      <c r="PKN55" s="257"/>
      <c r="PKO55" s="240"/>
      <c r="PKR55" s="49"/>
      <c r="PKS55" s="240"/>
      <c r="PKT55" s="240"/>
      <c r="PKU55" s="240"/>
      <c r="PKV55" s="257"/>
      <c r="PKW55" s="240"/>
      <c r="PKX55" s="257"/>
      <c r="PKY55" s="240"/>
      <c r="PLB55" s="49"/>
      <c r="PLC55" s="240"/>
      <c r="PLD55" s="240"/>
      <c r="PLE55" s="240"/>
      <c r="PLF55" s="257"/>
      <c r="PLG55" s="240"/>
      <c r="PLH55" s="257"/>
      <c r="PLI55" s="240"/>
      <c r="PLL55" s="49"/>
      <c r="PLM55" s="240"/>
      <c r="PLN55" s="240"/>
      <c r="PLO55" s="240"/>
      <c r="PLP55" s="257"/>
      <c r="PLQ55" s="240"/>
      <c r="PLR55" s="257"/>
      <c r="PLS55" s="240"/>
      <c r="PLV55" s="49"/>
      <c r="PLW55" s="240"/>
      <c r="PLX55" s="240"/>
      <c r="PLY55" s="240"/>
      <c r="PLZ55" s="257"/>
      <c r="PMA55" s="240"/>
      <c r="PMB55" s="257"/>
      <c r="PMC55" s="240"/>
      <c r="PMF55" s="49"/>
      <c r="PMG55" s="240"/>
      <c r="PMH55" s="240"/>
      <c r="PMI55" s="240"/>
      <c r="PMJ55" s="257"/>
      <c r="PMK55" s="240"/>
      <c r="PML55" s="257"/>
      <c r="PMM55" s="240"/>
      <c r="PMP55" s="49"/>
      <c r="PMQ55" s="240"/>
      <c r="PMR55" s="240"/>
      <c r="PMS55" s="240"/>
      <c r="PMT55" s="257"/>
      <c r="PMU55" s="240"/>
      <c r="PMV55" s="257"/>
      <c r="PMW55" s="240"/>
      <c r="PMZ55" s="49"/>
      <c r="PNA55" s="240"/>
      <c r="PNB55" s="240"/>
      <c r="PNC55" s="240"/>
      <c r="PND55" s="257"/>
      <c r="PNE55" s="240"/>
      <c r="PNF55" s="257"/>
      <c r="PNG55" s="240"/>
      <c r="PNJ55" s="49"/>
      <c r="PNK55" s="240"/>
      <c r="PNL55" s="240"/>
      <c r="PNM55" s="240"/>
      <c r="PNN55" s="257"/>
      <c r="PNO55" s="240"/>
      <c r="PNP55" s="257"/>
      <c r="PNQ55" s="240"/>
      <c r="PNT55" s="49"/>
      <c r="PNU55" s="240"/>
      <c r="PNV55" s="240"/>
      <c r="PNW55" s="240"/>
      <c r="PNX55" s="257"/>
      <c r="PNY55" s="240"/>
      <c r="PNZ55" s="257"/>
      <c r="POA55" s="240"/>
      <c r="POD55" s="49"/>
      <c r="POE55" s="240"/>
      <c r="POF55" s="240"/>
      <c r="POG55" s="240"/>
      <c r="POH55" s="257"/>
      <c r="POI55" s="240"/>
      <c r="POJ55" s="257"/>
      <c r="POK55" s="240"/>
      <c r="PON55" s="49"/>
      <c r="POO55" s="240"/>
      <c r="POP55" s="240"/>
      <c r="POQ55" s="240"/>
      <c r="POR55" s="257"/>
      <c r="POS55" s="240"/>
      <c r="POT55" s="257"/>
      <c r="POU55" s="240"/>
      <c r="POX55" s="49"/>
      <c r="POY55" s="240"/>
      <c r="POZ55" s="240"/>
      <c r="PPA55" s="240"/>
      <c r="PPB55" s="257"/>
      <c r="PPC55" s="240"/>
      <c r="PPD55" s="257"/>
      <c r="PPE55" s="240"/>
      <c r="PPH55" s="49"/>
      <c r="PPI55" s="240"/>
      <c r="PPJ55" s="240"/>
      <c r="PPK55" s="240"/>
      <c r="PPL55" s="257"/>
      <c r="PPM55" s="240"/>
      <c r="PPN55" s="257"/>
      <c r="PPO55" s="240"/>
      <c r="PPR55" s="49"/>
      <c r="PPS55" s="240"/>
      <c r="PPT55" s="240"/>
      <c r="PPU55" s="240"/>
      <c r="PPV55" s="257"/>
      <c r="PPW55" s="240"/>
      <c r="PPX55" s="257"/>
      <c r="PPY55" s="240"/>
      <c r="PQB55" s="49"/>
      <c r="PQC55" s="240"/>
      <c r="PQD55" s="240"/>
      <c r="PQE55" s="240"/>
      <c r="PQF55" s="257"/>
      <c r="PQG55" s="240"/>
      <c r="PQH55" s="257"/>
      <c r="PQI55" s="240"/>
      <c r="PQL55" s="49"/>
      <c r="PQM55" s="240"/>
      <c r="PQN55" s="240"/>
      <c r="PQO55" s="240"/>
      <c r="PQP55" s="257"/>
      <c r="PQQ55" s="240"/>
      <c r="PQR55" s="257"/>
      <c r="PQS55" s="240"/>
      <c r="PQV55" s="49"/>
      <c r="PQW55" s="240"/>
      <c r="PQX55" s="240"/>
      <c r="PQY55" s="240"/>
      <c r="PQZ55" s="257"/>
      <c r="PRA55" s="240"/>
      <c r="PRB55" s="257"/>
      <c r="PRC55" s="240"/>
      <c r="PRF55" s="49"/>
      <c r="PRG55" s="240"/>
      <c r="PRH55" s="240"/>
      <c r="PRI55" s="240"/>
      <c r="PRJ55" s="257"/>
      <c r="PRK55" s="240"/>
      <c r="PRL55" s="257"/>
      <c r="PRM55" s="240"/>
      <c r="PRP55" s="49"/>
      <c r="PRQ55" s="240"/>
      <c r="PRR55" s="240"/>
      <c r="PRS55" s="240"/>
      <c r="PRT55" s="257"/>
      <c r="PRU55" s="240"/>
      <c r="PRV55" s="257"/>
      <c r="PRW55" s="240"/>
      <c r="PRZ55" s="49"/>
      <c r="PSA55" s="240"/>
      <c r="PSB55" s="240"/>
      <c r="PSC55" s="240"/>
      <c r="PSD55" s="257"/>
      <c r="PSE55" s="240"/>
      <c r="PSF55" s="257"/>
      <c r="PSG55" s="240"/>
      <c r="PSJ55" s="49"/>
      <c r="PSK55" s="240"/>
      <c r="PSL55" s="240"/>
      <c r="PSM55" s="240"/>
      <c r="PSN55" s="257"/>
      <c r="PSO55" s="240"/>
      <c r="PSP55" s="257"/>
      <c r="PSQ55" s="240"/>
      <c r="PST55" s="49"/>
      <c r="PSU55" s="240"/>
      <c r="PSV55" s="240"/>
      <c r="PSW55" s="240"/>
      <c r="PSX55" s="257"/>
      <c r="PSY55" s="240"/>
      <c r="PSZ55" s="257"/>
      <c r="PTA55" s="240"/>
      <c r="PTD55" s="49"/>
      <c r="PTE55" s="240"/>
      <c r="PTF55" s="240"/>
      <c r="PTG55" s="240"/>
      <c r="PTH55" s="257"/>
      <c r="PTI55" s="240"/>
      <c r="PTJ55" s="257"/>
      <c r="PTK55" s="240"/>
      <c r="PTN55" s="49"/>
      <c r="PTO55" s="240"/>
      <c r="PTP55" s="240"/>
      <c r="PTQ55" s="240"/>
      <c r="PTR55" s="257"/>
      <c r="PTS55" s="240"/>
      <c r="PTT55" s="257"/>
      <c r="PTU55" s="240"/>
      <c r="PTX55" s="49"/>
      <c r="PTY55" s="240"/>
      <c r="PTZ55" s="240"/>
      <c r="PUA55" s="240"/>
      <c r="PUB55" s="257"/>
      <c r="PUC55" s="240"/>
      <c r="PUD55" s="257"/>
      <c r="PUE55" s="240"/>
      <c r="PUH55" s="49"/>
      <c r="PUI55" s="240"/>
      <c r="PUJ55" s="240"/>
      <c r="PUK55" s="240"/>
      <c r="PUL55" s="257"/>
      <c r="PUM55" s="240"/>
      <c r="PUN55" s="257"/>
      <c r="PUO55" s="240"/>
      <c r="PUR55" s="49"/>
      <c r="PUS55" s="240"/>
      <c r="PUT55" s="240"/>
      <c r="PUU55" s="240"/>
      <c r="PUV55" s="257"/>
      <c r="PUW55" s="240"/>
      <c r="PUX55" s="257"/>
      <c r="PUY55" s="240"/>
      <c r="PVB55" s="49"/>
      <c r="PVC55" s="240"/>
      <c r="PVD55" s="240"/>
      <c r="PVE55" s="240"/>
      <c r="PVF55" s="257"/>
      <c r="PVG55" s="240"/>
      <c r="PVH55" s="257"/>
      <c r="PVI55" s="240"/>
      <c r="PVL55" s="49"/>
      <c r="PVM55" s="240"/>
      <c r="PVN55" s="240"/>
      <c r="PVO55" s="240"/>
      <c r="PVP55" s="257"/>
      <c r="PVQ55" s="240"/>
      <c r="PVR55" s="257"/>
      <c r="PVS55" s="240"/>
      <c r="PVV55" s="49"/>
      <c r="PVW55" s="240"/>
      <c r="PVX55" s="240"/>
      <c r="PVY55" s="240"/>
      <c r="PVZ55" s="257"/>
      <c r="PWA55" s="240"/>
      <c r="PWB55" s="257"/>
      <c r="PWC55" s="240"/>
      <c r="PWF55" s="49"/>
      <c r="PWG55" s="240"/>
      <c r="PWH55" s="240"/>
      <c r="PWI55" s="240"/>
      <c r="PWJ55" s="257"/>
      <c r="PWK55" s="240"/>
      <c r="PWL55" s="257"/>
      <c r="PWM55" s="240"/>
      <c r="PWP55" s="49"/>
      <c r="PWQ55" s="240"/>
      <c r="PWR55" s="240"/>
      <c r="PWS55" s="240"/>
      <c r="PWT55" s="257"/>
      <c r="PWU55" s="240"/>
      <c r="PWV55" s="257"/>
      <c r="PWW55" s="240"/>
      <c r="PWZ55" s="49"/>
      <c r="PXA55" s="240"/>
      <c r="PXB55" s="240"/>
      <c r="PXC55" s="240"/>
      <c r="PXD55" s="257"/>
      <c r="PXE55" s="240"/>
      <c r="PXF55" s="257"/>
      <c r="PXG55" s="240"/>
      <c r="PXJ55" s="49"/>
      <c r="PXK55" s="240"/>
      <c r="PXL55" s="240"/>
      <c r="PXM55" s="240"/>
      <c r="PXN55" s="257"/>
      <c r="PXO55" s="240"/>
      <c r="PXP55" s="257"/>
      <c r="PXQ55" s="240"/>
      <c r="PXT55" s="49"/>
      <c r="PXU55" s="240"/>
      <c r="PXV55" s="240"/>
      <c r="PXW55" s="240"/>
      <c r="PXX55" s="257"/>
      <c r="PXY55" s="240"/>
      <c r="PXZ55" s="257"/>
      <c r="PYA55" s="240"/>
      <c r="PYD55" s="49"/>
      <c r="PYE55" s="240"/>
      <c r="PYF55" s="240"/>
      <c r="PYG55" s="240"/>
      <c r="PYH55" s="257"/>
      <c r="PYI55" s="240"/>
      <c r="PYJ55" s="257"/>
      <c r="PYK55" s="240"/>
      <c r="PYN55" s="49"/>
      <c r="PYO55" s="240"/>
      <c r="PYP55" s="240"/>
      <c r="PYQ55" s="240"/>
      <c r="PYR55" s="257"/>
      <c r="PYS55" s="240"/>
      <c r="PYT55" s="257"/>
      <c r="PYU55" s="240"/>
      <c r="PYX55" s="49"/>
      <c r="PYY55" s="240"/>
      <c r="PYZ55" s="240"/>
      <c r="PZA55" s="240"/>
      <c r="PZB55" s="257"/>
      <c r="PZC55" s="240"/>
      <c r="PZD55" s="257"/>
      <c r="PZE55" s="240"/>
      <c r="PZH55" s="49"/>
      <c r="PZI55" s="240"/>
      <c r="PZJ55" s="240"/>
      <c r="PZK55" s="240"/>
      <c r="PZL55" s="257"/>
      <c r="PZM55" s="240"/>
      <c r="PZN55" s="257"/>
      <c r="PZO55" s="240"/>
      <c r="PZR55" s="49"/>
      <c r="PZS55" s="240"/>
      <c r="PZT55" s="240"/>
      <c r="PZU55" s="240"/>
      <c r="PZV55" s="257"/>
      <c r="PZW55" s="240"/>
      <c r="PZX55" s="257"/>
      <c r="PZY55" s="240"/>
      <c r="QAB55" s="49"/>
      <c r="QAC55" s="240"/>
      <c r="QAD55" s="240"/>
      <c r="QAE55" s="240"/>
      <c r="QAF55" s="257"/>
      <c r="QAG55" s="240"/>
      <c r="QAH55" s="257"/>
      <c r="QAI55" s="240"/>
      <c r="QAL55" s="49"/>
      <c r="QAM55" s="240"/>
      <c r="QAN55" s="240"/>
      <c r="QAO55" s="240"/>
      <c r="QAP55" s="257"/>
      <c r="QAQ55" s="240"/>
      <c r="QAR55" s="257"/>
      <c r="QAS55" s="240"/>
      <c r="QAV55" s="49"/>
      <c r="QAW55" s="240"/>
      <c r="QAX55" s="240"/>
      <c r="QAY55" s="240"/>
      <c r="QAZ55" s="257"/>
      <c r="QBA55" s="240"/>
      <c r="QBB55" s="257"/>
      <c r="QBC55" s="240"/>
      <c r="QBF55" s="49"/>
      <c r="QBG55" s="240"/>
      <c r="QBH55" s="240"/>
      <c r="QBI55" s="240"/>
      <c r="QBJ55" s="257"/>
      <c r="QBK55" s="240"/>
      <c r="QBL55" s="257"/>
      <c r="QBM55" s="240"/>
      <c r="QBP55" s="49"/>
      <c r="QBQ55" s="240"/>
      <c r="QBR55" s="240"/>
      <c r="QBS55" s="240"/>
      <c r="QBT55" s="257"/>
      <c r="QBU55" s="240"/>
      <c r="QBV55" s="257"/>
      <c r="QBW55" s="240"/>
      <c r="QBZ55" s="49"/>
      <c r="QCA55" s="240"/>
      <c r="QCB55" s="240"/>
      <c r="QCC55" s="240"/>
      <c r="QCD55" s="257"/>
      <c r="QCE55" s="240"/>
      <c r="QCF55" s="257"/>
      <c r="QCG55" s="240"/>
      <c r="QCJ55" s="49"/>
      <c r="QCK55" s="240"/>
      <c r="QCL55" s="240"/>
      <c r="QCM55" s="240"/>
      <c r="QCN55" s="257"/>
      <c r="QCO55" s="240"/>
      <c r="QCP55" s="257"/>
      <c r="QCQ55" s="240"/>
      <c r="QCT55" s="49"/>
      <c r="QCU55" s="240"/>
      <c r="QCV55" s="240"/>
      <c r="QCW55" s="240"/>
      <c r="QCX55" s="257"/>
      <c r="QCY55" s="240"/>
      <c r="QCZ55" s="257"/>
      <c r="QDA55" s="240"/>
      <c r="QDD55" s="49"/>
      <c r="QDE55" s="240"/>
      <c r="QDF55" s="240"/>
      <c r="QDG55" s="240"/>
      <c r="QDH55" s="257"/>
      <c r="QDI55" s="240"/>
      <c r="QDJ55" s="257"/>
      <c r="QDK55" s="240"/>
      <c r="QDN55" s="49"/>
      <c r="QDO55" s="240"/>
      <c r="QDP55" s="240"/>
      <c r="QDQ55" s="240"/>
      <c r="QDR55" s="257"/>
      <c r="QDS55" s="240"/>
      <c r="QDT55" s="257"/>
      <c r="QDU55" s="240"/>
      <c r="QDX55" s="49"/>
      <c r="QDY55" s="240"/>
      <c r="QDZ55" s="240"/>
      <c r="QEA55" s="240"/>
      <c r="QEB55" s="257"/>
      <c r="QEC55" s="240"/>
      <c r="QED55" s="257"/>
      <c r="QEE55" s="240"/>
      <c r="QEH55" s="49"/>
      <c r="QEI55" s="240"/>
      <c r="QEJ55" s="240"/>
      <c r="QEK55" s="240"/>
      <c r="QEL55" s="257"/>
      <c r="QEM55" s="240"/>
      <c r="QEN55" s="257"/>
      <c r="QEO55" s="240"/>
      <c r="QER55" s="49"/>
      <c r="QES55" s="240"/>
      <c r="QET55" s="240"/>
      <c r="QEU55" s="240"/>
      <c r="QEV55" s="257"/>
      <c r="QEW55" s="240"/>
      <c r="QEX55" s="257"/>
      <c r="QEY55" s="240"/>
      <c r="QFB55" s="49"/>
      <c r="QFC55" s="240"/>
      <c r="QFD55" s="240"/>
      <c r="QFE55" s="240"/>
      <c r="QFF55" s="257"/>
      <c r="QFG55" s="240"/>
      <c r="QFH55" s="257"/>
      <c r="QFI55" s="240"/>
      <c r="QFL55" s="49"/>
      <c r="QFM55" s="240"/>
      <c r="QFN55" s="240"/>
      <c r="QFO55" s="240"/>
      <c r="QFP55" s="257"/>
      <c r="QFQ55" s="240"/>
      <c r="QFR55" s="257"/>
      <c r="QFS55" s="240"/>
      <c r="QFV55" s="49"/>
      <c r="QFW55" s="240"/>
      <c r="QFX55" s="240"/>
      <c r="QFY55" s="240"/>
      <c r="QFZ55" s="257"/>
      <c r="QGA55" s="240"/>
      <c r="QGB55" s="257"/>
      <c r="QGC55" s="240"/>
      <c r="QGF55" s="49"/>
      <c r="QGG55" s="240"/>
      <c r="QGH55" s="240"/>
      <c r="QGI55" s="240"/>
      <c r="QGJ55" s="257"/>
      <c r="QGK55" s="240"/>
      <c r="QGL55" s="257"/>
      <c r="QGM55" s="240"/>
      <c r="QGP55" s="49"/>
      <c r="QGQ55" s="240"/>
      <c r="QGR55" s="240"/>
      <c r="QGS55" s="240"/>
      <c r="QGT55" s="257"/>
      <c r="QGU55" s="240"/>
      <c r="QGV55" s="257"/>
      <c r="QGW55" s="240"/>
      <c r="QGZ55" s="49"/>
      <c r="QHA55" s="240"/>
      <c r="QHB55" s="240"/>
      <c r="QHC55" s="240"/>
      <c r="QHD55" s="257"/>
      <c r="QHE55" s="240"/>
      <c r="QHF55" s="257"/>
      <c r="QHG55" s="240"/>
      <c r="QHJ55" s="49"/>
      <c r="QHK55" s="240"/>
      <c r="QHL55" s="240"/>
      <c r="QHM55" s="240"/>
      <c r="QHN55" s="257"/>
      <c r="QHO55" s="240"/>
      <c r="QHP55" s="257"/>
      <c r="QHQ55" s="240"/>
      <c r="QHT55" s="49"/>
      <c r="QHU55" s="240"/>
      <c r="QHV55" s="240"/>
      <c r="QHW55" s="240"/>
      <c r="QHX55" s="257"/>
      <c r="QHY55" s="240"/>
      <c r="QHZ55" s="257"/>
      <c r="QIA55" s="240"/>
      <c r="QID55" s="49"/>
      <c r="QIE55" s="240"/>
      <c r="QIF55" s="240"/>
      <c r="QIG55" s="240"/>
      <c r="QIH55" s="257"/>
      <c r="QII55" s="240"/>
      <c r="QIJ55" s="257"/>
      <c r="QIK55" s="240"/>
      <c r="QIN55" s="49"/>
      <c r="QIO55" s="240"/>
      <c r="QIP55" s="240"/>
      <c r="QIQ55" s="240"/>
      <c r="QIR55" s="257"/>
      <c r="QIS55" s="240"/>
      <c r="QIT55" s="257"/>
      <c r="QIU55" s="240"/>
      <c r="QIX55" s="49"/>
      <c r="QIY55" s="240"/>
      <c r="QIZ55" s="240"/>
      <c r="QJA55" s="240"/>
      <c r="QJB55" s="257"/>
      <c r="QJC55" s="240"/>
      <c r="QJD55" s="257"/>
      <c r="QJE55" s="240"/>
      <c r="QJH55" s="49"/>
      <c r="QJI55" s="240"/>
      <c r="QJJ55" s="240"/>
      <c r="QJK55" s="240"/>
      <c r="QJL55" s="257"/>
      <c r="QJM55" s="240"/>
      <c r="QJN55" s="257"/>
      <c r="QJO55" s="240"/>
      <c r="QJR55" s="49"/>
      <c r="QJS55" s="240"/>
      <c r="QJT55" s="240"/>
      <c r="QJU55" s="240"/>
      <c r="QJV55" s="257"/>
      <c r="QJW55" s="240"/>
      <c r="QJX55" s="257"/>
      <c r="QJY55" s="240"/>
      <c r="QKB55" s="49"/>
      <c r="QKC55" s="240"/>
      <c r="QKD55" s="240"/>
      <c r="QKE55" s="240"/>
      <c r="QKF55" s="257"/>
      <c r="QKG55" s="240"/>
      <c r="QKH55" s="257"/>
      <c r="QKI55" s="240"/>
      <c r="QKL55" s="49"/>
      <c r="QKM55" s="240"/>
      <c r="QKN55" s="240"/>
      <c r="QKO55" s="240"/>
      <c r="QKP55" s="257"/>
      <c r="QKQ55" s="240"/>
      <c r="QKR55" s="257"/>
      <c r="QKS55" s="240"/>
      <c r="QKV55" s="49"/>
      <c r="QKW55" s="240"/>
      <c r="QKX55" s="240"/>
      <c r="QKY55" s="240"/>
      <c r="QKZ55" s="257"/>
      <c r="QLA55" s="240"/>
      <c r="QLB55" s="257"/>
      <c r="QLC55" s="240"/>
      <c r="QLF55" s="49"/>
      <c r="QLG55" s="240"/>
      <c r="QLH55" s="240"/>
      <c r="QLI55" s="240"/>
      <c r="QLJ55" s="257"/>
      <c r="QLK55" s="240"/>
      <c r="QLL55" s="257"/>
      <c r="QLM55" s="240"/>
      <c r="QLP55" s="49"/>
      <c r="QLQ55" s="240"/>
      <c r="QLR55" s="240"/>
      <c r="QLS55" s="240"/>
      <c r="QLT55" s="257"/>
      <c r="QLU55" s="240"/>
      <c r="QLV55" s="257"/>
      <c r="QLW55" s="240"/>
      <c r="QLZ55" s="49"/>
      <c r="QMA55" s="240"/>
      <c r="QMB55" s="240"/>
      <c r="QMC55" s="240"/>
      <c r="QMD55" s="257"/>
      <c r="QME55" s="240"/>
      <c r="QMF55" s="257"/>
      <c r="QMG55" s="240"/>
      <c r="QMJ55" s="49"/>
      <c r="QMK55" s="240"/>
      <c r="QML55" s="240"/>
      <c r="QMM55" s="240"/>
      <c r="QMN55" s="257"/>
      <c r="QMO55" s="240"/>
      <c r="QMP55" s="257"/>
      <c r="QMQ55" s="240"/>
      <c r="QMT55" s="49"/>
      <c r="QMU55" s="240"/>
      <c r="QMV55" s="240"/>
      <c r="QMW55" s="240"/>
      <c r="QMX55" s="257"/>
      <c r="QMY55" s="240"/>
      <c r="QMZ55" s="257"/>
      <c r="QNA55" s="240"/>
      <c r="QND55" s="49"/>
      <c r="QNE55" s="240"/>
      <c r="QNF55" s="240"/>
      <c r="QNG55" s="240"/>
      <c r="QNH55" s="257"/>
      <c r="QNI55" s="240"/>
      <c r="QNJ55" s="257"/>
      <c r="QNK55" s="240"/>
      <c r="QNN55" s="49"/>
      <c r="QNO55" s="240"/>
      <c r="QNP55" s="240"/>
      <c r="QNQ55" s="240"/>
      <c r="QNR55" s="257"/>
      <c r="QNS55" s="240"/>
      <c r="QNT55" s="257"/>
      <c r="QNU55" s="240"/>
      <c r="QNX55" s="49"/>
      <c r="QNY55" s="240"/>
      <c r="QNZ55" s="240"/>
      <c r="QOA55" s="240"/>
      <c r="QOB55" s="257"/>
      <c r="QOC55" s="240"/>
      <c r="QOD55" s="257"/>
      <c r="QOE55" s="240"/>
      <c r="QOH55" s="49"/>
      <c r="QOI55" s="240"/>
      <c r="QOJ55" s="240"/>
      <c r="QOK55" s="240"/>
      <c r="QOL55" s="257"/>
      <c r="QOM55" s="240"/>
      <c r="QON55" s="257"/>
      <c r="QOO55" s="240"/>
      <c r="QOR55" s="49"/>
      <c r="QOS55" s="240"/>
      <c r="QOT55" s="240"/>
      <c r="QOU55" s="240"/>
      <c r="QOV55" s="257"/>
      <c r="QOW55" s="240"/>
      <c r="QOX55" s="257"/>
      <c r="QOY55" s="240"/>
      <c r="QPB55" s="49"/>
      <c r="QPC55" s="240"/>
      <c r="QPD55" s="240"/>
      <c r="QPE55" s="240"/>
      <c r="QPF55" s="257"/>
      <c r="QPG55" s="240"/>
      <c r="QPH55" s="257"/>
      <c r="QPI55" s="240"/>
      <c r="QPL55" s="49"/>
      <c r="QPM55" s="240"/>
      <c r="QPN55" s="240"/>
      <c r="QPO55" s="240"/>
      <c r="QPP55" s="257"/>
      <c r="QPQ55" s="240"/>
      <c r="QPR55" s="257"/>
      <c r="QPS55" s="240"/>
      <c r="QPV55" s="49"/>
      <c r="QPW55" s="240"/>
      <c r="QPX55" s="240"/>
      <c r="QPY55" s="240"/>
      <c r="QPZ55" s="257"/>
      <c r="QQA55" s="240"/>
      <c r="QQB55" s="257"/>
      <c r="QQC55" s="240"/>
      <c r="QQF55" s="49"/>
      <c r="QQG55" s="240"/>
      <c r="QQH55" s="240"/>
      <c r="QQI55" s="240"/>
      <c r="QQJ55" s="257"/>
      <c r="QQK55" s="240"/>
      <c r="QQL55" s="257"/>
      <c r="QQM55" s="240"/>
      <c r="QQP55" s="49"/>
      <c r="QQQ55" s="240"/>
      <c r="QQR55" s="240"/>
      <c r="QQS55" s="240"/>
      <c r="QQT55" s="257"/>
      <c r="QQU55" s="240"/>
      <c r="QQV55" s="257"/>
      <c r="QQW55" s="240"/>
      <c r="QQZ55" s="49"/>
      <c r="QRA55" s="240"/>
      <c r="QRB55" s="240"/>
      <c r="QRC55" s="240"/>
      <c r="QRD55" s="257"/>
      <c r="QRE55" s="240"/>
      <c r="QRF55" s="257"/>
      <c r="QRG55" s="240"/>
      <c r="QRJ55" s="49"/>
      <c r="QRK55" s="240"/>
      <c r="QRL55" s="240"/>
      <c r="QRM55" s="240"/>
      <c r="QRN55" s="257"/>
      <c r="QRO55" s="240"/>
      <c r="QRP55" s="257"/>
      <c r="QRQ55" s="240"/>
      <c r="QRT55" s="49"/>
      <c r="QRU55" s="240"/>
      <c r="QRV55" s="240"/>
      <c r="QRW55" s="240"/>
      <c r="QRX55" s="257"/>
      <c r="QRY55" s="240"/>
      <c r="QRZ55" s="257"/>
      <c r="QSA55" s="240"/>
      <c r="QSD55" s="49"/>
      <c r="QSE55" s="240"/>
      <c r="QSF55" s="240"/>
      <c r="QSG55" s="240"/>
      <c r="QSH55" s="257"/>
      <c r="QSI55" s="240"/>
      <c r="QSJ55" s="257"/>
      <c r="QSK55" s="240"/>
      <c r="QSN55" s="49"/>
      <c r="QSO55" s="240"/>
      <c r="QSP55" s="240"/>
      <c r="QSQ55" s="240"/>
      <c r="QSR55" s="257"/>
      <c r="QSS55" s="240"/>
      <c r="QST55" s="257"/>
      <c r="QSU55" s="240"/>
      <c r="QSX55" s="49"/>
      <c r="QSY55" s="240"/>
      <c r="QSZ55" s="240"/>
      <c r="QTA55" s="240"/>
      <c r="QTB55" s="257"/>
      <c r="QTC55" s="240"/>
      <c r="QTD55" s="257"/>
      <c r="QTE55" s="240"/>
      <c r="QTH55" s="49"/>
      <c r="QTI55" s="240"/>
      <c r="QTJ55" s="240"/>
      <c r="QTK55" s="240"/>
      <c r="QTL55" s="257"/>
      <c r="QTM55" s="240"/>
      <c r="QTN55" s="257"/>
      <c r="QTO55" s="240"/>
      <c r="QTR55" s="49"/>
      <c r="QTS55" s="240"/>
      <c r="QTT55" s="240"/>
      <c r="QTU55" s="240"/>
      <c r="QTV55" s="257"/>
      <c r="QTW55" s="240"/>
      <c r="QTX55" s="257"/>
      <c r="QTY55" s="240"/>
      <c r="QUB55" s="49"/>
      <c r="QUC55" s="240"/>
      <c r="QUD55" s="240"/>
      <c r="QUE55" s="240"/>
      <c r="QUF55" s="257"/>
      <c r="QUG55" s="240"/>
      <c r="QUH55" s="257"/>
      <c r="QUI55" s="240"/>
      <c r="QUL55" s="49"/>
      <c r="QUM55" s="240"/>
      <c r="QUN55" s="240"/>
      <c r="QUO55" s="240"/>
      <c r="QUP55" s="257"/>
      <c r="QUQ55" s="240"/>
      <c r="QUR55" s="257"/>
      <c r="QUS55" s="240"/>
      <c r="QUV55" s="49"/>
      <c r="QUW55" s="240"/>
      <c r="QUX55" s="240"/>
      <c r="QUY55" s="240"/>
      <c r="QUZ55" s="257"/>
      <c r="QVA55" s="240"/>
      <c r="QVB55" s="257"/>
      <c r="QVC55" s="240"/>
      <c r="QVF55" s="49"/>
      <c r="QVG55" s="240"/>
      <c r="QVH55" s="240"/>
      <c r="QVI55" s="240"/>
      <c r="QVJ55" s="257"/>
      <c r="QVK55" s="240"/>
      <c r="QVL55" s="257"/>
      <c r="QVM55" s="240"/>
      <c r="QVP55" s="49"/>
      <c r="QVQ55" s="240"/>
      <c r="QVR55" s="240"/>
      <c r="QVS55" s="240"/>
      <c r="QVT55" s="257"/>
      <c r="QVU55" s="240"/>
      <c r="QVV55" s="257"/>
      <c r="QVW55" s="240"/>
      <c r="QVZ55" s="49"/>
      <c r="QWA55" s="240"/>
      <c r="QWB55" s="240"/>
      <c r="QWC55" s="240"/>
      <c r="QWD55" s="257"/>
      <c r="QWE55" s="240"/>
      <c r="QWF55" s="257"/>
      <c r="QWG55" s="240"/>
      <c r="QWJ55" s="49"/>
      <c r="QWK55" s="240"/>
      <c r="QWL55" s="240"/>
      <c r="QWM55" s="240"/>
      <c r="QWN55" s="257"/>
      <c r="QWO55" s="240"/>
      <c r="QWP55" s="257"/>
      <c r="QWQ55" s="240"/>
      <c r="QWT55" s="49"/>
      <c r="QWU55" s="240"/>
      <c r="QWV55" s="240"/>
      <c r="QWW55" s="240"/>
      <c r="QWX55" s="257"/>
      <c r="QWY55" s="240"/>
      <c r="QWZ55" s="257"/>
      <c r="QXA55" s="240"/>
      <c r="QXD55" s="49"/>
      <c r="QXE55" s="240"/>
      <c r="QXF55" s="240"/>
      <c r="QXG55" s="240"/>
      <c r="QXH55" s="257"/>
      <c r="QXI55" s="240"/>
      <c r="QXJ55" s="257"/>
      <c r="QXK55" s="240"/>
      <c r="QXN55" s="49"/>
      <c r="QXO55" s="240"/>
      <c r="QXP55" s="240"/>
      <c r="QXQ55" s="240"/>
      <c r="QXR55" s="257"/>
      <c r="QXS55" s="240"/>
      <c r="QXT55" s="257"/>
      <c r="QXU55" s="240"/>
      <c r="QXX55" s="49"/>
      <c r="QXY55" s="240"/>
      <c r="QXZ55" s="240"/>
      <c r="QYA55" s="240"/>
      <c r="QYB55" s="257"/>
      <c r="QYC55" s="240"/>
      <c r="QYD55" s="257"/>
      <c r="QYE55" s="240"/>
      <c r="QYH55" s="49"/>
      <c r="QYI55" s="240"/>
      <c r="QYJ55" s="240"/>
      <c r="QYK55" s="240"/>
      <c r="QYL55" s="257"/>
      <c r="QYM55" s="240"/>
      <c r="QYN55" s="257"/>
      <c r="QYO55" s="240"/>
      <c r="QYR55" s="49"/>
      <c r="QYS55" s="240"/>
      <c r="QYT55" s="240"/>
      <c r="QYU55" s="240"/>
      <c r="QYV55" s="257"/>
      <c r="QYW55" s="240"/>
      <c r="QYX55" s="257"/>
      <c r="QYY55" s="240"/>
      <c r="QZB55" s="49"/>
      <c r="QZC55" s="240"/>
      <c r="QZD55" s="240"/>
      <c r="QZE55" s="240"/>
      <c r="QZF55" s="257"/>
      <c r="QZG55" s="240"/>
      <c r="QZH55" s="257"/>
      <c r="QZI55" s="240"/>
      <c r="QZL55" s="49"/>
      <c r="QZM55" s="240"/>
      <c r="QZN55" s="240"/>
      <c r="QZO55" s="240"/>
      <c r="QZP55" s="257"/>
      <c r="QZQ55" s="240"/>
      <c r="QZR55" s="257"/>
      <c r="QZS55" s="240"/>
      <c r="QZV55" s="49"/>
      <c r="QZW55" s="240"/>
      <c r="QZX55" s="240"/>
      <c r="QZY55" s="240"/>
      <c r="QZZ55" s="257"/>
      <c r="RAA55" s="240"/>
      <c r="RAB55" s="257"/>
      <c r="RAC55" s="240"/>
      <c r="RAF55" s="49"/>
      <c r="RAG55" s="240"/>
      <c r="RAH55" s="240"/>
      <c r="RAI55" s="240"/>
      <c r="RAJ55" s="257"/>
      <c r="RAK55" s="240"/>
      <c r="RAL55" s="257"/>
      <c r="RAM55" s="240"/>
      <c r="RAP55" s="49"/>
      <c r="RAQ55" s="240"/>
      <c r="RAR55" s="240"/>
      <c r="RAS55" s="240"/>
      <c r="RAT55" s="257"/>
      <c r="RAU55" s="240"/>
      <c r="RAV55" s="257"/>
      <c r="RAW55" s="240"/>
      <c r="RAZ55" s="49"/>
      <c r="RBA55" s="240"/>
      <c r="RBB55" s="240"/>
      <c r="RBC55" s="240"/>
      <c r="RBD55" s="257"/>
      <c r="RBE55" s="240"/>
      <c r="RBF55" s="257"/>
      <c r="RBG55" s="240"/>
      <c r="RBJ55" s="49"/>
      <c r="RBK55" s="240"/>
      <c r="RBL55" s="240"/>
      <c r="RBM55" s="240"/>
      <c r="RBN55" s="257"/>
      <c r="RBO55" s="240"/>
      <c r="RBP55" s="257"/>
      <c r="RBQ55" s="240"/>
      <c r="RBT55" s="49"/>
      <c r="RBU55" s="240"/>
      <c r="RBV55" s="240"/>
      <c r="RBW55" s="240"/>
      <c r="RBX55" s="257"/>
      <c r="RBY55" s="240"/>
      <c r="RBZ55" s="257"/>
      <c r="RCA55" s="240"/>
      <c r="RCD55" s="49"/>
      <c r="RCE55" s="240"/>
      <c r="RCF55" s="240"/>
      <c r="RCG55" s="240"/>
      <c r="RCH55" s="257"/>
      <c r="RCI55" s="240"/>
      <c r="RCJ55" s="257"/>
      <c r="RCK55" s="240"/>
      <c r="RCN55" s="49"/>
      <c r="RCO55" s="240"/>
      <c r="RCP55" s="240"/>
      <c r="RCQ55" s="240"/>
      <c r="RCR55" s="257"/>
      <c r="RCS55" s="240"/>
      <c r="RCT55" s="257"/>
      <c r="RCU55" s="240"/>
      <c r="RCX55" s="49"/>
      <c r="RCY55" s="240"/>
      <c r="RCZ55" s="240"/>
      <c r="RDA55" s="240"/>
      <c r="RDB55" s="257"/>
      <c r="RDC55" s="240"/>
      <c r="RDD55" s="257"/>
      <c r="RDE55" s="240"/>
      <c r="RDH55" s="49"/>
      <c r="RDI55" s="240"/>
      <c r="RDJ55" s="240"/>
      <c r="RDK55" s="240"/>
      <c r="RDL55" s="257"/>
      <c r="RDM55" s="240"/>
      <c r="RDN55" s="257"/>
      <c r="RDO55" s="240"/>
      <c r="RDR55" s="49"/>
      <c r="RDS55" s="240"/>
      <c r="RDT55" s="240"/>
      <c r="RDU55" s="240"/>
      <c r="RDV55" s="257"/>
      <c r="RDW55" s="240"/>
      <c r="RDX55" s="257"/>
      <c r="RDY55" s="240"/>
      <c r="REB55" s="49"/>
      <c r="REC55" s="240"/>
      <c r="RED55" s="240"/>
      <c r="REE55" s="240"/>
      <c r="REF55" s="257"/>
      <c r="REG55" s="240"/>
      <c r="REH55" s="257"/>
      <c r="REI55" s="240"/>
      <c r="REL55" s="49"/>
      <c r="REM55" s="240"/>
      <c r="REN55" s="240"/>
      <c r="REO55" s="240"/>
      <c r="REP55" s="257"/>
      <c r="REQ55" s="240"/>
      <c r="RER55" s="257"/>
      <c r="RES55" s="240"/>
      <c r="REV55" s="49"/>
      <c r="REW55" s="240"/>
      <c r="REX55" s="240"/>
      <c r="REY55" s="240"/>
      <c r="REZ55" s="257"/>
      <c r="RFA55" s="240"/>
      <c r="RFB55" s="257"/>
      <c r="RFC55" s="240"/>
      <c r="RFF55" s="49"/>
      <c r="RFG55" s="240"/>
      <c r="RFH55" s="240"/>
      <c r="RFI55" s="240"/>
      <c r="RFJ55" s="257"/>
      <c r="RFK55" s="240"/>
      <c r="RFL55" s="257"/>
      <c r="RFM55" s="240"/>
      <c r="RFP55" s="49"/>
      <c r="RFQ55" s="240"/>
      <c r="RFR55" s="240"/>
      <c r="RFS55" s="240"/>
      <c r="RFT55" s="257"/>
      <c r="RFU55" s="240"/>
      <c r="RFV55" s="257"/>
      <c r="RFW55" s="240"/>
      <c r="RFZ55" s="49"/>
      <c r="RGA55" s="240"/>
      <c r="RGB55" s="240"/>
      <c r="RGC55" s="240"/>
      <c r="RGD55" s="257"/>
      <c r="RGE55" s="240"/>
      <c r="RGF55" s="257"/>
      <c r="RGG55" s="240"/>
      <c r="RGJ55" s="49"/>
      <c r="RGK55" s="240"/>
      <c r="RGL55" s="240"/>
      <c r="RGM55" s="240"/>
      <c r="RGN55" s="257"/>
      <c r="RGO55" s="240"/>
      <c r="RGP55" s="257"/>
      <c r="RGQ55" s="240"/>
      <c r="RGT55" s="49"/>
      <c r="RGU55" s="240"/>
      <c r="RGV55" s="240"/>
      <c r="RGW55" s="240"/>
      <c r="RGX55" s="257"/>
      <c r="RGY55" s="240"/>
      <c r="RGZ55" s="257"/>
      <c r="RHA55" s="240"/>
      <c r="RHD55" s="49"/>
      <c r="RHE55" s="240"/>
      <c r="RHF55" s="240"/>
      <c r="RHG55" s="240"/>
      <c r="RHH55" s="257"/>
      <c r="RHI55" s="240"/>
      <c r="RHJ55" s="257"/>
      <c r="RHK55" s="240"/>
      <c r="RHN55" s="49"/>
      <c r="RHO55" s="240"/>
      <c r="RHP55" s="240"/>
      <c r="RHQ55" s="240"/>
      <c r="RHR55" s="257"/>
      <c r="RHS55" s="240"/>
      <c r="RHT55" s="257"/>
      <c r="RHU55" s="240"/>
      <c r="RHX55" s="49"/>
      <c r="RHY55" s="240"/>
      <c r="RHZ55" s="240"/>
      <c r="RIA55" s="240"/>
      <c r="RIB55" s="257"/>
      <c r="RIC55" s="240"/>
      <c r="RID55" s="257"/>
      <c r="RIE55" s="240"/>
      <c r="RIH55" s="49"/>
      <c r="RII55" s="240"/>
      <c r="RIJ55" s="240"/>
      <c r="RIK55" s="240"/>
      <c r="RIL55" s="257"/>
      <c r="RIM55" s="240"/>
      <c r="RIN55" s="257"/>
      <c r="RIO55" s="240"/>
      <c r="RIR55" s="49"/>
      <c r="RIS55" s="240"/>
      <c r="RIT55" s="240"/>
      <c r="RIU55" s="240"/>
      <c r="RIV55" s="257"/>
      <c r="RIW55" s="240"/>
      <c r="RIX55" s="257"/>
      <c r="RIY55" s="240"/>
      <c r="RJB55" s="49"/>
      <c r="RJC55" s="240"/>
      <c r="RJD55" s="240"/>
      <c r="RJE55" s="240"/>
      <c r="RJF55" s="257"/>
      <c r="RJG55" s="240"/>
      <c r="RJH55" s="257"/>
      <c r="RJI55" s="240"/>
      <c r="RJL55" s="49"/>
      <c r="RJM55" s="240"/>
      <c r="RJN55" s="240"/>
      <c r="RJO55" s="240"/>
      <c r="RJP55" s="257"/>
      <c r="RJQ55" s="240"/>
      <c r="RJR55" s="257"/>
      <c r="RJS55" s="240"/>
      <c r="RJV55" s="49"/>
      <c r="RJW55" s="240"/>
      <c r="RJX55" s="240"/>
      <c r="RJY55" s="240"/>
      <c r="RJZ55" s="257"/>
      <c r="RKA55" s="240"/>
      <c r="RKB55" s="257"/>
      <c r="RKC55" s="240"/>
      <c r="RKF55" s="49"/>
      <c r="RKG55" s="240"/>
      <c r="RKH55" s="240"/>
      <c r="RKI55" s="240"/>
      <c r="RKJ55" s="257"/>
      <c r="RKK55" s="240"/>
      <c r="RKL55" s="257"/>
      <c r="RKM55" s="240"/>
      <c r="RKP55" s="49"/>
      <c r="RKQ55" s="240"/>
      <c r="RKR55" s="240"/>
      <c r="RKS55" s="240"/>
      <c r="RKT55" s="257"/>
      <c r="RKU55" s="240"/>
      <c r="RKV55" s="257"/>
      <c r="RKW55" s="240"/>
      <c r="RKZ55" s="49"/>
      <c r="RLA55" s="240"/>
      <c r="RLB55" s="240"/>
      <c r="RLC55" s="240"/>
      <c r="RLD55" s="257"/>
      <c r="RLE55" s="240"/>
      <c r="RLF55" s="257"/>
      <c r="RLG55" s="240"/>
      <c r="RLJ55" s="49"/>
      <c r="RLK55" s="240"/>
      <c r="RLL55" s="240"/>
      <c r="RLM55" s="240"/>
      <c r="RLN55" s="257"/>
      <c r="RLO55" s="240"/>
      <c r="RLP55" s="257"/>
      <c r="RLQ55" s="240"/>
      <c r="RLT55" s="49"/>
      <c r="RLU55" s="240"/>
      <c r="RLV55" s="240"/>
      <c r="RLW55" s="240"/>
      <c r="RLX55" s="257"/>
      <c r="RLY55" s="240"/>
      <c r="RLZ55" s="257"/>
      <c r="RMA55" s="240"/>
      <c r="RMD55" s="49"/>
      <c r="RME55" s="240"/>
      <c r="RMF55" s="240"/>
      <c r="RMG55" s="240"/>
      <c r="RMH55" s="257"/>
      <c r="RMI55" s="240"/>
      <c r="RMJ55" s="257"/>
      <c r="RMK55" s="240"/>
      <c r="RMN55" s="49"/>
      <c r="RMO55" s="240"/>
      <c r="RMP55" s="240"/>
      <c r="RMQ55" s="240"/>
      <c r="RMR55" s="257"/>
      <c r="RMS55" s="240"/>
      <c r="RMT55" s="257"/>
      <c r="RMU55" s="240"/>
      <c r="RMX55" s="49"/>
      <c r="RMY55" s="240"/>
      <c r="RMZ55" s="240"/>
      <c r="RNA55" s="240"/>
      <c r="RNB55" s="257"/>
      <c r="RNC55" s="240"/>
      <c r="RND55" s="257"/>
      <c r="RNE55" s="240"/>
      <c r="RNH55" s="49"/>
      <c r="RNI55" s="240"/>
      <c r="RNJ55" s="240"/>
      <c r="RNK55" s="240"/>
      <c r="RNL55" s="257"/>
      <c r="RNM55" s="240"/>
      <c r="RNN55" s="257"/>
      <c r="RNO55" s="240"/>
      <c r="RNR55" s="49"/>
      <c r="RNS55" s="240"/>
      <c r="RNT55" s="240"/>
      <c r="RNU55" s="240"/>
      <c r="RNV55" s="257"/>
      <c r="RNW55" s="240"/>
      <c r="RNX55" s="257"/>
      <c r="RNY55" s="240"/>
      <c r="ROB55" s="49"/>
      <c r="ROC55" s="240"/>
      <c r="ROD55" s="240"/>
      <c r="ROE55" s="240"/>
      <c r="ROF55" s="257"/>
      <c r="ROG55" s="240"/>
      <c r="ROH55" s="257"/>
      <c r="ROI55" s="240"/>
      <c r="ROL55" s="49"/>
      <c r="ROM55" s="240"/>
      <c r="RON55" s="240"/>
      <c r="ROO55" s="240"/>
      <c r="ROP55" s="257"/>
      <c r="ROQ55" s="240"/>
      <c r="ROR55" s="257"/>
      <c r="ROS55" s="240"/>
      <c r="ROV55" s="49"/>
      <c r="ROW55" s="240"/>
      <c r="ROX55" s="240"/>
      <c r="ROY55" s="240"/>
      <c r="ROZ55" s="257"/>
      <c r="RPA55" s="240"/>
      <c r="RPB55" s="257"/>
      <c r="RPC55" s="240"/>
      <c r="RPF55" s="49"/>
      <c r="RPG55" s="240"/>
      <c r="RPH55" s="240"/>
      <c r="RPI55" s="240"/>
      <c r="RPJ55" s="257"/>
      <c r="RPK55" s="240"/>
      <c r="RPL55" s="257"/>
      <c r="RPM55" s="240"/>
      <c r="RPP55" s="49"/>
      <c r="RPQ55" s="240"/>
      <c r="RPR55" s="240"/>
      <c r="RPS55" s="240"/>
      <c r="RPT55" s="257"/>
      <c r="RPU55" s="240"/>
      <c r="RPV55" s="257"/>
      <c r="RPW55" s="240"/>
      <c r="RPZ55" s="49"/>
      <c r="RQA55" s="240"/>
      <c r="RQB55" s="240"/>
      <c r="RQC55" s="240"/>
      <c r="RQD55" s="257"/>
      <c r="RQE55" s="240"/>
      <c r="RQF55" s="257"/>
      <c r="RQG55" s="240"/>
      <c r="RQJ55" s="49"/>
      <c r="RQK55" s="240"/>
      <c r="RQL55" s="240"/>
      <c r="RQM55" s="240"/>
      <c r="RQN55" s="257"/>
      <c r="RQO55" s="240"/>
      <c r="RQP55" s="257"/>
      <c r="RQQ55" s="240"/>
      <c r="RQT55" s="49"/>
      <c r="RQU55" s="240"/>
      <c r="RQV55" s="240"/>
      <c r="RQW55" s="240"/>
      <c r="RQX55" s="257"/>
      <c r="RQY55" s="240"/>
      <c r="RQZ55" s="257"/>
      <c r="RRA55" s="240"/>
      <c r="RRD55" s="49"/>
      <c r="RRE55" s="240"/>
      <c r="RRF55" s="240"/>
      <c r="RRG55" s="240"/>
      <c r="RRH55" s="257"/>
      <c r="RRI55" s="240"/>
      <c r="RRJ55" s="257"/>
      <c r="RRK55" s="240"/>
      <c r="RRN55" s="49"/>
      <c r="RRO55" s="240"/>
      <c r="RRP55" s="240"/>
      <c r="RRQ55" s="240"/>
      <c r="RRR55" s="257"/>
      <c r="RRS55" s="240"/>
      <c r="RRT55" s="257"/>
      <c r="RRU55" s="240"/>
      <c r="RRX55" s="49"/>
      <c r="RRY55" s="240"/>
      <c r="RRZ55" s="240"/>
      <c r="RSA55" s="240"/>
      <c r="RSB55" s="257"/>
      <c r="RSC55" s="240"/>
      <c r="RSD55" s="257"/>
      <c r="RSE55" s="240"/>
      <c r="RSH55" s="49"/>
      <c r="RSI55" s="240"/>
      <c r="RSJ55" s="240"/>
      <c r="RSK55" s="240"/>
      <c r="RSL55" s="257"/>
      <c r="RSM55" s="240"/>
      <c r="RSN55" s="257"/>
      <c r="RSO55" s="240"/>
      <c r="RSR55" s="49"/>
      <c r="RSS55" s="240"/>
      <c r="RST55" s="240"/>
      <c r="RSU55" s="240"/>
      <c r="RSV55" s="257"/>
      <c r="RSW55" s="240"/>
      <c r="RSX55" s="257"/>
      <c r="RSY55" s="240"/>
      <c r="RTB55" s="49"/>
      <c r="RTC55" s="240"/>
      <c r="RTD55" s="240"/>
      <c r="RTE55" s="240"/>
      <c r="RTF55" s="257"/>
      <c r="RTG55" s="240"/>
      <c r="RTH55" s="257"/>
      <c r="RTI55" s="240"/>
      <c r="RTL55" s="49"/>
      <c r="RTM55" s="240"/>
      <c r="RTN55" s="240"/>
      <c r="RTO55" s="240"/>
      <c r="RTP55" s="257"/>
      <c r="RTQ55" s="240"/>
      <c r="RTR55" s="257"/>
      <c r="RTS55" s="240"/>
      <c r="RTV55" s="49"/>
      <c r="RTW55" s="240"/>
      <c r="RTX55" s="240"/>
      <c r="RTY55" s="240"/>
      <c r="RTZ55" s="257"/>
      <c r="RUA55" s="240"/>
      <c r="RUB55" s="257"/>
      <c r="RUC55" s="240"/>
      <c r="RUF55" s="49"/>
      <c r="RUG55" s="240"/>
      <c r="RUH55" s="240"/>
      <c r="RUI55" s="240"/>
      <c r="RUJ55" s="257"/>
      <c r="RUK55" s="240"/>
      <c r="RUL55" s="257"/>
      <c r="RUM55" s="240"/>
      <c r="RUP55" s="49"/>
      <c r="RUQ55" s="240"/>
      <c r="RUR55" s="240"/>
      <c r="RUS55" s="240"/>
      <c r="RUT55" s="257"/>
      <c r="RUU55" s="240"/>
      <c r="RUV55" s="257"/>
      <c r="RUW55" s="240"/>
      <c r="RUZ55" s="49"/>
      <c r="RVA55" s="240"/>
      <c r="RVB55" s="240"/>
      <c r="RVC55" s="240"/>
      <c r="RVD55" s="257"/>
      <c r="RVE55" s="240"/>
      <c r="RVF55" s="257"/>
      <c r="RVG55" s="240"/>
      <c r="RVJ55" s="49"/>
      <c r="RVK55" s="240"/>
      <c r="RVL55" s="240"/>
      <c r="RVM55" s="240"/>
      <c r="RVN55" s="257"/>
      <c r="RVO55" s="240"/>
      <c r="RVP55" s="257"/>
      <c r="RVQ55" s="240"/>
      <c r="RVT55" s="49"/>
      <c r="RVU55" s="240"/>
      <c r="RVV55" s="240"/>
      <c r="RVW55" s="240"/>
      <c r="RVX55" s="257"/>
      <c r="RVY55" s="240"/>
      <c r="RVZ55" s="257"/>
      <c r="RWA55" s="240"/>
      <c r="RWD55" s="49"/>
      <c r="RWE55" s="240"/>
      <c r="RWF55" s="240"/>
      <c r="RWG55" s="240"/>
      <c r="RWH55" s="257"/>
      <c r="RWI55" s="240"/>
      <c r="RWJ55" s="257"/>
      <c r="RWK55" s="240"/>
      <c r="RWN55" s="49"/>
      <c r="RWO55" s="240"/>
      <c r="RWP55" s="240"/>
      <c r="RWQ55" s="240"/>
      <c r="RWR55" s="257"/>
      <c r="RWS55" s="240"/>
      <c r="RWT55" s="257"/>
      <c r="RWU55" s="240"/>
      <c r="RWX55" s="49"/>
      <c r="RWY55" s="240"/>
      <c r="RWZ55" s="240"/>
      <c r="RXA55" s="240"/>
      <c r="RXB55" s="257"/>
      <c r="RXC55" s="240"/>
      <c r="RXD55" s="257"/>
      <c r="RXE55" s="240"/>
      <c r="RXH55" s="49"/>
      <c r="RXI55" s="240"/>
      <c r="RXJ55" s="240"/>
      <c r="RXK55" s="240"/>
      <c r="RXL55" s="257"/>
      <c r="RXM55" s="240"/>
      <c r="RXN55" s="257"/>
      <c r="RXO55" s="240"/>
      <c r="RXR55" s="49"/>
      <c r="RXS55" s="240"/>
      <c r="RXT55" s="240"/>
      <c r="RXU55" s="240"/>
      <c r="RXV55" s="257"/>
      <c r="RXW55" s="240"/>
      <c r="RXX55" s="257"/>
      <c r="RXY55" s="240"/>
      <c r="RYB55" s="49"/>
      <c r="RYC55" s="240"/>
      <c r="RYD55" s="240"/>
      <c r="RYE55" s="240"/>
      <c r="RYF55" s="257"/>
      <c r="RYG55" s="240"/>
      <c r="RYH55" s="257"/>
      <c r="RYI55" s="240"/>
      <c r="RYL55" s="49"/>
      <c r="RYM55" s="240"/>
      <c r="RYN55" s="240"/>
      <c r="RYO55" s="240"/>
      <c r="RYP55" s="257"/>
      <c r="RYQ55" s="240"/>
      <c r="RYR55" s="257"/>
      <c r="RYS55" s="240"/>
      <c r="RYV55" s="49"/>
      <c r="RYW55" s="240"/>
      <c r="RYX55" s="240"/>
      <c r="RYY55" s="240"/>
      <c r="RYZ55" s="257"/>
      <c r="RZA55" s="240"/>
      <c r="RZB55" s="257"/>
      <c r="RZC55" s="240"/>
      <c r="RZF55" s="49"/>
      <c r="RZG55" s="240"/>
      <c r="RZH55" s="240"/>
      <c r="RZI55" s="240"/>
      <c r="RZJ55" s="257"/>
      <c r="RZK55" s="240"/>
      <c r="RZL55" s="257"/>
      <c r="RZM55" s="240"/>
      <c r="RZP55" s="49"/>
      <c r="RZQ55" s="240"/>
      <c r="RZR55" s="240"/>
      <c r="RZS55" s="240"/>
      <c r="RZT55" s="257"/>
      <c r="RZU55" s="240"/>
      <c r="RZV55" s="257"/>
      <c r="RZW55" s="240"/>
      <c r="RZZ55" s="49"/>
      <c r="SAA55" s="240"/>
      <c r="SAB55" s="240"/>
      <c r="SAC55" s="240"/>
      <c r="SAD55" s="257"/>
      <c r="SAE55" s="240"/>
      <c r="SAF55" s="257"/>
      <c r="SAG55" s="240"/>
      <c r="SAJ55" s="49"/>
      <c r="SAK55" s="240"/>
      <c r="SAL55" s="240"/>
      <c r="SAM55" s="240"/>
      <c r="SAN55" s="257"/>
      <c r="SAO55" s="240"/>
      <c r="SAP55" s="257"/>
      <c r="SAQ55" s="240"/>
      <c r="SAT55" s="49"/>
      <c r="SAU55" s="240"/>
      <c r="SAV55" s="240"/>
      <c r="SAW55" s="240"/>
      <c r="SAX55" s="257"/>
      <c r="SAY55" s="240"/>
      <c r="SAZ55" s="257"/>
      <c r="SBA55" s="240"/>
      <c r="SBD55" s="49"/>
      <c r="SBE55" s="240"/>
      <c r="SBF55" s="240"/>
      <c r="SBG55" s="240"/>
      <c r="SBH55" s="257"/>
      <c r="SBI55" s="240"/>
      <c r="SBJ55" s="257"/>
      <c r="SBK55" s="240"/>
      <c r="SBN55" s="49"/>
      <c r="SBO55" s="240"/>
      <c r="SBP55" s="240"/>
      <c r="SBQ55" s="240"/>
      <c r="SBR55" s="257"/>
      <c r="SBS55" s="240"/>
      <c r="SBT55" s="257"/>
      <c r="SBU55" s="240"/>
      <c r="SBX55" s="49"/>
      <c r="SBY55" s="240"/>
      <c r="SBZ55" s="240"/>
      <c r="SCA55" s="240"/>
      <c r="SCB55" s="257"/>
      <c r="SCC55" s="240"/>
      <c r="SCD55" s="257"/>
      <c r="SCE55" s="240"/>
      <c r="SCH55" s="49"/>
      <c r="SCI55" s="240"/>
      <c r="SCJ55" s="240"/>
      <c r="SCK55" s="240"/>
      <c r="SCL55" s="257"/>
      <c r="SCM55" s="240"/>
      <c r="SCN55" s="257"/>
      <c r="SCO55" s="240"/>
      <c r="SCR55" s="49"/>
      <c r="SCS55" s="240"/>
      <c r="SCT55" s="240"/>
      <c r="SCU55" s="240"/>
      <c r="SCV55" s="257"/>
      <c r="SCW55" s="240"/>
      <c r="SCX55" s="257"/>
      <c r="SCY55" s="240"/>
      <c r="SDB55" s="49"/>
      <c r="SDC55" s="240"/>
      <c r="SDD55" s="240"/>
      <c r="SDE55" s="240"/>
      <c r="SDF55" s="257"/>
      <c r="SDG55" s="240"/>
      <c r="SDH55" s="257"/>
      <c r="SDI55" s="240"/>
      <c r="SDL55" s="49"/>
      <c r="SDM55" s="240"/>
      <c r="SDN55" s="240"/>
      <c r="SDO55" s="240"/>
      <c r="SDP55" s="257"/>
      <c r="SDQ55" s="240"/>
      <c r="SDR55" s="257"/>
      <c r="SDS55" s="240"/>
      <c r="SDV55" s="49"/>
      <c r="SDW55" s="240"/>
      <c r="SDX55" s="240"/>
      <c r="SDY55" s="240"/>
      <c r="SDZ55" s="257"/>
      <c r="SEA55" s="240"/>
      <c r="SEB55" s="257"/>
      <c r="SEC55" s="240"/>
      <c r="SEF55" s="49"/>
      <c r="SEG55" s="240"/>
      <c r="SEH55" s="240"/>
      <c r="SEI55" s="240"/>
      <c r="SEJ55" s="257"/>
      <c r="SEK55" s="240"/>
      <c r="SEL55" s="257"/>
      <c r="SEM55" s="240"/>
      <c r="SEP55" s="49"/>
      <c r="SEQ55" s="240"/>
      <c r="SER55" s="240"/>
      <c r="SES55" s="240"/>
      <c r="SET55" s="257"/>
      <c r="SEU55" s="240"/>
      <c r="SEV55" s="257"/>
      <c r="SEW55" s="240"/>
      <c r="SEZ55" s="49"/>
      <c r="SFA55" s="240"/>
      <c r="SFB55" s="240"/>
      <c r="SFC55" s="240"/>
      <c r="SFD55" s="257"/>
      <c r="SFE55" s="240"/>
      <c r="SFF55" s="257"/>
      <c r="SFG55" s="240"/>
      <c r="SFJ55" s="49"/>
      <c r="SFK55" s="240"/>
      <c r="SFL55" s="240"/>
      <c r="SFM55" s="240"/>
      <c r="SFN55" s="257"/>
      <c r="SFO55" s="240"/>
      <c r="SFP55" s="257"/>
      <c r="SFQ55" s="240"/>
      <c r="SFT55" s="49"/>
      <c r="SFU55" s="240"/>
      <c r="SFV55" s="240"/>
      <c r="SFW55" s="240"/>
      <c r="SFX55" s="257"/>
      <c r="SFY55" s="240"/>
      <c r="SFZ55" s="257"/>
      <c r="SGA55" s="240"/>
      <c r="SGD55" s="49"/>
      <c r="SGE55" s="240"/>
      <c r="SGF55" s="240"/>
      <c r="SGG55" s="240"/>
      <c r="SGH55" s="257"/>
      <c r="SGI55" s="240"/>
      <c r="SGJ55" s="257"/>
      <c r="SGK55" s="240"/>
      <c r="SGN55" s="49"/>
      <c r="SGO55" s="240"/>
      <c r="SGP55" s="240"/>
      <c r="SGQ55" s="240"/>
      <c r="SGR55" s="257"/>
      <c r="SGS55" s="240"/>
      <c r="SGT55" s="257"/>
      <c r="SGU55" s="240"/>
      <c r="SGX55" s="49"/>
      <c r="SGY55" s="240"/>
      <c r="SGZ55" s="240"/>
      <c r="SHA55" s="240"/>
      <c r="SHB55" s="257"/>
      <c r="SHC55" s="240"/>
      <c r="SHD55" s="257"/>
      <c r="SHE55" s="240"/>
      <c r="SHH55" s="49"/>
      <c r="SHI55" s="240"/>
      <c r="SHJ55" s="240"/>
      <c r="SHK55" s="240"/>
      <c r="SHL55" s="257"/>
      <c r="SHM55" s="240"/>
      <c r="SHN55" s="257"/>
      <c r="SHO55" s="240"/>
      <c r="SHR55" s="49"/>
      <c r="SHS55" s="240"/>
      <c r="SHT55" s="240"/>
      <c r="SHU55" s="240"/>
      <c r="SHV55" s="257"/>
      <c r="SHW55" s="240"/>
      <c r="SHX55" s="257"/>
      <c r="SHY55" s="240"/>
      <c r="SIB55" s="49"/>
      <c r="SIC55" s="240"/>
      <c r="SID55" s="240"/>
      <c r="SIE55" s="240"/>
      <c r="SIF55" s="257"/>
      <c r="SIG55" s="240"/>
      <c r="SIH55" s="257"/>
      <c r="SII55" s="240"/>
      <c r="SIL55" s="49"/>
      <c r="SIM55" s="240"/>
      <c r="SIN55" s="240"/>
      <c r="SIO55" s="240"/>
      <c r="SIP55" s="257"/>
      <c r="SIQ55" s="240"/>
      <c r="SIR55" s="257"/>
      <c r="SIS55" s="240"/>
      <c r="SIV55" s="49"/>
      <c r="SIW55" s="240"/>
      <c r="SIX55" s="240"/>
      <c r="SIY55" s="240"/>
      <c r="SIZ55" s="257"/>
      <c r="SJA55" s="240"/>
      <c r="SJB55" s="257"/>
      <c r="SJC55" s="240"/>
      <c r="SJF55" s="49"/>
      <c r="SJG55" s="240"/>
      <c r="SJH55" s="240"/>
      <c r="SJI55" s="240"/>
      <c r="SJJ55" s="257"/>
      <c r="SJK55" s="240"/>
      <c r="SJL55" s="257"/>
      <c r="SJM55" s="240"/>
      <c r="SJP55" s="49"/>
      <c r="SJQ55" s="240"/>
      <c r="SJR55" s="240"/>
      <c r="SJS55" s="240"/>
      <c r="SJT55" s="257"/>
      <c r="SJU55" s="240"/>
      <c r="SJV55" s="257"/>
      <c r="SJW55" s="240"/>
      <c r="SJZ55" s="49"/>
      <c r="SKA55" s="240"/>
      <c r="SKB55" s="240"/>
      <c r="SKC55" s="240"/>
      <c r="SKD55" s="257"/>
      <c r="SKE55" s="240"/>
      <c r="SKF55" s="257"/>
      <c r="SKG55" s="240"/>
      <c r="SKJ55" s="49"/>
      <c r="SKK55" s="240"/>
      <c r="SKL55" s="240"/>
      <c r="SKM55" s="240"/>
      <c r="SKN55" s="257"/>
      <c r="SKO55" s="240"/>
      <c r="SKP55" s="257"/>
      <c r="SKQ55" s="240"/>
      <c r="SKT55" s="49"/>
      <c r="SKU55" s="240"/>
      <c r="SKV55" s="240"/>
      <c r="SKW55" s="240"/>
      <c r="SKX55" s="257"/>
      <c r="SKY55" s="240"/>
      <c r="SKZ55" s="257"/>
      <c r="SLA55" s="240"/>
      <c r="SLD55" s="49"/>
      <c r="SLE55" s="240"/>
      <c r="SLF55" s="240"/>
      <c r="SLG55" s="240"/>
      <c r="SLH55" s="257"/>
      <c r="SLI55" s="240"/>
      <c r="SLJ55" s="257"/>
      <c r="SLK55" s="240"/>
      <c r="SLN55" s="49"/>
      <c r="SLO55" s="240"/>
      <c r="SLP55" s="240"/>
      <c r="SLQ55" s="240"/>
      <c r="SLR55" s="257"/>
      <c r="SLS55" s="240"/>
      <c r="SLT55" s="257"/>
      <c r="SLU55" s="240"/>
      <c r="SLX55" s="49"/>
      <c r="SLY55" s="240"/>
      <c r="SLZ55" s="240"/>
      <c r="SMA55" s="240"/>
      <c r="SMB55" s="257"/>
      <c r="SMC55" s="240"/>
      <c r="SMD55" s="257"/>
      <c r="SME55" s="240"/>
      <c r="SMH55" s="49"/>
      <c r="SMI55" s="240"/>
      <c r="SMJ55" s="240"/>
      <c r="SMK55" s="240"/>
      <c r="SML55" s="257"/>
      <c r="SMM55" s="240"/>
      <c r="SMN55" s="257"/>
      <c r="SMO55" s="240"/>
      <c r="SMR55" s="49"/>
      <c r="SMS55" s="240"/>
      <c r="SMT55" s="240"/>
      <c r="SMU55" s="240"/>
      <c r="SMV55" s="257"/>
      <c r="SMW55" s="240"/>
      <c r="SMX55" s="257"/>
      <c r="SMY55" s="240"/>
      <c r="SNB55" s="49"/>
      <c r="SNC55" s="240"/>
      <c r="SND55" s="240"/>
      <c r="SNE55" s="240"/>
      <c r="SNF55" s="257"/>
      <c r="SNG55" s="240"/>
      <c r="SNH55" s="257"/>
      <c r="SNI55" s="240"/>
      <c r="SNL55" s="49"/>
      <c r="SNM55" s="240"/>
      <c r="SNN55" s="240"/>
      <c r="SNO55" s="240"/>
      <c r="SNP55" s="257"/>
      <c r="SNQ55" s="240"/>
      <c r="SNR55" s="257"/>
      <c r="SNS55" s="240"/>
      <c r="SNV55" s="49"/>
      <c r="SNW55" s="240"/>
      <c r="SNX55" s="240"/>
      <c r="SNY55" s="240"/>
      <c r="SNZ55" s="257"/>
      <c r="SOA55" s="240"/>
      <c r="SOB55" s="257"/>
      <c r="SOC55" s="240"/>
      <c r="SOF55" s="49"/>
      <c r="SOG55" s="240"/>
      <c r="SOH55" s="240"/>
      <c r="SOI55" s="240"/>
      <c r="SOJ55" s="257"/>
      <c r="SOK55" s="240"/>
      <c r="SOL55" s="257"/>
      <c r="SOM55" s="240"/>
      <c r="SOP55" s="49"/>
      <c r="SOQ55" s="240"/>
      <c r="SOR55" s="240"/>
      <c r="SOS55" s="240"/>
      <c r="SOT55" s="257"/>
      <c r="SOU55" s="240"/>
      <c r="SOV55" s="257"/>
      <c r="SOW55" s="240"/>
      <c r="SOZ55" s="49"/>
      <c r="SPA55" s="240"/>
      <c r="SPB55" s="240"/>
      <c r="SPC55" s="240"/>
      <c r="SPD55" s="257"/>
      <c r="SPE55" s="240"/>
      <c r="SPF55" s="257"/>
      <c r="SPG55" s="240"/>
      <c r="SPJ55" s="49"/>
      <c r="SPK55" s="240"/>
      <c r="SPL55" s="240"/>
      <c r="SPM55" s="240"/>
      <c r="SPN55" s="257"/>
      <c r="SPO55" s="240"/>
      <c r="SPP55" s="257"/>
      <c r="SPQ55" s="240"/>
      <c r="SPT55" s="49"/>
      <c r="SPU55" s="240"/>
      <c r="SPV55" s="240"/>
      <c r="SPW55" s="240"/>
      <c r="SPX55" s="257"/>
      <c r="SPY55" s="240"/>
      <c r="SPZ55" s="257"/>
      <c r="SQA55" s="240"/>
      <c r="SQD55" s="49"/>
      <c r="SQE55" s="240"/>
      <c r="SQF55" s="240"/>
      <c r="SQG55" s="240"/>
      <c r="SQH55" s="257"/>
      <c r="SQI55" s="240"/>
      <c r="SQJ55" s="257"/>
      <c r="SQK55" s="240"/>
      <c r="SQN55" s="49"/>
      <c r="SQO55" s="240"/>
      <c r="SQP55" s="240"/>
      <c r="SQQ55" s="240"/>
      <c r="SQR55" s="257"/>
      <c r="SQS55" s="240"/>
      <c r="SQT55" s="257"/>
      <c r="SQU55" s="240"/>
      <c r="SQX55" s="49"/>
      <c r="SQY55" s="240"/>
      <c r="SQZ55" s="240"/>
      <c r="SRA55" s="240"/>
      <c r="SRB55" s="257"/>
      <c r="SRC55" s="240"/>
      <c r="SRD55" s="257"/>
      <c r="SRE55" s="240"/>
      <c r="SRH55" s="49"/>
      <c r="SRI55" s="240"/>
      <c r="SRJ55" s="240"/>
      <c r="SRK55" s="240"/>
      <c r="SRL55" s="257"/>
      <c r="SRM55" s="240"/>
      <c r="SRN55" s="257"/>
      <c r="SRO55" s="240"/>
      <c r="SRR55" s="49"/>
      <c r="SRS55" s="240"/>
      <c r="SRT55" s="240"/>
      <c r="SRU55" s="240"/>
      <c r="SRV55" s="257"/>
      <c r="SRW55" s="240"/>
      <c r="SRX55" s="257"/>
      <c r="SRY55" s="240"/>
      <c r="SSB55" s="49"/>
      <c r="SSC55" s="240"/>
      <c r="SSD55" s="240"/>
      <c r="SSE55" s="240"/>
      <c r="SSF55" s="257"/>
      <c r="SSG55" s="240"/>
      <c r="SSH55" s="257"/>
      <c r="SSI55" s="240"/>
      <c r="SSL55" s="49"/>
      <c r="SSM55" s="240"/>
      <c r="SSN55" s="240"/>
      <c r="SSO55" s="240"/>
      <c r="SSP55" s="257"/>
      <c r="SSQ55" s="240"/>
      <c r="SSR55" s="257"/>
      <c r="SSS55" s="240"/>
      <c r="SSV55" s="49"/>
      <c r="SSW55" s="240"/>
      <c r="SSX55" s="240"/>
      <c r="SSY55" s="240"/>
      <c r="SSZ55" s="257"/>
      <c r="STA55" s="240"/>
      <c r="STB55" s="257"/>
      <c r="STC55" s="240"/>
      <c r="STF55" s="49"/>
      <c r="STG55" s="240"/>
      <c r="STH55" s="240"/>
      <c r="STI55" s="240"/>
      <c r="STJ55" s="257"/>
      <c r="STK55" s="240"/>
      <c r="STL55" s="257"/>
      <c r="STM55" s="240"/>
      <c r="STP55" s="49"/>
      <c r="STQ55" s="240"/>
      <c r="STR55" s="240"/>
      <c r="STS55" s="240"/>
      <c r="STT55" s="257"/>
      <c r="STU55" s="240"/>
      <c r="STV55" s="257"/>
      <c r="STW55" s="240"/>
      <c r="STZ55" s="49"/>
      <c r="SUA55" s="240"/>
      <c r="SUB55" s="240"/>
      <c r="SUC55" s="240"/>
      <c r="SUD55" s="257"/>
      <c r="SUE55" s="240"/>
      <c r="SUF55" s="257"/>
      <c r="SUG55" s="240"/>
      <c r="SUJ55" s="49"/>
      <c r="SUK55" s="240"/>
      <c r="SUL55" s="240"/>
      <c r="SUM55" s="240"/>
      <c r="SUN55" s="257"/>
      <c r="SUO55" s="240"/>
      <c r="SUP55" s="257"/>
      <c r="SUQ55" s="240"/>
      <c r="SUT55" s="49"/>
      <c r="SUU55" s="240"/>
      <c r="SUV55" s="240"/>
      <c r="SUW55" s="240"/>
      <c r="SUX55" s="257"/>
      <c r="SUY55" s="240"/>
      <c r="SUZ55" s="257"/>
      <c r="SVA55" s="240"/>
      <c r="SVD55" s="49"/>
      <c r="SVE55" s="240"/>
      <c r="SVF55" s="240"/>
      <c r="SVG55" s="240"/>
      <c r="SVH55" s="257"/>
      <c r="SVI55" s="240"/>
      <c r="SVJ55" s="257"/>
      <c r="SVK55" s="240"/>
      <c r="SVN55" s="49"/>
      <c r="SVO55" s="240"/>
      <c r="SVP55" s="240"/>
      <c r="SVQ55" s="240"/>
      <c r="SVR55" s="257"/>
      <c r="SVS55" s="240"/>
      <c r="SVT55" s="257"/>
      <c r="SVU55" s="240"/>
      <c r="SVX55" s="49"/>
      <c r="SVY55" s="240"/>
      <c r="SVZ55" s="240"/>
      <c r="SWA55" s="240"/>
      <c r="SWB55" s="257"/>
      <c r="SWC55" s="240"/>
      <c r="SWD55" s="257"/>
      <c r="SWE55" s="240"/>
      <c r="SWH55" s="49"/>
      <c r="SWI55" s="240"/>
      <c r="SWJ55" s="240"/>
      <c r="SWK55" s="240"/>
      <c r="SWL55" s="257"/>
      <c r="SWM55" s="240"/>
      <c r="SWN55" s="257"/>
      <c r="SWO55" s="240"/>
      <c r="SWR55" s="49"/>
      <c r="SWS55" s="240"/>
      <c r="SWT55" s="240"/>
      <c r="SWU55" s="240"/>
      <c r="SWV55" s="257"/>
      <c r="SWW55" s="240"/>
      <c r="SWX55" s="257"/>
      <c r="SWY55" s="240"/>
      <c r="SXB55" s="49"/>
      <c r="SXC55" s="240"/>
      <c r="SXD55" s="240"/>
      <c r="SXE55" s="240"/>
      <c r="SXF55" s="257"/>
      <c r="SXG55" s="240"/>
      <c r="SXH55" s="257"/>
      <c r="SXI55" s="240"/>
      <c r="SXL55" s="49"/>
      <c r="SXM55" s="240"/>
      <c r="SXN55" s="240"/>
      <c r="SXO55" s="240"/>
      <c r="SXP55" s="257"/>
      <c r="SXQ55" s="240"/>
      <c r="SXR55" s="257"/>
      <c r="SXS55" s="240"/>
      <c r="SXV55" s="49"/>
      <c r="SXW55" s="240"/>
      <c r="SXX55" s="240"/>
      <c r="SXY55" s="240"/>
      <c r="SXZ55" s="257"/>
      <c r="SYA55" s="240"/>
      <c r="SYB55" s="257"/>
      <c r="SYC55" s="240"/>
      <c r="SYF55" s="49"/>
      <c r="SYG55" s="240"/>
      <c r="SYH55" s="240"/>
      <c r="SYI55" s="240"/>
      <c r="SYJ55" s="257"/>
      <c r="SYK55" s="240"/>
      <c r="SYL55" s="257"/>
      <c r="SYM55" s="240"/>
      <c r="SYP55" s="49"/>
      <c r="SYQ55" s="240"/>
      <c r="SYR55" s="240"/>
      <c r="SYS55" s="240"/>
      <c r="SYT55" s="257"/>
      <c r="SYU55" s="240"/>
      <c r="SYV55" s="257"/>
      <c r="SYW55" s="240"/>
      <c r="SYZ55" s="49"/>
      <c r="SZA55" s="240"/>
      <c r="SZB55" s="240"/>
      <c r="SZC55" s="240"/>
      <c r="SZD55" s="257"/>
      <c r="SZE55" s="240"/>
      <c r="SZF55" s="257"/>
      <c r="SZG55" s="240"/>
      <c r="SZJ55" s="49"/>
      <c r="SZK55" s="240"/>
      <c r="SZL55" s="240"/>
      <c r="SZM55" s="240"/>
      <c r="SZN55" s="257"/>
      <c r="SZO55" s="240"/>
      <c r="SZP55" s="257"/>
      <c r="SZQ55" s="240"/>
      <c r="SZT55" s="49"/>
      <c r="SZU55" s="240"/>
      <c r="SZV55" s="240"/>
      <c r="SZW55" s="240"/>
      <c r="SZX55" s="257"/>
      <c r="SZY55" s="240"/>
      <c r="SZZ55" s="257"/>
      <c r="TAA55" s="240"/>
      <c r="TAD55" s="49"/>
      <c r="TAE55" s="240"/>
      <c r="TAF55" s="240"/>
      <c r="TAG55" s="240"/>
      <c r="TAH55" s="257"/>
      <c r="TAI55" s="240"/>
      <c r="TAJ55" s="257"/>
      <c r="TAK55" s="240"/>
      <c r="TAN55" s="49"/>
      <c r="TAO55" s="240"/>
      <c r="TAP55" s="240"/>
      <c r="TAQ55" s="240"/>
      <c r="TAR55" s="257"/>
      <c r="TAS55" s="240"/>
      <c r="TAT55" s="257"/>
      <c r="TAU55" s="240"/>
      <c r="TAX55" s="49"/>
      <c r="TAY55" s="240"/>
      <c r="TAZ55" s="240"/>
      <c r="TBA55" s="240"/>
      <c r="TBB55" s="257"/>
      <c r="TBC55" s="240"/>
      <c r="TBD55" s="257"/>
      <c r="TBE55" s="240"/>
      <c r="TBH55" s="49"/>
      <c r="TBI55" s="240"/>
      <c r="TBJ55" s="240"/>
      <c r="TBK55" s="240"/>
      <c r="TBL55" s="257"/>
      <c r="TBM55" s="240"/>
      <c r="TBN55" s="257"/>
      <c r="TBO55" s="240"/>
      <c r="TBR55" s="49"/>
      <c r="TBS55" s="240"/>
      <c r="TBT55" s="240"/>
      <c r="TBU55" s="240"/>
      <c r="TBV55" s="257"/>
      <c r="TBW55" s="240"/>
      <c r="TBX55" s="257"/>
      <c r="TBY55" s="240"/>
      <c r="TCB55" s="49"/>
      <c r="TCC55" s="240"/>
      <c r="TCD55" s="240"/>
      <c r="TCE55" s="240"/>
      <c r="TCF55" s="257"/>
      <c r="TCG55" s="240"/>
      <c r="TCH55" s="257"/>
      <c r="TCI55" s="240"/>
      <c r="TCL55" s="49"/>
      <c r="TCM55" s="240"/>
      <c r="TCN55" s="240"/>
      <c r="TCO55" s="240"/>
      <c r="TCP55" s="257"/>
      <c r="TCQ55" s="240"/>
      <c r="TCR55" s="257"/>
      <c r="TCS55" s="240"/>
      <c r="TCV55" s="49"/>
      <c r="TCW55" s="240"/>
      <c r="TCX55" s="240"/>
      <c r="TCY55" s="240"/>
      <c r="TCZ55" s="257"/>
      <c r="TDA55" s="240"/>
      <c r="TDB55" s="257"/>
      <c r="TDC55" s="240"/>
      <c r="TDF55" s="49"/>
      <c r="TDG55" s="240"/>
      <c r="TDH55" s="240"/>
      <c r="TDI55" s="240"/>
      <c r="TDJ55" s="257"/>
      <c r="TDK55" s="240"/>
      <c r="TDL55" s="257"/>
      <c r="TDM55" s="240"/>
      <c r="TDP55" s="49"/>
      <c r="TDQ55" s="240"/>
      <c r="TDR55" s="240"/>
      <c r="TDS55" s="240"/>
      <c r="TDT55" s="257"/>
      <c r="TDU55" s="240"/>
      <c r="TDV55" s="257"/>
      <c r="TDW55" s="240"/>
      <c r="TDZ55" s="49"/>
      <c r="TEA55" s="240"/>
      <c r="TEB55" s="240"/>
      <c r="TEC55" s="240"/>
      <c r="TED55" s="257"/>
      <c r="TEE55" s="240"/>
      <c r="TEF55" s="257"/>
      <c r="TEG55" s="240"/>
      <c r="TEJ55" s="49"/>
      <c r="TEK55" s="240"/>
      <c r="TEL55" s="240"/>
      <c r="TEM55" s="240"/>
      <c r="TEN55" s="257"/>
      <c r="TEO55" s="240"/>
      <c r="TEP55" s="257"/>
      <c r="TEQ55" s="240"/>
      <c r="TET55" s="49"/>
      <c r="TEU55" s="240"/>
      <c r="TEV55" s="240"/>
      <c r="TEW55" s="240"/>
      <c r="TEX55" s="257"/>
      <c r="TEY55" s="240"/>
      <c r="TEZ55" s="257"/>
      <c r="TFA55" s="240"/>
      <c r="TFD55" s="49"/>
      <c r="TFE55" s="240"/>
      <c r="TFF55" s="240"/>
      <c r="TFG55" s="240"/>
      <c r="TFH55" s="257"/>
      <c r="TFI55" s="240"/>
      <c r="TFJ55" s="257"/>
      <c r="TFK55" s="240"/>
      <c r="TFN55" s="49"/>
      <c r="TFO55" s="240"/>
      <c r="TFP55" s="240"/>
      <c r="TFQ55" s="240"/>
      <c r="TFR55" s="257"/>
      <c r="TFS55" s="240"/>
      <c r="TFT55" s="257"/>
      <c r="TFU55" s="240"/>
      <c r="TFX55" s="49"/>
      <c r="TFY55" s="240"/>
      <c r="TFZ55" s="240"/>
      <c r="TGA55" s="240"/>
      <c r="TGB55" s="257"/>
      <c r="TGC55" s="240"/>
      <c r="TGD55" s="257"/>
      <c r="TGE55" s="240"/>
      <c r="TGH55" s="49"/>
      <c r="TGI55" s="240"/>
      <c r="TGJ55" s="240"/>
      <c r="TGK55" s="240"/>
      <c r="TGL55" s="257"/>
      <c r="TGM55" s="240"/>
      <c r="TGN55" s="257"/>
      <c r="TGO55" s="240"/>
      <c r="TGR55" s="49"/>
      <c r="TGS55" s="240"/>
      <c r="TGT55" s="240"/>
      <c r="TGU55" s="240"/>
      <c r="TGV55" s="257"/>
      <c r="TGW55" s="240"/>
      <c r="TGX55" s="257"/>
      <c r="TGY55" s="240"/>
      <c r="THB55" s="49"/>
      <c r="THC55" s="240"/>
      <c r="THD55" s="240"/>
      <c r="THE55" s="240"/>
      <c r="THF55" s="257"/>
      <c r="THG55" s="240"/>
      <c r="THH55" s="257"/>
      <c r="THI55" s="240"/>
      <c r="THL55" s="49"/>
      <c r="THM55" s="240"/>
      <c r="THN55" s="240"/>
      <c r="THO55" s="240"/>
      <c r="THP55" s="257"/>
      <c r="THQ55" s="240"/>
      <c r="THR55" s="257"/>
      <c r="THS55" s="240"/>
      <c r="THV55" s="49"/>
      <c r="THW55" s="240"/>
      <c r="THX55" s="240"/>
      <c r="THY55" s="240"/>
      <c r="THZ55" s="257"/>
      <c r="TIA55" s="240"/>
      <c r="TIB55" s="257"/>
      <c r="TIC55" s="240"/>
      <c r="TIF55" s="49"/>
      <c r="TIG55" s="240"/>
      <c r="TIH55" s="240"/>
      <c r="TII55" s="240"/>
      <c r="TIJ55" s="257"/>
      <c r="TIK55" s="240"/>
      <c r="TIL55" s="257"/>
      <c r="TIM55" s="240"/>
      <c r="TIP55" s="49"/>
      <c r="TIQ55" s="240"/>
      <c r="TIR55" s="240"/>
      <c r="TIS55" s="240"/>
      <c r="TIT55" s="257"/>
      <c r="TIU55" s="240"/>
      <c r="TIV55" s="257"/>
      <c r="TIW55" s="240"/>
      <c r="TIZ55" s="49"/>
      <c r="TJA55" s="240"/>
      <c r="TJB55" s="240"/>
      <c r="TJC55" s="240"/>
      <c r="TJD55" s="257"/>
      <c r="TJE55" s="240"/>
      <c r="TJF55" s="257"/>
      <c r="TJG55" s="240"/>
      <c r="TJJ55" s="49"/>
      <c r="TJK55" s="240"/>
      <c r="TJL55" s="240"/>
      <c r="TJM55" s="240"/>
      <c r="TJN55" s="257"/>
      <c r="TJO55" s="240"/>
      <c r="TJP55" s="257"/>
      <c r="TJQ55" s="240"/>
      <c r="TJT55" s="49"/>
      <c r="TJU55" s="240"/>
      <c r="TJV55" s="240"/>
      <c r="TJW55" s="240"/>
      <c r="TJX55" s="257"/>
      <c r="TJY55" s="240"/>
      <c r="TJZ55" s="257"/>
      <c r="TKA55" s="240"/>
      <c r="TKD55" s="49"/>
      <c r="TKE55" s="240"/>
      <c r="TKF55" s="240"/>
      <c r="TKG55" s="240"/>
      <c r="TKH55" s="257"/>
      <c r="TKI55" s="240"/>
      <c r="TKJ55" s="257"/>
      <c r="TKK55" s="240"/>
      <c r="TKN55" s="49"/>
      <c r="TKO55" s="240"/>
      <c r="TKP55" s="240"/>
      <c r="TKQ55" s="240"/>
      <c r="TKR55" s="257"/>
      <c r="TKS55" s="240"/>
      <c r="TKT55" s="257"/>
      <c r="TKU55" s="240"/>
      <c r="TKX55" s="49"/>
      <c r="TKY55" s="240"/>
      <c r="TKZ55" s="240"/>
      <c r="TLA55" s="240"/>
      <c r="TLB55" s="257"/>
      <c r="TLC55" s="240"/>
      <c r="TLD55" s="257"/>
      <c r="TLE55" s="240"/>
      <c r="TLH55" s="49"/>
      <c r="TLI55" s="240"/>
      <c r="TLJ55" s="240"/>
      <c r="TLK55" s="240"/>
      <c r="TLL55" s="257"/>
      <c r="TLM55" s="240"/>
      <c r="TLN55" s="257"/>
      <c r="TLO55" s="240"/>
      <c r="TLR55" s="49"/>
      <c r="TLS55" s="240"/>
      <c r="TLT55" s="240"/>
      <c r="TLU55" s="240"/>
      <c r="TLV55" s="257"/>
      <c r="TLW55" s="240"/>
      <c r="TLX55" s="257"/>
      <c r="TLY55" s="240"/>
      <c r="TMB55" s="49"/>
      <c r="TMC55" s="240"/>
      <c r="TMD55" s="240"/>
      <c r="TME55" s="240"/>
      <c r="TMF55" s="257"/>
      <c r="TMG55" s="240"/>
      <c r="TMH55" s="257"/>
      <c r="TMI55" s="240"/>
      <c r="TML55" s="49"/>
      <c r="TMM55" s="240"/>
      <c r="TMN55" s="240"/>
      <c r="TMO55" s="240"/>
      <c r="TMP55" s="257"/>
      <c r="TMQ55" s="240"/>
      <c r="TMR55" s="257"/>
      <c r="TMS55" s="240"/>
      <c r="TMV55" s="49"/>
      <c r="TMW55" s="240"/>
      <c r="TMX55" s="240"/>
      <c r="TMY55" s="240"/>
      <c r="TMZ55" s="257"/>
      <c r="TNA55" s="240"/>
      <c r="TNB55" s="257"/>
      <c r="TNC55" s="240"/>
      <c r="TNF55" s="49"/>
      <c r="TNG55" s="240"/>
      <c r="TNH55" s="240"/>
      <c r="TNI55" s="240"/>
      <c r="TNJ55" s="257"/>
      <c r="TNK55" s="240"/>
      <c r="TNL55" s="257"/>
      <c r="TNM55" s="240"/>
      <c r="TNP55" s="49"/>
      <c r="TNQ55" s="240"/>
      <c r="TNR55" s="240"/>
      <c r="TNS55" s="240"/>
      <c r="TNT55" s="257"/>
      <c r="TNU55" s="240"/>
      <c r="TNV55" s="257"/>
      <c r="TNW55" s="240"/>
      <c r="TNZ55" s="49"/>
      <c r="TOA55" s="240"/>
      <c r="TOB55" s="240"/>
      <c r="TOC55" s="240"/>
      <c r="TOD55" s="257"/>
      <c r="TOE55" s="240"/>
      <c r="TOF55" s="257"/>
      <c r="TOG55" s="240"/>
      <c r="TOJ55" s="49"/>
      <c r="TOK55" s="240"/>
      <c r="TOL55" s="240"/>
      <c r="TOM55" s="240"/>
      <c r="TON55" s="257"/>
      <c r="TOO55" s="240"/>
      <c r="TOP55" s="257"/>
      <c r="TOQ55" s="240"/>
      <c r="TOT55" s="49"/>
      <c r="TOU55" s="240"/>
      <c r="TOV55" s="240"/>
      <c r="TOW55" s="240"/>
      <c r="TOX55" s="257"/>
      <c r="TOY55" s="240"/>
      <c r="TOZ55" s="257"/>
      <c r="TPA55" s="240"/>
      <c r="TPD55" s="49"/>
      <c r="TPE55" s="240"/>
      <c r="TPF55" s="240"/>
      <c r="TPG55" s="240"/>
      <c r="TPH55" s="257"/>
      <c r="TPI55" s="240"/>
      <c r="TPJ55" s="257"/>
      <c r="TPK55" s="240"/>
      <c r="TPN55" s="49"/>
      <c r="TPO55" s="240"/>
      <c r="TPP55" s="240"/>
      <c r="TPQ55" s="240"/>
      <c r="TPR55" s="257"/>
      <c r="TPS55" s="240"/>
      <c r="TPT55" s="257"/>
      <c r="TPU55" s="240"/>
      <c r="TPX55" s="49"/>
      <c r="TPY55" s="240"/>
      <c r="TPZ55" s="240"/>
      <c r="TQA55" s="240"/>
      <c r="TQB55" s="257"/>
      <c r="TQC55" s="240"/>
      <c r="TQD55" s="257"/>
      <c r="TQE55" s="240"/>
      <c r="TQH55" s="49"/>
      <c r="TQI55" s="240"/>
      <c r="TQJ55" s="240"/>
      <c r="TQK55" s="240"/>
      <c r="TQL55" s="257"/>
      <c r="TQM55" s="240"/>
      <c r="TQN55" s="257"/>
      <c r="TQO55" s="240"/>
      <c r="TQR55" s="49"/>
      <c r="TQS55" s="240"/>
      <c r="TQT55" s="240"/>
      <c r="TQU55" s="240"/>
      <c r="TQV55" s="257"/>
      <c r="TQW55" s="240"/>
      <c r="TQX55" s="257"/>
      <c r="TQY55" s="240"/>
      <c r="TRB55" s="49"/>
      <c r="TRC55" s="240"/>
      <c r="TRD55" s="240"/>
      <c r="TRE55" s="240"/>
      <c r="TRF55" s="257"/>
      <c r="TRG55" s="240"/>
      <c r="TRH55" s="257"/>
      <c r="TRI55" s="240"/>
      <c r="TRL55" s="49"/>
      <c r="TRM55" s="240"/>
      <c r="TRN55" s="240"/>
      <c r="TRO55" s="240"/>
      <c r="TRP55" s="257"/>
      <c r="TRQ55" s="240"/>
      <c r="TRR55" s="257"/>
      <c r="TRS55" s="240"/>
      <c r="TRV55" s="49"/>
      <c r="TRW55" s="240"/>
      <c r="TRX55" s="240"/>
      <c r="TRY55" s="240"/>
      <c r="TRZ55" s="257"/>
      <c r="TSA55" s="240"/>
      <c r="TSB55" s="257"/>
      <c r="TSC55" s="240"/>
      <c r="TSF55" s="49"/>
      <c r="TSG55" s="240"/>
      <c r="TSH55" s="240"/>
      <c r="TSI55" s="240"/>
      <c r="TSJ55" s="257"/>
      <c r="TSK55" s="240"/>
      <c r="TSL55" s="257"/>
      <c r="TSM55" s="240"/>
      <c r="TSP55" s="49"/>
      <c r="TSQ55" s="240"/>
      <c r="TSR55" s="240"/>
      <c r="TSS55" s="240"/>
      <c r="TST55" s="257"/>
      <c r="TSU55" s="240"/>
      <c r="TSV55" s="257"/>
      <c r="TSW55" s="240"/>
      <c r="TSZ55" s="49"/>
      <c r="TTA55" s="240"/>
      <c r="TTB55" s="240"/>
      <c r="TTC55" s="240"/>
      <c r="TTD55" s="257"/>
      <c r="TTE55" s="240"/>
      <c r="TTF55" s="257"/>
      <c r="TTG55" s="240"/>
      <c r="TTJ55" s="49"/>
      <c r="TTK55" s="240"/>
      <c r="TTL55" s="240"/>
      <c r="TTM55" s="240"/>
      <c r="TTN55" s="257"/>
      <c r="TTO55" s="240"/>
      <c r="TTP55" s="257"/>
      <c r="TTQ55" s="240"/>
      <c r="TTT55" s="49"/>
      <c r="TTU55" s="240"/>
      <c r="TTV55" s="240"/>
      <c r="TTW55" s="240"/>
      <c r="TTX55" s="257"/>
      <c r="TTY55" s="240"/>
      <c r="TTZ55" s="257"/>
      <c r="TUA55" s="240"/>
      <c r="TUD55" s="49"/>
      <c r="TUE55" s="240"/>
      <c r="TUF55" s="240"/>
      <c r="TUG55" s="240"/>
      <c r="TUH55" s="257"/>
      <c r="TUI55" s="240"/>
      <c r="TUJ55" s="257"/>
      <c r="TUK55" s="240"/>
      <c r="TUN55" s="49"/>
      <c r="TUO55" s="240"/>
      <c r="TUP55" s="240"/>
      <c r="TUQ55" s="240"/>
      <c r="TUR55" s="257"/>
      <c r="TUS55" s="240"/>
      <c r="TUT55" s="257"/>
      <c r="TUU55" s="240"/>
      <c r="TUX55" s="49"/>
      <c r="TUY55" s="240"/>
      <c r="TUZ55" s="240"/>
      <c r="TVA55" s="240"/>
      <c r="TVB55" s="257"/>
      <c r="TVC55" s="240"/>
      <c r="TVD55" s="257"/>
      <c r="TVE55" s="240"/>
      <c r="TVH55" s="49"/>
      <c r="TVI55" s="240"/>
      <c r="TVJ55" s="240"/>
      <c r="TVK55" s="240"/>
      <c r="TVL55" s="257"/>
      <c r="TVM55" s="240"/>
      <c r="TVN55" s="257"/>
      <c r="TVO55" s="240"/>
      <c r="TVR55" s="49"/>
      <c r="TVS55" s="240"/>
      <c r="TVT55" s="240"/>
      <c r="TVU55" s="240"/>
      <c r="TVV55" s="257"/>
      <c r="TVW55" s="240"/>
      <c r="TVX55" s="257"/>
      <c r="TVY55" s="240"/>
      <c r="TWB55" s="49"/>
      <c r="TWC55" s="240"/>
      <c r="TWD55" s="240"/>
      <c r="TWE55" s="240"/>
      <c r="TWF55" s="257"/>
      <c r="TWG55" s="240"/>
      <c r="TWH55" s="257"/>
      <c r="TWI55" s="240"/>
      <c r="TWL55" s="49"/>
      <c r="TWM55" s="240"/>
      <c r="TWN55" s="240"/>
      <c r="TWO55" s="240"/>
      <c r="TWP55" s="257"/>
      <c r="TWQ55" s="240"/>
      <c r="TWR55" s="257"/>
      <c r="TWS55" s="240"/>
      <c r="TWV55" s="49"/>
      <c r="TWW55" s="240"/>
      <c r="TWX55" s="240"/>
      <c r="TWY55" s="240"/>
      <c r="TWZ55" s="257"/>
      <c r="TXA55" s="240"/>
      <c r="TXB55" s="257"/>
      <c r="TXC55" s="240"/>
      <c r="TXF55" s="49"/>
      <c r="TXG55" s="240"/>
      <c r="TXH55" s="240"/>
      <c r="TXI55" s="240"/>
      <c r="TXJ55" s="257"/>
      <c r="TXK55" s="240"/>
      <c r="TXL55" s="257"/>
      <c r="TXM55" s="240"/>
      <c r="TXP55" s="49"/>
      <c r="TXQ55" s="240"/>
      <c r="TXR55" s="240"/>
      <c r="TXS55" s="240"/>
      <c r="TXT55" s="257"/>
      <c r="TXU55" s="240"/>
      <c r="TXV55" s="257"/>
      <c r="TXW55" s="240"/>
      <c r="TXZ55" s="49"/>
      <c r="TYA55" s="240"/>
      <c r="TYB55" s="240"/>
      <c r="TYC55" s="240"/>
      <c r="TYD55" s="257"/>
      <c r="TYE55" s="240"/>
      <c r="TYF55" s="257"/>
      <c r="TYG55" s="240"/>
      <c r="TYJ55" s="49"/>
      <c r="TYK55" s="240"/>
      <c r="TYL55" s="240"/>
      <c r="TYM55" s="240"/>
      <c r="TYN55" s="257"/>
      <c r="TYO55" s="240"/>
      <c r="TYP55" s="257"/>
      <c r="TYQ55" s="240"/>
      <c r="TYT55" s="49"/>
      <c r="TYU55" s="240"/>
      <c r="TYV55" s="240"/>
      <c r="TYW55" s="240"/>
      <c r="TYX55" s="257"/>
      <c r="TYY55" s="240"/>
      <c r="TYZ55" s="257"/>
      <c r="TZA55" s="240"/>
      <c r="TZD55" s="49"/>
      <c r="TZE55" s="240"/>
      <c r="TZF55" s="240"/>
      <c r="TZG55" s="240"/>
      <c r="TZH55" s="257"/>
      <c r="TZI55" s="240"/>
      <c r="TZJ55" s="257"/>
      <c r="TZK55" s="240"/>
      <c r="TZN55" s="49"/>
      <c r="TZO55" s="240"/>
      <c r="TZP55" s="240"/>
      <c r="TZQ55" s="240"/>
      <c r="TZR55" s="257"/>
      <c r="TZS55" s="240"/>
      <c r="TZT55" s="257"/>
      <c r="TZU55" s="240"/>
      <c r="TZX55" s="49"/>
      <c r="TZY55" s="240"/>
      <c r="TZZ55" s="240"/>
      <c r="UAA55" s="240"/>
      <c r="UAB55" s="257"/>
      <c r="UAC55" s="240"/>
      <c r="UAD55" s="257"/>
      <c r="UAE55" s="240"/>
      <c r="UAH55" s="49"/>
      <c r="UAI55" s="240"/>
      <c r="UAJ55" s="240"/>
      <c r="UAK55" s="240"/>
      <c r="UAL55" s="257"/>
      <c r="UAM55" s="240"/>
      <c r="UAN55" s="257"/>
      <c r="UAO55" s="240"/>
      <c r="UAR55" s="49"/>
      <c r="UAS55" s="240"/>
      <c r="UAT55" s="240"/>
      <c r="UAU55" s="240"/>
      <c r="UAV55" s="257"/>
      <c r="UAW55" s="240"/>
      <c r="UAX55" s="257"/>
      <c r="UAY55" s="240"/>
      <c r="UBB55" s="49"/>
      <c r="UBC55" s="240"/>
      <c r="UBD55" s="240"/>
      <c r="UBE55" s="240"/>
      <c r="UBF55" s="257"/>
      <c r="UBG55" s="240"/>
      <c r="UBH55" s="257"/>
      <c r="UBI55" s="240"/>
      <c r="UBL55" s="49"/>
      <c r="UBM55" s="240"/>
      <c r="UBN55" s="240"/>
      <c r="UBO55" s="240"/>
      <c r="UBP55" s="257"/>
      <c r="UBQ55" s="240"/>
      <c r="UBR55" s="257"/>
      <c r="UBS55" s="240"/>
      <c r="UBV55" s="49"/>
      <c r="UBW55" s="240"/>
      <c r="UBX55" s="240"/>
      <c r="UBY55" s="240"/>
      <c r="UBZ55" s="257"/>
      <c r="UCA55" s="240"/>
      <c r="UCB55" s="257"/>
      <c r="UCC55" s="240"/>
      <c r="UCF55" s="49"/>
      <c r="UCG55" s="240"/>
      <c r="UCH55" s="240"/>
      <c r="UCI55" s="240"/>
      <c r="UCJ55" s="257"/>
      <c r="UCK55" s="240"/>
      <c r="UCL55" s="257"/>
      <c r="UCM55" s="240"/>
      <c r="UCP55" s="49"/>
      <c r="UCQ55" s="240"/>
      <c r="UCR55" s="240"/>
      <c r="UCS55" s="240"/>
      <c r="UCT55" s="257"/>
      <c r="UCU55" s="240"/>
      <c r="UCV55" s="257"/>
      <c r="UCW55" s="240"/>
      <c r="UCZ55" s="49"/>
      <c r="UDA55" s="240"/>
      <c r="UDB55" s="240"/>
      <c r="UDC55" s="240"/>
      <c r="UDD55" s="257"/>
      <c r="UDE55" s="240"/>
      <c r="UDF55" s="257"/>
      <c r="UDG55" s="240"/>
      <c r="UDJ55" s="49"/>
      <c r="UDK55" s="240"/>
      <c r="UDL55" s="240"/>
      <c r="UDM55" s="240"/>
      <c r="UDN55" s="257"/>
      <c r="UDO55" s="240"/>
      <c r="UDP55" s="257"/>
      <c r="UDQ55" s="240"/>
      <c r="UDT55" s="49"/>
      <c r="UDU55" s="240"/>
      <c r="UDV55" s="240"/>
      <c r="UDW55" s="240"/>
      <c r="UDX55" s="257"/>
      <c r="UDY55" s="240"/>
      <c r="UDZ55" s="257"/>
      <c r="UEA55" s="240"/>
      <c r="UED55" s="49"/>
      <c r="UEE55" s="240"/>
      <c r="UEF55" s="240"/>
      <c r="UEG55" s="240"/>
      <c r="UEH55" s="257"/>
      <c r="UEI55" s="240"/>
      <c r="UEJ55" s="257"/>
      <c r="UEK55" s="240"/>
      <c r="UEN55" s="49"/>
      <c r="UEO55" s="240"/>
      <c r="UEP55" s="240"/>
      <c r="UEQ55" s="240"/>
      <c r="UER55" s="257"/>
      <c r="UES55" s="240"/>
      <c r="UET55" s="257"/>
      <c r="UEU55" s="240"/>
      <c r="UEX55" s="49"/>
      <c r="UEY55" s="240"/>
      <c r="UEZ55" s="240"/>
      <c r="UFA55" s="240"/>
      <c r="UFB55" s="257"/>
      <c r="UFC55" s="240"/>
      <c r="UFD55" s="257"/>
      <c r="UFE55" s="240"/>
      <c r="UFH55" s="49"/>
      <c r="UFI55" s="240"/>
      <c r="UFJ55" s="240"/>
      <c r="UFK55" s="240"/>
      <c r="UFL55" s="257"/>
      <c r="UFM55" s="240"/>
      <c r="UFN55" s="257"/>
      <c r="UFO55" s="240"/>
      <c r="UFR55" s="49"/>
      <c r="UFS55" s="240"/>
      <c r="UFT55" s="240"/>
      <c r="UFU55" s="240"/>
      <c r="UFV55" s="257"/>
      <c r="UFW55" s="240"/>
      <c r="UFX55" s="257"/>
      <c r="UFY55" s="240"/>
      <c r="UGB55" s="49"/>
      <c r="UGC55" s="240"/>
      <c r="UGD55" s="240"/>
      <c r="UGE55" s="240"/>
      <c r="UGF55" s="257"/>
      <c r="UGG55" s="240"/>
      <c r="UGH55" s="257"/>
      <c r="UGI55" s="240"/>
      <c r="UGL55" s="49"/>
      <c r="UGM55" s="240"/>
      <c r="UGN55" s="240"/>
      <c r="UGO55" s="240"/>
      <c r="UGP55" s="257"/>
      <c r="UGQ55" s="240"/>
      <c r="UGR55" s="257"/>
      <c r="UGS55" s="240"/>
      <c r="UGV55" s="49"/>
      <c r="UGW55" s="240"/>
      <c r="UGX55" s="240"/>
      <c r="UGY55" s="240"/>
      <c r="UGZ55" s="257"/>
      <c r="UHA55" s="240"/>
      <c r="UHB55" s="257"/>
      <c r="UHC55" s="240"/>
      <c r="UHF55" s="49"/>
      <c r="UHG55" s="240"/>
      <c r="UHH55" s="240"/>
      <c r="UHI55" s="240"/>
      <c r="UHJ55" s="257"/>
      <c r="UHK55" s="240"/>
      <c r="UHL55" s="257"/>
      <c r="UHM55" s="240"/>
      <c r="UHP55" s="49"/>
      <c r="UHQ55" s="240"/>
      <c r="UHR55" s="240"/>
      <c r="UHS55" s="240"/>
      <c r="UHT55" s="257"/>
      <c r="UHU55" s="240"/>
      <c r="UHV55" s="257"/>
      <c r="UHW55" s="240"/>
      <c r="UHZ55" s="49"/>
      <c r="UIA55" s="240"/>
      <c r="UIB55" s="240"/>
      <c r="UIC55" s="240"/>
      <c r="UID55" s="257"/>
      <c r="UIE55" s="240"/>
      <c r="UIF55" s="257"/>
      <c r="UIG55" s="240"/>
      <c r="UIJ55" s="49"/>
      <c r="UIK55" s="240"/>
      <c r="UIL55" s="240"/>
      <c r="UIM55" s="240"/>
      <c r="UIN55" s="257"/>
      <c r="UIO55" s="240"/>
      <c r="UIP55" s="257"/>
      <c r="UIQ55" s="240"/>
      <c r="UIT55" s="49"/>
      <c r="UIU55" s="240"/>
      <c r="UIV55" s="240"/>
      <c r="UIW55" s="240"/>
      <c r="UIX55" s="257"/>
      <c r="UIY55" s="240"/>
      <c r="UIZ55" s="257"/>
      <c r="UJA55" s="240"/>
      <c r="UJD55" s="49"/>
      <c r="UJE55" s="240"/>
      <c r="UJF55" s="240"/>
      <c r="UJG55" s="240"/>
      <c r="UJH55" s="257"/>
      <c r="UJI55" s="240"/>
      <c r="UJJ55" s="257"/>
      <c r="UJK55" s="240"/>
      <c r="UJN55" s="49"/>
      <c r="UJO55" s="240"/>
      <c r="UJP55" s="240"/>
      <c r="UJQ55" s="240"/>
      <c r="UJR55" s="257"/>
      <c r="UJS55" s="240"/>
      <c r="UJT55" s="257"/>
      <c r="UJU55" s="240"/>
      <c r="UJX55" s="49"/>
      <c r="UJY55" s="240"/>
      <c r="UJZ55" s="240"/>
      <c r="UKA55" s="240"/>
      <c r="UKB55" s="257"/>
      <c r="UKC55" s="240"/>
      <c r="UKD55" s="257"/>
      <c r="UKE55" s="240"/>
      <c r="UKH55" s="49"/>
      <c r="UKI55" s="240"/>
      <c r="UKJ55" s="240"/>
      <c r="UKK55" s="240"/>
      <c r="UKL55" s="257"/>
      <c r="UKM55" s="240"/>
      <c r="UKN55" s="257"/>
      <c r="UKO55" s="240"/>
      <c r="UKR55" s="49"/>
      <c r="UKS55" s="240"/>
      <c r="UKT55" s="240"/>
      <c r="UKU55" s="240"/>
      <c r="UKV55" s="257"/>
      <c r="UKW55" s="240"/>
      <c r="UKX55" s="257"/>
      <c r="UKY55" s="240"/>
      <c r="ULB55" s="49"/>
      <c r="ULC55" s="240"/>
      <c r="ULD55" s="240"/>
      <c r="ULE55" s="240"/>
      <c r="ULF55" s="257"/>
      <c r="ULG55" s="240"/>
      <c r="ULH55" s="257"/>
      <c r="ULI55" s="240"/>
      <c r="ULL55" s="49"/>
      <c r="ULM55" s="240"/>
      <c r="ULN55" s="240"/>
      <c r="ULO55" s="240"/>
      <c r="ULP55" s="257"/>
      <c r="ULQ55" s="240"/>
      <c r="ULR55" s="257"/>
      <c r="ULS55" s="240"/>
      <c r="ULV55" s="49"/>
      <c r="ULW55" s="240"/>
      <c r="ULX55" s="240"/>
      <c r="ULY55" s="240"/>
      <c r="ULZ55" s="257"/>
      <c r="UMA55" s="240"/>
      <c r="UMB55" s="257"/>
      <c r="UMC55" s="240"/>
      <c r="UMF55" s="49"/>
      <c r="UMG55" s="240"/>
      <c r="UMH55" s="240"/>
      <c r="UMI55" s="240"/>
      <c r="UMJ55" s="257"/>
      <c r="UMK55" s="240"/>
      <c r="UML55" s="257"/>
      <c r="UMM55" s="240"/>
      <c r="UMP55" s="49"/>
      <c r="UMQ55" s="240"/>
      <c r="UMR55" s="240"/>
      <c r="UMS55" s="240"/>
      <c r="UMT55" s="257"/>
      <c r="UMU55" s="240"/>
      <c r="UMV55" s="257"/>
      <c r="UMW55" s="240"/>
      <c r="UMZ55" s="49"/>
      <c r="UNA55" s="240"/>
      <c r="UNB55" s="240"/>
      <c r="UNC55" s="240"/>
      <c r="UND55" s="257"/>
      <c r="UNE55" s="240"/>
      <c r="UNF55" s="257"/>
      <c r="UNG55" s="240"/>
      <c r="UNJ55" s="49"/>
      <c r="UNK55" s="240"/>
      <c r="UNL55" s="240"/>
      <c r="UNM55" s="240"/>
      <c r="UNN55" s="257"/>
      <c r="UNO55" s="240"/>
      <c r="UNP55" s="257"/>
      <c r="UNQ55" s="240"/>
      <c r="UNT55" s="49"/>
      <c r="UNU55" s="240"/>
      <c r="UNV55" s="240"/>
      <c r="UNW55" s="240"/>
      <c r="UNX55" s="257"/>
      <c r="UNY55" s="240"/>
      <c r="UNZ55" s="257"/>
      <c r="UOA55" s="240"/>
      <c r="UOD55" s="49"/>
      <c r="UOE55" s="240"/>
      <c r="UOF55" s="240"/>
      <c r="UOG55" s="240"/>
      <c r="UOH55" s="257"/>
      <c r="UOI55" s="240"/>
      <c r="UOJ55" s="257"/>
      <c r="UOK55" s="240"/>
      <c r="UON55" s="49"/>
      <c r="UOO55" s="240"/>
      <c r="UOP55" s="240"/>
      <c r="UOQ55" s="240"/>
      <c r="UOR55" s="257"/>
      <c r="UOS55" s="240"/>
      <c r="UOT55" s="257"/>
      <c r="UOU55" s="240"/>
      <c r="UOX55" s="49"/>
      <c r="UOY55" s="240"/>
      <c r="UOZ55" s="240"/>
      <c r="UPA55" s="240"/>
      <c r="UPB55" s="257"/>
      <c r="UPC55" s="240"/>
      <c r="UPD55" s="257"/>
      <c r="UPE55" s="240"/>
      <c r="UPH55" s="49"/>
      <c r="UPI55" s="240"/>
      <c r="UPJ55" s="240"/>
      <c r="UPK55" s="240"/>
      <c r="UPL55" s="257"/>
      <c r="UPM55" s="240"/>
      <c r="UPN55" s="257"/>
      <c r="UPO55" s="240"/>
      <c r="UPR55" s="49"/>
      <c r="UPS55" s="240"/>
      <c r="UPT55" s="240"/>
      <c r="UPU55" s="240"/>
      <c r="UPV55" s="257"/>
      <c r="UPW55" s="240"/>
      <c r="UPX55" s="257"/>
      <c r="UPY55" s="240"/>
      <c r="UQB55" s="49"/>
      <c r="UQC55" s="240"/>
      <c r="UQD55" s="240"/>
      <c r="UQE55" s="240"/>
      <c r="UQF55" s="257"/>
      <c r="UQG55" s="240"/>
      <c r="UQH55" s="257"/>
      <c r="UQI55" s="240"/>
      <c r="UQL55" s="49"/>
      <c r="UQM55" s="240"/>
      <c r="UQN55" s="240"/>
      <c r="UQO55" s="240"/>
      <c r="UQP55" s="257"/>
      <c r="UQQ55" s="240"/>
      <c r="UQR55" s="257"/>
      <c r="UQS55" s="240"/>
      <c r="UQV55" s="49"/>
      <c r="UQW55" s="240"/>
      <c r="UQX55" s="240"/>
      <c r="UQY55" s="240"/>
      <c r="UQZ55" s="257"/>
      <c r="URA55" s="240"/>
      <c r="URB55" s="257"/>
      <c r="URC55" s="240"/>
      <c r="URF55" s="49"/>
      <c r="URG55" s="240"/>
      <c r="URH55" s="240"/>
      <c r="URI55" s="240"/>
      <c r="URJ55" s="257"/>
      <c r="URK55" s="240"/>
      <c r="URL55" s="257"/>
      <c r="URM55" s="240"/>
      <c r="URP55" s="49"/>
      <c r="URQ55" s="240"/>
      <c r="URR55" s="240"/>
      <c r="URS55" s="240"/>
      <c r="URT55" s="257"/>
      <c r="URU55" s="240"/>
      <c r="URV55" s="257"/>
      <c r="URW55" s="240"/>
      <c r="URZ55" s="49"/>
      <c r="USA55" s="240"/>
      <c r="USB55" s="240"/>
      <c r="USC55" s="240"/>
      <c r="USD55" s="257"/>
      <c r="USE55" s="240"/>
      <c r="USF55" s="257"/>
      <c r="USG55" s="240"/>
      <c r="USJ55" s="49"/>
      <c r="USK55" s="240"/>
      <c r="USL55" s="240"/>
      <c r="USM55" s="240"/>
      <c r="USN55" s="257"/>
      <c r="USO55" s="240"/>
      <c r="USP55" s="257"/>
      <c r="USQ55" s="240"/>
      <c r="UST55" s="49"/>
      <c r="USU55" s="240"/>
      <c r="USV55" s="240"/>
      <c r="USW55" s="240"/>
      <c r="USX55" s="257"/>
      <c r="USY55" s="240"/>
      <c r="USZ55" s="257"/>
      <c r="UTA55" s="240"/>
      <c r="UTD55" s="49"/>
      <c r="UTE55" s="240"/>
      <c r="UTF55" s="240"/>
      <c r="UTG55" s="240"/>
      <c r="UTH55" s="257"/>
      <c r="UTI55" s="240"/>
      <c r="UTJ55" s="257"/>
      <c r="UTK55" s="240"/>
      <c r="UTN55" s="49"/>
      <c r="UTO55" s="240"/>
      <c r="UTP55" s="240"/>
      <c r="UTQ55" s="240"/>
      <c r="UTR55" s="257"/>
      <c r="UTS55" s="240"/>
      <c r="UTT55" s="257"/>
      <c r="UTU55" s="240"/>
      <c r="UTX55" s="49"/>
      <c r="UTY55" s="240"/>
      <c r="UTZ55" s="240"/>
      <c r="UUA55" s="240"/>
      <c r="UUB55" s="257"/>
      <c r="UUC55" s="240"/>
      <c r="UUD55" s="257"/>
      <c r="UUE55" s="240"/>
      <c r="UUH55" s="49"/>
      <c r="UUI55" s="240"/>
      <c r="UUJ55" s="240"/>
      <c r="UUK55" s="240"/>
      <c r="UUL55" s="257"/>
      <c r="UUM55" s="240"/>
      <c r="UUN55" s="257"/>
      <c r="UUO55" s="240"/>
      <c r="UUR55" s="49"/>
      <c r="UUS55" s="240"/>
      <c r="UUT55" s="240"/>
      <c r="UUU55" s="240"/>
      <c r="UUV55" s="257"/>
      <c r="UUW55" s="240"/>
      <c r="UUX55" s="257"/>
      <c r="UUY55" s="240"/>
      <c r="UVB55" s="49"/>
      <c r="UVC55" s="240"/>
      <c r="UVD55" s="240"/>
      <c r="UVE55" s="240"/>
      <c r="UVF55" s="257"/>
      <c r="UVG55" s="240"/>
      <c r="UVH55" s="257"/>
      <c r="UVI55" s="240"/>
      <c r="UVL55" s="49"/>
      <c r="UVM55" s="240"/>
      <c r="UVN55" s="240"/>
      <c r="UVO55" s="240"/>
      <c r="UVP55" s="257"/>
      <c r="UVQ55" s="240"/>
      <c r="UVR55" s="257"/>
      <c r="UVS55" s="240"/>
      <c r="UVV55" s="49"/>
      <c r="UVW55" s="240"/>
      <c r="UVX55" s="240"/>
      <c r="UVY55" s="240"/>
      <c r="UVZ55" s="257"/>
      <c r="UWA55" s="240"/>
      <c r="UWB55" s="257"/>
      <c r="UWC55" s="240"/>
      <c r="UWF55" s="49"/>
      <c r="UWG55" s="240"/>
      <c r="UWH55" s="240"/>
      <c r="UWI55" s="240"/>
      <c r="UWJ55" s="257"/>
      <c r="UWK55" s="240"/>
      <c r="UWL55" s="257"/>
      <c r="UWM55" s="240"/>
      <c r="UWP55" s="49"/>
      <c r="UWQ55" s="240"/>
      <c r="UWR55" s="240"/>
      <c r="UWS55" s="240"/>
      <c r="UWT55" s="257"/>
      <c r="UWU55" s="240"/>
      <c r="UWV55" s="257"/>
      <c r="UWW55" s="240"/>
      <c r="UWZ55" s="49"/>
      <c r="UXA55" s="240"/>
      <c r="UXB55" s="240"/>
      <c r="UXC55" s="240"/>
      <c r="UXD55" s="257"/>
      <c r="UXE55" s="240"/>
      <c r="UXF55" s="257"/>
      <c r="UXG55" s="240"/>
      <c r="UXJ55" s="49"/>
      <c r="UXK55" s="240"/>
      <c r="UXL55" s="240"/>
      <c r="UXM55" s="240"/>
      <c r="UXN55" s="257"/>
      <c r="UXO55" s="240"/>
      <c r="UXP55" s="257"/>
      <c r="UXQ55" s="240"/>
      <c r="UXT55" s="49"/>
      <c r="UXU55" s="240"/>
      <c r="UXV55" s="240"/>
      <c r="UXW55" s="240"/>
      <c r="UXX55" s="257"/>
      <c r="UXY55" s="240"/>
      <c r="UXZ55" s="257"/>
      <c r="UYA55" s="240"/>
      <c r="UYD55" s="49"/>
      <c r="UYE55" s="240"/>
      <c r="UYF55" s="240"/>
      <c r="UYG55" s="240"/>
      <c r="UYH55" s="257"/>
      <c r="UYI55" s="240"/>
      <c r="UYJ55" s="257"/>
      <c r="UYK55" s="240"/>
      <c r="UYN55" s="49"/>
      <c r="UYO55" s="240"/>
      <c r="UYP55" s="240"/>
      <c r="UYQ55" s="240"/>
      <c r="UYR55" s="257"/>
      <c r="UYS55" s="240"/>
      <c r="UYT55" s="257"/>
      <c r="UYU55" s="240"/>
      <c r="UYX55" s="49"/>
      <c r="UYY55" s="240"/>
      <c r="UYZ55" s="240"/>
      <c r="UZA55" s="240"/>
      <c r="UZB55" s="257"/>
      <c r="UZC55" s="240"/>
      <c r="UZD55" s="257"/>
      <c r="UZE55" s="240"/>
      <c r="UZH55" s="49"/>
      <c r="UZI55" s="240"/>
      <c r="UZJ55" s="240"/>
      <c r="UZK55" s="240"/>
      <c r="UZL55" s="257"/>
      <c r="UZM55" s="240"/>
      <c r="UZN55" s="257"/>
      <c r="UZO55" s="240"/>
      <c r="UZR55" s="49"/>
      <c r="UZS55" s="240"/>
      <c r="UZT55" s="240"/>
      <c r="UZU55" s="240"/>
      <c r="UZV55" s="257"/>
      <c r="UZW55" s="240"/>
      <c r="UZX55" s="257"/>
      <c r="UZY55" s="240"/>
      <c r="VAB55" s="49"/>
      <c r="VAC55" s="240"/>
      <c r="VAD55" s="240"/>
      <c r="VAE55" s="240"/>
      <c r="VAF55" s="257"/>
      <c r="VAG55" s="240"/>
      <c r="VAH55" s="257"/>
      <c r="VAI55" s="240"/>
      <c r="VAL55" s="49"/>
      <c r="VAM55" s="240"/>
      <c r="VAN55" s="240"/>
      <c r="VAO55" s="240"/>
      <c r="VAP55" s="257"/>
      <c r="VAQ55" s="240"/>
      <c r="VAR55" s="257"/>
      <c r="VAS55" s="240"/>
      <c r="VAV55" s="49"/>
      <c r="VAW55" s="240"/>
      <c r="VAX55" s="240"/>
      <c r="VAY55" s="240"/>
      <c r="VAZ55" s="257"/>
      <c r="VBA55" s="240"/>
      <c r="VBB55" s="257"/>
      <c r="VBC55" s="240"/>
      <c r="VBF55" s="49"/>
      <c r="VBG55" s="240"/>
      <c r="VBH55" s="240"/>
      <c r="VBI55" s="240"/>
      <c r="VBJ55" s="257"/>
      <c r="VBK55" s="240"/>
      <c r="VBL55" s="257"/>
      <c r="VBM55" s="240"/>
      <c r="VBP55" s="49"/>
      <c r="VBQ55" s="240"/>
      <c r="VBR55" s="240"/>
      <c r="VBS55" s="240"/>
      <c r="VBT55" s="257"/>
      <c r="VBU55" s="240"/>
      <c r="VBV55" s="257"/>
      <c r="VBW55" s="240"/>
      <c r="VBZ55" s="49"/>
      <c r="VCA55" s="240"/>
      <c r="VCB55" s="240"/>
      <c r="VCC55" s="240"/>
      <c r="VCD55" s="257"/>
      <c r="VCE55" s="240"/>
      <c r="VCF55" s="257"/>
      <c r="VCG55" s="240"/>
      <c r="VCJ55" s="49"/>
      <c r="VCK55" s="240"/>
      <c r="VCL55" s="240"/>
      <c r="VCM55" s="240"/>
      <c r="VCN55" s="257"/>
      <c r="VCO55" s="240"/>
      <c r="VCP55" s="257"/>
      <c r="VCQ55" s="240"/>
      <c r="VCT55" s="49"/>
      <c r="VCU55" s="240"/>
      <c r="VCV55" s="240"/>
      <c r="VCW55" s="240"/>
      <c r="VCX55" s="257"/>
      <c r="VCY55" s="240"/>
      <c r="VCZ55" s="257"/>
      <c r="VDA55" s="240"/>
      <c r="VDD55" s="49"/>
      <c r="VDE55" s="240"/>
      <c r="VDF55" s="240"/>
      <c r="VDG55" s="240"/>
      <c r="VDH55" s="257"/>
      <c r="VDI55" s="240"/>
      <c r="VDJ55" s="257"/>
      <c r="VDK55" s="240"/>
      <c r="VDN55" s="49"/>
      <c r="VDO55" s="240"/>
      <c r="VDP55" s="240"/>
      <c r="VDQ55" s="240"/>
      <c r="VDR55" s="257"/>
      <c r="VDS55" s="240"/>
      <c r="VDT55" s="257"/>
      <c r="VDU55" s="240"/>
      <c r="VDX55" s="49"/>
      <c r="VDY55" s="240"/>
      <c r="VDZ55" s="240"/>
      <c r="VEA55" s="240"/>
      <c r="VEB55" s="257"/>
      <c r="VEC55" s="240"/>
      <c r="VED55" s="257"/>
      <c r="VEE55" s="240"/>
      <c r="VEH55" s="49"/>
      <c r="VEI55" s="240"/>
      <c r="VEJ55" s="240"/>
      <c r="VEK55" s="240"/>
      <c r="VEL55" s="257"/>
      <c r="VEM55" s="240"/>
      <c r="VEN55" s="257"/>
      <c r="VEO55" s="240"/>
      <c r="VER55" s="49"/>
      <c r="VES55" s="240"/>
      <c r="VET55" s="240"/>
      <c r="VEU55" s="240"/>
      <c r="VEV55" s="257"/>
      <c r="VEW55" s="240"/>
      <c r="VEX55" s="257"/>
      <c r="VEY55" s="240"/>
      <c r="VFB55" s="49"/>
      <c r="VFC55" s="240"/>
      <c r="VFD55" s="240"/>
      <c r="VFE55" s="240"/>
      <c r="VFF55" s="257"/>
      <c r="VFG55" s="240"/>
      <c r="VFH55" s="257"/>
      <c r="VFI55" s="240"/>
      <c r="VFL55" s="49"/>
      <c r="VFM55" s="240"/>
      <c r="VFN55" s="240"/>
      <c r="VFO55" s="240"/>
      <c r="VFP55" s="257"/>
      <c r="VFQ55" s="240"/>
      <c r="VFR55" s="257"/>
      <c r="VFS55" s="240"/>
      <c r="VFV55" s="49"/>
      <c r="VFW55" s="240"/>
      <c r="VFX55" s="240"/>
      <c r="VFY55" s="240"/>
      <c r="VFZ55" s="257"/>
      <c r="VGA55" s="240"/>
      <c r="VGB55" s="257"/>
      <c r="VGC55" s="240"/>
      <c r="VGF55" s="49"/>
      <c r="VGG55" s="240"/>
      <c r="VGH55" s="240"/>
      <c r="VGI55" s="240"/>
      <c r="VGJ55" s="257"/>
      <c r="VGK55" s="240"/>
      <c r="VGL55" s="257"/>
      <c r="VGM55" s="240"/>
      <c r="VGP55" s="49"/>
      <c r="VGQ55" s="240"/>
      <c r="VGR55" s="240"/>
      <c r="VGS55" s="240"/>
      <c r="VGT55" s="257"/>
      <c r="VGU55" s="240"/>
      <c r="VGV55" s="257"/>
      <c r="VGW55" s="240"/>
      <c r="VGZ55" s="49"/>
      <c r="VHA55" s="240"/>
      <c r="VHB55" s="240"/>
      <c r="VHC55" s="240"/>
      <c r="VHD55" s="257"/>
      <c r="VHE55" s="240"/>
      <c r="VHF55" s="257"/>
      <c r="VHG55" s="240"/>
      <c r="VHJ55" s="49"/>
      <c r="VHK55" s="240"/>
      <c r="VHL55" s="240"/>
      <c r="VHM55" s="240"/>
      <c r="VHN55" s="257"/>
      <c r="VHO55" s="240"/>
      <c r="VHP55" s="257"/>
      <c r="VHQ55" s="240"/>
      <c r="VHT55" s="49"/>
      <c r="VHU55" s="240"/>
      <c r="VHV55" s="240"/>
      <c r="VHW55" s="240"/>
      <c r="VHX55" s="257"/>
      <c r="VHY55" s="240"/>
      <c r="VHZ55" s="257"/>
      <c r="VIA55" s="240"/>
      <c r="VID55" s="49"/>
      <c r="VIE55" s="240"/>
      <c r="VIF55" s="240"/>
      <c r="VIG55" s="240"/>
      <c r="VIH55" s="257"/>
      <c r="VII55" s="240"/>
      <c r="VIJ55" s="257"/>
      <c r="VIK55" s="240"/>
      <c r="VIN55" s="49"/>
      <c r="VIO55" s="240"/>
      <c r="VIP55" s="240"/>
      <c r="VIQ55" s="240"/>
      <c r="VIR55" s="257"/>
      <c r="VIS55" s="240"/>
      <c r="VIT55" s="257"/>
      <c r="VIU55" s="240"/>
      <c r="VIX55" s="49"/>
      <c r="VIY55" s="240"/>
      <c r="VIZ55" s="240"/>
      <c r="VJA55" s="240"/>
      <c r="VJB55" s="257"/>
      <c r="VJC55" s="240"/>
      <c r="VJD55" s="257"/>
      <c r="VJE55" s="240"/>
      <c r="VJH55" s="49"/>
      <c r="VJI55" s="240"/>
      <c r="VJJ55" s="240"/>
      <c r="VJK55" s="240"/>
      <c r="VJL55" s="257"/>
      <c r="VJM55" s="240"/>
      <c r="VJN55" s="257"/>
      <c r="VJO55" s="240"/>
      <c r="VJR55" s="49"/>
      <c r="VJS55" s="240"/>
      <c r="VJT55" s="240"/>
      <c r="VJU55" s="240"/>
      <c r="VJV55" s="257"/>
      <c r="VJW55" s="240"/>
      <c r="VJX55" s="257"/>
      <c r="VJY55" s="240"/>
      <c r="VKB55" s="49"/>
      <c r="VKC55" s="240"/>
      <c r="VKD55" s="240"/>
      <c r="VKE55" s="240"/>
      <c r="VKF55" s="257"/>
      <c r="VKG55" s="240"/>
      <c r="VKH55" s="257"/>
      <c r="VKI55" s="240"/>
      <c r="VKL55" s="49"/>
      <c r="VKM55" s="240"/>
      <c r="VKN55" s="240"/>
      <c r="VKO55" s="240"/>
      <c r="VKP55" s="257"/>
      <c r="VKQ55" s="240"/>
      <c r="VKR55" s="257"/>
      <c r="VKS55" s="240"/>
      <c r="VKV55" s="49"/>
      <c r="VKW55" s="240"/>
      <c r="VKX55" s="240"/>
      <c r="VKY55" s="240"/>
      <c r="VKZ55" s="257"/>
      <c r="VLA55" s="240"/>
      <c r="VLB55" s="257"/>
      <c r="VLC55" s="240"/>
      <c r="VLF55" s="49"/>
      <c r="VLG55" s="240"/>
      <c r="VLH55" s="240"/>
      <c r="VLI55" s="240"/>
      <c r="VLJ55" s="257"/>
      <c r="VLK55" s="240"/>
      <c r="VLL55" s="257"/>
      <c r="VLM55" s="240"/>
      <c r="VLP55" s="49"/>
      <c r="VLQ55" s="240"/>
      <c r="VLR55" s="240"/>
      <c r="VLS55" s="240"/>
      <c r="VLT55" s="257"/>
      <c r="VLU55" s="240"/>
      <c r="VLV55" s="257"/>
      <c r="VLW55" s="240"/>
      <c r="VLZ55" s="49"/>
      <c r="VMA55" s="240"/>
      <c r="VMB55" s="240"/>
      <c r="VMC55" s="240"/>
      <c r="VMD55" s="257"/>
      <c r="VME55" s="240"/>
      <c r="VMF55" s="257"/>
      <c r="VMG55" s="240"/>
      <c r="VMJ55" s="49"/>
      <c r="VMK55" s="240"/>
      <c r="VML55" s="240"/>
      <c r="VMM55" s="240"/>
      <c r="VMN55" s="257"/>
      <c r="VMO55" s="240"/>
      <c r="VMP55" s="257"/>
      <c r="VMQ55" s="240"/>
      <c r="VMT55" s="49"/>
      <c r="VMU55" s="240"/>
      <c r="VMV55" s="240"/>
      <c r="VMW55" s="240"/>
      <c r="VMX55" s="257"/>
      <c r="VMY55" s="240"/>
      <c r="VMZ55" s="257"/>
      <c r="VNA55" s="240"/>
      <c r="VND55" s="49"/>
      <c r="VNE55" s="240"/>
      <c r="VNF55" s="240"/>
      <c r="VNG55" s="240"/>
      <c r="VNH55" s="257"/>
      <c r="VNI55" s="240"/>
      <c r="VNJ55" s="257"/>
      <c r="VNK55" s="240"/>
      <c r="VNN55" s="49"/>
      <c r="VNO55" s="240"/>
      <c r="VNP55" s="240"/>
      <c r="VNQ55" s="240"/>
      <c r="VNR55" s="257"/>
      <c r="VNS55" s="240"/>
      <c r="VNT55" s="257"/>
      <c r="VNU55" s="240"/>
      <c r="VNX55" s="49"/>
      <c r="VNY55" s="240"/>
      <c r="VNZ55" s="240"/>
      <c r="VOA55" s="240"/>
      <c r="VOB55" s="257"/>
      <c r="VOC55" s="240"/>
      <c r="VOD55" s="257"/>
      <c r="VOE55" s="240"/>
      <c r="VOH55" s="49"/>
      <c r="VOI55" s="240"/>
      <c r="VOJ55" s="240"/>
      <c r="VOK55" s="240"/>
      <c r="VOL55" s="257"/>
      <c r="VOM55" s="240"/>
      <c r="VON55" s="257"/>
      <c r="VOO55" s="240"/>
      <c r="VOR55" s="49"/>
      <c r="VOS55" s="240"/>
      <c r="VOT55" s="240"/>
      <c r="VOU55" s="240"/>
      <c r="VOV55" s="257"/>
      <c r="VOW55" s="240"/>
      <c r="VOX55" s="257"/>
      <c r="VOY55" s="240"/>
      <c r="VPB55" s="49"/>
      <c r="VPC55" s="240"/>
      <c r="VPD55" s="240"/>
      <c r="VPE55" s="240"/>
      <c r="VPF55" s="257"/>
      <c r="VPG55" s="240"/>
      <c r="VPH55" s="257"/>
      <c r="VPI55" s="240"/>
      <c r="VPL55" s="49"/>
      <c r="VPM55" s="240"/>
      <c r="VPN55" s="240"/>
      <c r="VPO55" s="240"/>
      <c r="VPP55" s="257"/>
      <c r="VPQ55" s="240"/>
      <c r="VPR55" s="257"/>
      <c r="VPS55" s="240"/>
      <c r="VPV55" s="49"/>
      <c r="VPW55" s="240"/>
      <c r="VPX55" s="240"/>
      <c r="VPY55" s="240"/>
      <c r="VPZ55" s="257"/>
      <c r="VQA55" s="240"/>
      <c r="VQB55" s="257"/>
      <c r="VQC55" s="240"/>
      <c r="VQF55" s="49"/>
      <c r="VQG55" s="240"/>
      <c r="VQH55" s="240"/>
      <c r="VQI55" s="240"/>
      <c r="VQJ55" s="257"/>
      <c r="VQK55" s="240"/>
      <c r="VQL55" s="257"/>
      <c r="VQM55" s="240"/>
      <c r="VQP55" s="49"/>
      <c r="VQQ55" s="240"/>
      <c r="VQR55" s="240"/>
      <c r="VQS55" s="240"/>
      <c r="VQT55" s="257"/>
      <c r="VQU55" s="240"/>
      <c r="VQV55" s="257"/>
      <c r="VQW55" s="240"/>
      <c r="VQZ55" s="49"/>
      <c r="VRA55" s="240"/>
      <c r="VRB55" s="240"/>
      <c r="VRC55" s="240"/>
      <c r="VRD55" s="257"/>
      <c r="VRE55" s="240"/>
      <c r="VRF55" s="257"/>
      <c r="VRG55" s="240"/>
      <c r="VRJ55" s="49"/>
      <c r="VRK55" s="240"/>
      <c r="VRL55" s="240"/>
      <c r="VRM55" s="240"/>
      <c r="VRN55" s="257"/>
      <c r="VRO55" s="240"/>
      <c r="VRP55" s="257"/>
      <c r="VRQ55" s="240"/>
      <c r="VRT55" s="49"/>
      <c r="VRU55" s="240"/>
      <c r="VRV55" s="240"/>
      <c r="VRW55" s="240"/>
      <c r="VRX55" s="257"/>
      <c r="VRY55" s="240"/>
      <c r="VRZ55" s="257"/>
      <c r="VSA55" s="240"/>
      <c r="VSD55" s="49"/>
      <c r="VSE55" s="240"/>
      <c r="VSF55" s="240"/>
      <c r="VSG55" s="240"/>
      <c r="VSH55" s="257"/>
      <c r="VSI55" s="240"/>
      <c r="VSJ55" s="257"/>
      <c r="VSK55" s="240"/>
      <c r="VSN55" s="49"/>
      <c r="VSO55" s="240"/>
      <c r="VSP55" s="240"/>
      <c r="VSQ55" s="240"/>
      <c r="VSR55" s="257"/>
      <c r="VSS55" s="240"/>
      <c r="VST55" s="257"/>
      <c r="VSU55" s="240"/>
      <c r="VSX55" s="49"/>
      <c r="VSY55" s="240"/>
      <c r="VSZ55" s="240"/>
      <c r="VTA55" s="240"/>
      <c r="VTB55" s="257"/>
      <c r="VTC55" s="240"/>
      <c r="VTD55" s="257"/>
      <c r="VTE55" s="240"/>
      <c r="VTH55" s="49"/>
      <c r="VTI55" s="240"/>
      <c r="VTJ55" s="240"/>
      <c r="VTK55" s="240"/>
      <c r="VTL55" s="257"/>
      <c r="VTM55" s="240"/>
      <c r="VTN55" s="257"/>
      <c r="VTO55" s="240"/>
      <c r="VTR55" s="49"/>
      <c r="VTS55" s="240"/>
      <c r="VTT55" s="240"/>
      <c r="VTU55" s="240"/>
      <c r="VTV55" s="257"/>
      <c r="VTW55" s="240"/>
      <c r="VTX55" s="257"/>
      <c r="VTY55" s="240"/>
      <c r="VUB55" s="49"/>
      <c r="VUC55" s="240"/>
      <c r="VUD55" s="240"/>
      <c r="VUE55" s="240"/>
      <c r="VUF55" s="257"/>
      <c r="VUG55" s="240"/>
      <c r="VUH55" s="257"/>
      <c r="VUI55" s="240"/>
      <c r="VUL55" s="49"/>
      <c r="VUM55" s="240"/>
      <c r="VUN55" s="240"/>
      <c r="VUO55" s="240"/>
      <c r="VUP55" s="257"/>
      <c r="VUQ55" s="240"/>
      <c r="VUR55" s="257"/>
      <c r="VUS55" s="240"/>
      <c r="VUV55" s="49"/>
      <c r="VUW55" s="240"/>
      <c r="VUX55" s="240"/>
      <c r="VUY55" s="240"/>
      <c r="VUZ55" s="257"/>
      <c r="VVA55" s="240"/>
      <c r="VVB55" s="257"/>
      <c r="VVC55" s="240"/>
      <c r="VVF55" s="49"/>
      <c r="VVG55" s="240"/>
      <c r="VVH55" s="240"/>
      <c r="VVI55" s="240"/>
      <c r="VVJ55" s="257"/>
      <c r="VVK55" s="240"/>
      <c r="VVL55" s="257"/>
      <c r="VVM55" s="240"/>
      <c r="VVP55" s="49"/>
      <c r="VVQ55" s="240"/>
      <c r="VVR55" s="240"/>
      <c r="VVS55" s="240"/>
      <c r="VVT55" s="257"/>
      <c r="VVU55" s="240"/>
      <c r="VVV55" s="257"/>
      <c r="VVW55" s="240"/>
      <c r="VVZ55" s="49"/>
      <c r="VWA55" s="240"/>
      <c r="VWB55" s="240"/>
      <c r="VWC55" s="240"/>
      <c r="VWD55" s="257"/>
      <c r="VWE55" s="240"/>
      <c r="VWF55" s="257"/>
      <c r="VWG55" s="240"/>
      <c r="VWJ55" s="49"/>
      <c r="VWK55" s="240"/>
      <c r="VWL55" s="240"/>
      <c r="VWM55" s="240"/>
      <c r="VWN55" s="257"/>
      <c r="VWO55" s="240"/>
      <c r="VWP55" s="257"/>
      <c r="VWQ55" s="240"/>
      <c r="VWT55" s="49"/>
      <c r="VWU55" s="240"/>
      <c r="VWV55" s="240"/>
      <c r="VWW55" s="240"/>
      <c r="VWX55" s="257"/>
      <c r="VWY55" s="240"/>
      <c r="VWZ55" s="257"/>
      <c r="VXA55" s="240"/>
      <c r="VXD55" s="49"/>
      <c r="VXE55" s="240"/>
      <c r="VXF55" s="240"/>
      <c r="VXG55" s="240"/>
      <c r="VXH55" s="257"/>
      <c r="VXI55" s="240"/>
      <c r="VXJ55" s="257"/>
      <c r="VXK55" s="240"/>
      <c r="VXN55" s="49"/>
      <c r="VXO55" s="240"/>
      <c r="VXP55" s="240"/>
      <c r="VXQ55" s="240"/>
      <c r="VXR55" s="257"/>
      <c r="VXS55" s="240"/>
      <c r="VXT55" s="257"/>
      <c r="VXU55" s="240"/>
      <c r="VXX55" s="49"/>
      <c r="VXY55" s="240"/>
      <c r="VXZ55" s="240"/>
      <c r="VYA55" s="240"/>
      <c r="VYB55" s="257"/>
      <c r="VYC55" s="240"/>
      <c r="VYD55" s="257"/>
      <c r="VYE55" s="240"/>
      <c r="VYH55" s="49"/>
      <c r="VYI55" s="240"/>
      <c r="VYJ55" s="240"/>
      <c r="VYK55" s="240"/>
      <c r="VYL55" s="257"/>
      <c r="VYM55" s="240"/>
      <c r="VYN55" s="257"/>
      <c r="VYO55" s="240"/>
      <c r="VYR55" s="49"/>
      <c r="VYS55" s="240"/>
      <c r="VYT55" s="240"/>
      <c r="VYU55" s="240"/>
      <c r="VYV55" s="257"/>
      <c r="VYW55" s="240"/>
      <c r="VYX55" s="257"/>
      <c r="VYY55" s="240"/>
      <c r="VZB55" s="49"/>
      <c r="VZC55" s="240"/>
      <c r="VZD55" s="240"/>
      <c r="VZE55" s="240"/>
      <c r="VZF55" s="257"/>
      <c r="VZG55" s="240"/>
      <c r="VZH55" s="257"/>
      <c r="VZI55" s="240"/>
      <c r="VZL55" s="49"/>
      <c r="VZM55" s="240"/>
      <c r="VZN55" s="240"/>
      <c r="VZO55" s="240"/>
      <c r="VZP55" s="257"/>
      <c r="VZQ55" s="240"/>
      <c r="VZR55" s="257"/>
      <c r="VZS55" s="240"/>
      <c r="VZV55" s="49"/>
      <c r="VZW55" s="240"/>
      <c r="VZX55" s="240"/>
      <c r="VZY55" s="240"/>
      <c r="VZZ55" s="257"/>
      <c r="WAA55" s="240"/>
      <c r="WAB55" s="257"/>
      <c r="WAC55" s="240"/>
      <c r="WAF55" s="49"/>
      <c r="WAG55" s="240"/>
      <c r="WAH55" s="240"/>
      <c r="WAI55" s="240"/>
      <c r="WAJ55" s="257"/>
      <c r="WAK55" s="240"/>
      <c r="WAL55" s="257"/>
      <c r="WAM55" s="240"/>
      <c r="WAP55" s="49"/>
      <c r="WAQ55" s="240"/>
      <c r="WAR55" s="240"/>
      <c r="WAS55" s="240"/>
      <c r="WAT55" s="257"/>
      <c r="WAU55" s="240"/>
      <c r="WAV55" s="257"/>
      <c r="WAW55" s="240"/>
      <c r="WAZ55" s="49"/>
      <c r="WBA55" s="240"/>
      <c r="WBB55" s="240"/>
      <c r="WBC55" s="240"/>
      <c r="WBD55" s="257"/>
      <c r="WBE55" s="240"/>
      <c r="WBF55" s="257"/>
      <c r="WBG55" s="240"/>
      <c r="WBJ55" s="49"/>
      <c r="WBK55" s="240"/>
      <c r="WBL55" s="240"/>
      <c r="WBM55" s="240"/>
      <c r="WBN55" s="257"/>
      <c r="WBO55" s="240"/>
      <c r="WBP55" s="257"/>
      <c r="WBQ55" s="240"/>
      <c r="WBT55" s="49"/>
      <c r="WBU55" s="240"/>
      <c r="WBV55" s="240"/>
      <c r="WBW55" s="240"/>
      <c r="WBX55" s="257"/>
      <c r="WBY55" s="240"/>
      <c r="WBZ55" s="257"/>
      <c r="WCA55" s="240"/>
      <c r="WCD55" s="49"/>
      <c r="WCE55" s="240"/>
      <c r="WCF55" s="240"/>
      <c r="WCG55" s="240"/>
      <c r="WCH55" s="257"/>
      <c r="WCI55" s="240"/>
      <c r="WCJ55" s="257"/>
      <c r="WCK55" s="240"/>
      <c r="WCN55" s="49"/>
      <c r="WCO55" s="240"/>
      <c r="WCP55" s="240"/>
      <c r="WCQ55" s="240"/>
      <c r="WCR55" s="257"/>
      <c r="WCS55" s="240"/>
      <c r="WCT55" s="257"/>
      <c r="WCU55" s="240"/>
      <c r="WCX55" s="49"/>
      <c r="WCY55" s="240"/>
      <c r="WCZ55" s="240"/>
      <c r="WDA55" s="240"/>
      <c r="WDB55" s="257"/>
      <c r="WDC55" s="240"/>
      <c r="WDD55" s="257"/>
      <c r="WDE55" s="240"/>
      <c r="WDH55" s="49"/>
      <c r="WDI55" s="240"/>
      <c r="WDJ55" s="240"/>
      <c r="WDK55" s="240"/>
      <c r="WDL55" s="257"/>
      <c r="WDM55" s="240"/>
      <c r="WDN55" s="257"/>
      <c r="WDO55" s="240"/>
      <c r="WDR55" s="49"/>
      <c r="WDS55" s="240"/>
      <c r="WDT55" s="240"/>
      <c r="WDU55" s="240"/>
      <c r="WDV55" s="257"/>
      <c r="WDW55" s="240"/>
      <c r="WDX55" s="257"/>
      <c r="WDY55" s="240"/>
      <c r="WEB55" s="49"/>
      <c r="WEC55" s="240"/>
      <c r="WED55" s="240"/>
      <c r="WEE55" s="240"/>
      <c r="WEF55" s="257"/>
      <c r="WEG55" s="240"/>
      <c r="WEH55" s="257"/>
      <c r="WEI55" s="240"/>
      <c r="WEL55" s="49"/>
      <c r="WEM55" s="240"/>
      <c r="WEN55" s="240"/>
      <c r="WEO55" s="240"/>
      <c r="WEP55" s="257"/>
      <c r="WEQ55" s="240"/>
      <c r="WER55" s="257"/>
      <c r="WES55" s="240"/>
      <c r="WEV55" s="49"/>
      <c r="WEW55" s="240"/>
      <c r="WEX55" s="240"/>
      <c r="WEY55" s="240"/>
      <c r="WEZ55" s="257"/>
      <c r="WFA55" s="240"/>
      <c r="WFB55" s="257"/>
      <c r="WFC55" s="240"/>
      <c r="WFF55" s="49"/>
      <c r="WFG55" s="240"/>
      <c r="WFH55" s="240"/>
      <c r="WFI55" s="240"/>
      <c r="WFJ55" s="257"/>
      <c r="WFK55" s="240"/>
      <c r="WFL55" s="257"/>
      <c r="WFM55" s="240"/>
      <c r="WFP55" s="49"/>
      <c r="WFQ55" s="240"/>
      <c r="WFR55" s="240"/>
      <c r="WFS55" s="240"/>
      <c r="WFT55" s="257"/>
      <c r="WFU55" s="240"/>
      <c r="WFV55" s="257"/>
      <c r="WFW55" s="240"/>
      <c r="WFZ55" s="49"/>
      <c r="WGA55" s="240"/>
      <c r="WGB55" s="240"/>
      <c r="WGC55" s="240"/>
      <c r="WGD55" s="257"/>
      <c r="WGE55" s="240"/>
      <c r="WGF55" s="257"/>
      <c r="WGG55" s="240"/>
      <c r="WGJ55" s="49"/>
      <c r="WGK55" s="240"/>
      <c r="WGL55" s="240"/>
      <c r="WGM55" s="240"/>
      <c r="WGN55" s="257"/>
      <c r="WGO55" s="240"/>
      <c r="WGP55" s="257"/>
      <c r="WGQ55" s="240"/>
      <c r="WGT55" s="49"/>
      <c r="WGU55" s="240"/>
      <c r="WGV55" s="240"/>
      <c r="WGW55" s="240"/>
      <c r="WGX55" s="257"/>
      <c r="WGY55" s="240"/>
      <c r="WGZ55" s="257"/>
      <c r="WHA55" s="240"/>
      <c r="WHD55" s="49"/>
      <c r="WHE55" s="240"/>
      <c r="WHF55" s="240"/>
      <c r="WHG55" s="240"/>
      <c r="WHH55" s="257"/>
      <c r="WHI55" s="240"/>
      <c r="WHJ55" s="257"/>
      <c r="WHK55" s="240"/>
      <c r="WHN55" s="49"/>
      <c r="WHO55" s="240"/>
      <c r="WHP55" s="240"/>
      <c r="WHQ55" s="240"/>
      <c r="WHR55" s="257"/>
      <c r="WHS55" s="240"/>
      <c r="WHT55" s="257"/>
      <c r="WHU55" s="240"/>
      <c r="WHX55" s="49"/>
      <c r="WHY55" s="240"/>
      <c r="WHZ55" s="240"/>
      <c r="WIA55" s="240"/>
      <c r="WIB55" s="257"/>
      <c r="WIC55" s="240"/>
      <c r="WID55" s="257"/>
      <c r="WIE55" s="240"/>
      <c r="WIH55" s="49"/>
      <c r="WII55" s="240"/>
      <c r="WIJ55" s="240"/>
      <c r="WIK55" s="240"/>
      <c r="WIL55" s="257"/>
      <c r="WIM55" s="240"/>
      <c r="WIN55" s="257"/>
      <c r="WIO55" s="240"/>
      <c r="WIR55" s="49"/>
      <c r="WIS55" s="240"/>
      <c r="WIT55" s="240"/>
      <c r="WIU55" s="240"/>
      <c r="WIV55" s="257"/>
      <c r="WIW55" s="240"/>
      <c r="WIX55" s="257"/>
      <c r="WIY55" s="240"/>
      <c r="WJB55" s="49"/>
      <c r="WJC55" s="240"/>
      <c r="WJD55" s="240"/>
      <c r="WJE55" s="240"/>
      <c r="WJF55" s="257"/>
      <c r="WJG55" s="240"/>
      <c r="WJH55" s="257"/>
      <c r="WJI55" s="240"/>
      <c r="WJL55" s="49"/>
      <c r="WJM55" s="240"/>
      <c r="WJN55" s="240"/>
      <c r="WJO55" s="240"/>
      <c r="WJP55" s="257"/>
      <c r="WJQ55" s="240"/>
      <c r="WJR55" s="257"/>
      <c r="WJS55" s="240"/>
      <c r="WJV55" s="49"/>
      <c r="WJW55" s="240"/>
      <c r="WJX55" s="240"/>
      <c r="WJY55" s="240"/>
      <c r="WJZ55" s="257"/>
      <c r="WKA55" s="240"/>
      <c r="WKB55" s="257"/>
      <c r="WKC55" s="240"/>
      <c r="WKF55" s="49"/>
      <c r="WKG55" s="240"/>
      <c r="WKH55" s="240"/>
      <c r="WKI55" s="240"/>
      <c r="WKJ55" s="257"/>
      <c r="WKK55" s="240"/>
      <c r="WKL55" s="257"/>
      <c r="WKM55" s="240"/>
      <c r="WKP55" s="49"/>
      <c r="WKQ55" s="240"/>
      <c r="WKR55" s="240"/>
      <c r="WKS55" s="240"/>
      <c r="WKT55" s="257"/>
      <c r="WKU55" s="240"/>
      <c r="WKV55" s="257"/>
      <c r="WKW55" s="240"/>
      <c r="WKZ55" s="49"/>
      <c r="WLA55" s="240"/>
      <c r="WLB55" s="240"/>
      <c r="WLC55" s="240"/>
      <c r="WLD55" s="257"/>
      <c r="WLE55" s="240"/>
      <c r="WLF55" s="257"/>
      <c r="WLG55" s="240"/>
      <c r="WLJ55" s="49"/>
      <c r="WLK55" s="240"/>
      <c r="WLL55" s="240"/>
      <c r="WLM55" s="240"/>
      <c r="WLN55" s="257"/>
      <c r="WLO55" s="240"/>
      <c r="WLP55" s="257"/>
      <c r="WLQ55" s="240"/>
      <c r="WLT55" s="49"/>
      <c r="WLU55" s="240"/>
      <c r="WLV55" s="240"/>
      <c r="WLW55" s="240"/>
      <c r="WLX55" s="257"/>
      <c r="WLY55" s="240"/>
      <c r="WLZ55" s="257"/>
      <c r="WMA55" s="240"/>
      <c r="WMD55" s="49"/>
      <c r="WME55" s="240"/>
      <c r="WMF55" s="240"/>
      <c r="WMG55" s="240"/>
      <c r="WMH55" s="257"/>
      <c r="WMI55" s="240"/>
      <c r="WMJ55" s="257"/>
      <c r="WMK55" s="240"/>
      <c r="WMN55" s="49"/>
      <c r="WMO55" s="240"/>
      <c r="WMP55" s="240"/>
      <c r="WMQ55" s="240"/>
      <c r="WMR55" s="257"/>
      <c r="WMS55" s="240"/>
      <c r="WMT55" s="257"/>
      <c r="WMU55" s="240"/>
      <c r="WMX55" s="49"/>
      <c r="WMY55" s="240"/>
      <c r="WMZ55" s="240"/>
      <c r="WNA55" s="240"/>
      <c r="WNB55" s="257"/>
      <c r="WNC55" s="240"/>
      <c r="WND55" s="257"/>
      <c r="WNE55" s="240"/>
      <c r="WNH55" s="49"/>
      <c r="WNI55" s="240"/>
      <c r="WNJ55" s="240"/>
      <c r="WNK55" s="240"/>
      <c r="WNL55" s="257"/>
      <c r="WNM55" s="240"/>
      <c r="WNN55" s="257"/>
      <c r="WNO55" s="240"/>
      <c r="WNR55" s="49"/>
      <c r="WNS55" s="240"/>
      <c r="WNT55" s="240"/>
      <c r="WNU55" s="240"/>
      <c r="WNV55" s="257"/>
      <c r="WNW55" s="240"/>
      <c r="WNX55" s="257"/>
      <c r="WNY55" s="240"/>
      <c r="WOB55" s="49"/>
      <c r="WOC55" s="240"/>
      <c r="WOD55" s="240"/>
      <c r="WOE55" s="240"/>
      <c r="WOF55" s="257"/>
      <c r="WOG55" s="240"/>
      <c r="WOH55" s="257"/>
      <c r="WOI55" s="240"/>
      <c r="WOL55" s="49"/>
      <c r="WOM55" s="240"/>
      <c r="WON55" s="240"/>
      <c r="WOO55" s="240"/>
      <c r="WOP55" s="257"/>
      <c r="WOQ55" s="240"/>
      <c r="WOR55" s="257"/>
      <c r="WOS55" s="240"/>
      <c r="WOV55" s="49"/>
      <c r="WOW55" s="240"/>
      <c r="WOX55" s="240"/>
      <c r="WOY55" s="240"/>
      <c r="WOZ55" s="257"/>
      <c r="WPA55" s="240"/>
      <c r="WPB55" s="257"/>
      <c r="WPC55" s="240"/>
      <c r="WPF55" s="49"/>
      <c r="WPG55" s="240"/>
      <c r="WPH55" s="240"/>
      <c r="WPI55" s="240"/>
      <c r="WPJ55" s="257"/>
      <c r="WPK55" s="240"/>
      <c r="WPL55" s="257"/>
      <c r="WPM55" s="240"/>
      <c r="WPP55" s="49"/>
      <c r="WPQ55" s="240"/>
      <c r="WPR55" s="240"/>
      <c r="WPS55" s="240"/>
      <c r="WPT55" s="257"/>
      <c r="WPU55" s="240"/>
      <c r="WPV55" s="257"/>
      <c r="WPW55" s="240"/>
      <c r="WPZ55" s="49"/>
      <c r="WQA55" s="240"/>
      <c r="WQB55" s="240"/>
      <c r="WQC55" s="240"/>
      <c r="WQD55" s="257"/>
      <c r="WQE55" s="240"/>
      <c r="WQF55" s="257"/>
      <c r="WQG55" s="240"/>
      <c r="WQJ55" s="49"/>
      <c r="WQK55" s="240"/>
      <c r="WQL55" s="240"/>
      <c r="WQM55" s="240"/>
      <c r="WQN55" s="257"/>
      <c r="WQO55" s="240"/>
      <c r="WQP55" s="257"/>
      <c r="WQQ55" s="240"/>
      <c r="WQT55" s="49"/>
      <c r="WQU55" s="240"/>
      <c r="WQV55" s="240"/>
      <c r="WQW55" s="240"/>
      <c r="WQX55" s="257"/>
      <c r="WQY55" s="240"/>
      <c r="WQZ55" s="257"/>
      <c r="WRA55" s="240"/>
      <c r="WRD55" s="49"/>
      <c r="WRE55" s="240"/>
      <c r="WRF55" s="240"/>
      <c r="WRG55" s="240"/>
      <c r="WRH55" s="257"/>
      <c r="WRI55" s="240"/>
      <c r="WRJ55" s="257"/>
      <c r="WRK55" s="240"/>
      <c r="WRN55" s="49"/>
      <c r="WRO55" s="240"/>
      <c r="WRP55" s="240"/>
      <c r="WRQ55" s="240"/>
      <c r="WRR55" s="257"/>
      <c r="WRS55" s="240"/>
      <c r="WRT55" s="257"/>
      <c r="WRU55" s="240"/>
      <c r="WRX55" s="49"/>
      <c r="WRY55" s="240"/>
      <c r="WRZ55" s="240"/>
      <c r="WSA55" s="240"/>
      <c r="WSB55" s="257"/>
      <c r="WSC55" s="240"/>
      <c r="WSD55" s="257"/>
      <c r="WSE55" s="240"/>
      <c r="WSH55" s="49"/>
      <c r="WSI55" s="240"/>
      <c r="WSJ55" s="240"/>
      <c r="WSK55" s="240"/>
      <c r="WSL55" s="257"/>
      <c r="WSM55" s="240"/>
      <c r="WSN55" s="257"/>
      <c r="WSO55" s="240"/>
      <c r="WSR55" s="49"/>
      <c r="WSS55" s="240"/>
      <c r="WST55" s="240"/>
      <c r="WSU55" s="240"/>
      <c r="WSV55" s="257"/>
      <c r="WSW55" s="240"/>
      <c r="WSX55" s="257"/>
      <c r="WSY55" s="240"/>
      <c r="WTB55" s="49"/>
      <c r="WTC55" s="240"/>
      <c r="WTD55" s="240"/>
      <c r="WTE55" s="240"/>
      <c r="WTF55" s="257"/>
      <c r="WTG55" s="240"/>
      <c r="WTH55" s="257"/>
      <c r="WTI55" s="240"/>
      <c r="WTL55" s="49"/>
      <c r="WTM55" s="240"/>
      <c r="WTN55" s="240"/>
      <c r="WTO55" s="240"/>
      <c r="WTP55" s="257"/>
      <c r="WTQ55" s="240"/>
      <c r="WTR55" s="257"/>
      <c r="WTS55" s="240"/>
      <c r="WTV55" s="49"/>
      <c r="WTW55" s="240"/>
      <c r="WTX55" s="240"/>
      <c r="WTY55" s="240"/>
      <c r="WTZ55" s="257"/>
      <c r="WUA55" s="240"/>
      <c r="WUB55" s="257"/>
      <c r="WUC55" s="240"/>
      <c r="WUF55" s="49"/>
      <c r="WUG55" s="240"/>
      <c r="WUH55" s="240"/>
      <c r="WUI55" s="240"/>
      <c r="WUJ55" s="257"/>
      <c r="WUK55" s="240"/>
      <c r="WUL55" s="257"/>
      <c r="WUM55" s="240"/>
      <c r="WUP55" s="49"/>
      <c r="WUQ55" s="240"/>
      <c r="WUR55" s="240"/>
      <c r="WUS55" s="240"/>
      <c r="WUT55" s="257"/>
      <c r="WUU55" s="240"/>
      <c r="WUV55" s="257"/>
      <c r="WUW55" s="240"/>
      <c r="WUZ55" s="49"/>
      <c r="WVA55" s="240"/>
      <c r="WVB55" s="240"/>
      <c r="WVC55" s="240"/>
      <c r="WVD55" s="257"/>
      <c r="WVE55" s="240"/>
      <c r="WVF55" s="257"/>
      <c r="WVG55" s="240"/>
      <c r="WVJ55" s="49"/>
      <c r="WVK55" s="240"/>
      <c r="WVL55" s="240"/>
      <c r="WVM55" s="240"/>
      <c r="WVN55" s="257"/>
      <c r="WVO55" s="240"/>
      <c r="WVP55" s="257"/>
      <c r="WVQ55" s="240"/>
      <c r="WVT55" s="49"/>
      <c r="WVU55" s="240"/>
      <c r="WVV55" s="240"/>
      <c r="WVW55" s="240"/>
      <c r="WVX55" s="257"/>
      <c r="WVY55" s="240"/>
      <c r="WVZ55" s="257"/>
      <c r="WWA55" s="240"/>
      <c r="WWD55" s="49"/>
      <c r="WWE55" s="240"/>
      <c r="WWF55" s="240"/>
      <c r="WWG55" s="240"/>
      <c r="WWH55" s="257"/>
      <c r="WWI55" s="240"/>
      <c r="WWJ55" s="257"/>
      <c r="WWK55" s="240"/>
      <c r="WWN55" s="49"/>
      <c r="WWO55" s="240"/>
      <c r="WWP55" s="240"/>
      <c r="WWQ55" s="240"/>
      <c r="WWR55" s="257"/>
      <c r="WWS55" s="240"/>
      <c r="WWT55" s="257"/>
      <c r="WWU55" s="240"/>
      <c r="WWX55" s="49"/>
      <c r="WWY55" s="240"/>
      <c r="WWZ55" s="240"/>
      <c r="WXA55" s="240"/>
      <c r="WXB55" s="257"/>
      <c r="WXC55" s="240"/>
      <c r="WXD55" s="257"/>
      <c r="WXE55" s="240"/>
      <c r="WXH55" s="49"/>
      <c r="WXI55" s="240"/>
      <c r="WXJ55" s="240"/>
      <c r="WXK55" s="240"/>
      <c r="WXL55" s="257"/>
      <c r="WXM55" s="240"/>
      <c r="WXN55" s="257"/>
      <c r="WXO55" s="240"/>
      <c r="WXR55" s="49"/>
      <c r="WXS55" s="240"/>
      <c r="WXT55" s="240"/>
      <c r="WXU55" s="240"/>
      <c r="WXV55" s="257"/>
      <c r="WXW55" s="240"/>
      <c r="WXX55" s="257"/>
      <c r="WXY55" s="240"/>
      <c r="WYB55" s="49"/>
      <c r="WYC55" s="240"/>
      <c r="WYD55" s="240"/>
      <c r="WYE55" s="240"/>
      <c r="WYF55" s="257"/>
      <c r="WYG55" s="240"/>
      <c r="WYH55" s="257"/>
      <c r="WYI55" s="240"/>
      <c r="WYL55" s="49"/>
      <c r="WYM55" s="240"/>
      <c r="WYN55" s="240"/>
      <c r="WYO55" s="240"/>
      <c r="WYP55" s="257"/>
      <c r="WYQ55" s="240"/>
      <c r="WYR55" s="257"/>
      <c r="WYS55" s="240"/>
      <c r="WYV55" s="49"/>
      <c r="WYW55" s="240"/>
      <c r="WYX55" s="240"/>
      <c r="WYY55" s="240"/>
      <c r="WYZ55" s="257"/>
      <c r="WZA55" s="240"/>
      <c r="WZB55" s="257"/>
      <c r="WZC55" s="240"/>
      <c r="WZF55" s="49"/>
      <c r="WZG55" s="240"/>
      <c r="WZH55" s="240"/>
      <c r="WZI55" s="240"/>
      <c r="WZJ55" s="257"/>
      <c r="WZK55" s="240"/>
      <c r="WZL55" s="257"/>
      <c r="WZM55" s="240"/>
      <c r="WZP55" s="49"/>
      <c r="WZQ55" s="240"/>
      <c r="WZR55" s="240"/>
      <c r="WZS55" s="240"/>
      <c r="WZT55" s="257"/>
      <c r="WZU55" s="240"/>
      <c r="WZV55" s="257"/>
      <c r="WZW55" s="240"/>
      <c r="WZZ55" s="49"/>
      <c r="XAA55" s="240"/>
      <c r="XAB55" s="240"/>
      <c r="XAC55" s="240"/>
      <c r="XAD55" s="257"/>
      <c r="XAE55" s="240"/>
      <c r="XAF55" s="257"/>
      <c r="XAG55" s="240"/>
      <c r="XAJ55" s="49"/>
      <c r="XAK55" s="240"/>
      <c r="XAL55" s="240"/>
      <c r="XAM55" s="240"/>
    </row>
    <row r="56" spans="1:2047 2050:7167 7170:12287 12290:16263" s="254" customFormat="1" ht="40.5" customHeight="1" x14ac:dyDescent="0.2">
      <c r="A56" s="459" t="s">
        <v>534</v>
      </c>
      <c r="B56" s="459"/>
      <c r="C56" s="459"/>
      <c r="D56" s="459"/>
      <c r="E56" s="459"/>
      <c r="F56" s="459"/>
      <c r="G56" s="459"/>
      <c r="H56" s="459"/>
      <c r="I56" s="459"/>
      <c r="J56" s="459"/>
      <c r="K56" s="49"/>
      <c r="L56" s="240"/>
      <c r="M56" s="240"/>
      <c r="N56" s="257"/>
      <c r="O56" s="240"/>
      <c r="P56" s="257"/>
      <c r="Q56" s="240"/>
      <c r="T56" s="49"/>
      <c r="U56" s="240"/>
      <c r="V56" s="240"/>
      <c r="W56" s="240"/>
      <c r="X56" s="257"/>
      <c r="Y56" s="240"/>
      <c r="Z56" s="257"/>
      <c r="AA56" s="240"/>
      <c r="AD56" s="49"/>
      <c r="AE56" s="240"/>
      <c r="AF56" s="240"/>
      <c r="AG56" s="240"/>
      <c r="AH56" s="257"/>
      <c r="AI56" s="240"/>
      <c r="AJ56" s="257"/>
      <c r="AK56" s="240"/>
      <c r="AN56" s="49"/>
      <c r="AO56" s="240"/>
      <c r="AP56" s="240"/>
      <c r="AQ56" s="240"/>
      <c r="AR56" s="257"/>
      <c r="AS56" s="240"/>
      <c r="AT56" s="257"/>
      <c r="AU56" s="240"/>
      <c r="AX56" s="49"/>
      <c r="AY56" s="240"/>
      <c r="AZ56" s="240"/>
      <c r="BA56" s="240"/>
      <c r="BB56" s="257"/>
      <c r="BC56" s="240"/>
      <c r="BD56" s="257"/>
      <c r="BE56" s="240"/>
      <c r="BH56" s="49"/>
      <c r="BI56" s="240"/>
      <c r="BJ56" s="240"/>
      <c r="BK56" s="240"/>
      <c r="BL56" s="257"/>
      <c r="BM56" s="240"/>
      <c r="BN56" s="257"/>
      <c r="BO56" s="240"/>
      <c r="BR56" s="49"/>
      <c r="BS56" s="240"/>
      <c r="BT56" s="240"/>
      <c r="BU56" s="240"/>
      <c r="BV56" s="257"/>
      <c r="BW56" s="240"/>
      <c r="BX56" s="257"/>
      <c r="BY56" s="240"/>
      <c r="CB56" s="49"/>
      <c r="CC56" s="240"/>
      <c r="CD56" s="240"/>
      <c r="CE56" s="240"/>
      <c r="CF56" s="257"/>
      <c r="CG56" s="240"/>
      <c r="CH56" s="257"/>
      <c r="CI56" s="240"/>
      <c r="CL56" s="49"/>
      <c r="CM56" s="240"/>
      <c r="CN56" s="240"/>
      <c r="CO56" s="240"/>
      <c r="CP56" s="257"/>
      <c r="CQ56" s="240"/>
      <c r="CR56" s="257"/>
      <c r="CS56" s="240"/>
      <c r="CV56" s="49"/>
      <c r="CW56" s="240"/>
      <c r="CX56" s="240"/>
      <c r="CY56" s="240"/>
      <c r="CZ56" s="257"/>
      <c r="DA56" s="240"/>
      <c r="DB56" s="257"/>
      <c r="DC56" s="240"/>
      <c r="DF56" s="49"/>
      <c r="DG56" s="240"/>
      <c r="DH56" s="240"/>
      <c r="DI56" s="240"/>
      <c r="DJ56" s="257"/>
      <c r="DK56" s="240"/>
      <c r="DL56" s="257"/>
      <c r="DM56" s="240"/>
      <c r="DP56" s="49"/>
      <c r="DQ56" s="240"/>
      <c r="DR56" s="240"/>
      <c r="DS56" s="240"/>
      <c r="DT56" s="257"/>
      <c r="DU56" s="240"/>
      <c r="DV56" s="257"/>
      <c r="DW56" s="240"/>
      <c r="DZ56" s="49"/>
      <c r="EA56" s="240"/>
      <c r="EB56" s="240"/>
      <c r="EC56" s="240"/>
      <c r="ED56" s="257"/>
      <c r="EE56" s="240"/>
      <c r="EF56" s="257"/>
      <c r="EG56" s="240"/>
      <c r="EJ56" s="49"/>
      <c r="EK56" s="240"/>
      <c r="EL56" s="240"/>
      <c r="EM56" s="240"/>
      <c r="EN56" s="257"/>
      <c r="EO56" s="240"/>
      <c r="EP56" s="257"/>
      <c r="EQ56" s="240"/>
      <c r="ET56" s="49"/>
      <c r="EU56" s="240"/>
      <c r="EV56" s="240"/>
      <c r="EW56" s="240"/>
      <c r="EX56" s="257"/>
      <c r="EY56" s="240"/>
      <c r="EZ56" s="257"/>
      <c r="FA56" s="240"/>
      <c r="FD56" s="49"/>
      <c r="FE56" s="240"/>
      <c r="FF56" s="240"/>
      <c r="FG56" s="240"/>
      <c r="FH56" s="257"/>
      <c r="FI56" s="240"/>
      <c r="FJ56" s="257"/>
      <c r="FK56" s="240"/>
      <c r="FN56" s="49"/>
      <c r="FO56" s="240"/>
      <c r="FP56" s="240"/>
      <c r="FQ56" s="240"/>
      <c r="FR56" s="257"/>
      <c r="FS56" s="240"/>
      <c r="FT56" s="257"/>
      <c r="FU56" s="240"/>
      <c r="FX56" s="49"/>
      <c r="FY56" s="240"/>
      <c r="FZ56" s="240"/>
      <c r="GA56" s="240"/>
      <c r="GB56" s="257"/>
      <c r="GC56" s="240"/>
      <c r="GD56" s="257"/>
      <c r="GE56" s="240"/>
      <c r="GH56" s="49"/>
      <c r="GI56" s="240"/>
      <c r="GJ56" s="240"/>
      <c r="GK56" s="240"/>
      <c r="GL56" s="257"/>
      <c r="GM56" s="240"/>
      <c r="GN56" s="257"/>
      <c r="GO56" s="240"/>
      <c r="GR56" s="49"/>
      <c r="GS56" s="240"/>
      <c r="GT56" s="240"/>
      <c r="GU56" s="240"/>
      <c r="GV56" s="257"/>
      <c r="GW56" s="240"/>
      <c r="GX56" s="257"/>
      <c r="GY56" s="240"/>
      <c r="HB56" s="49"/>
      <c r="HC56" s="240"/>
      <c r="HD56" s="240"/>
      <c r="HE56" s="240"/>
      <c r="HF56" s="257"/>
      <c r="HG56" s="240"/>
      <c r="HH56" s="257"/>
      <c r="HI56" s="240"/>
      <c r="HL56" s="49"/>
      <c r="HM56" s="240"/>
      <c r="HN56" s="240"/>
      <c r="HO56" s="240"/>
      <c r="HP56" s="257"/>
      <c r="HQ56" s="240"/>
      <c r="HR56" s="257"/>
      <c r="HS56" s="240"/>
      <c r="HV56" s="49"/>
      <c r="HW56" s="240"/>
      <c r="HX56" s="240"/>
      <c r="HY56" s="240"/>
      <c r="HZ56" s="257"/>
      <c r="IA56" s="240"/>
      <c r="IB56" s="257"/>
      <c r="IC56" s="240"/>
      <c r="IF56" s="49"/>
      <c r="IG56" s="240"/>
      <c r="IH56" s="240"/>
      <c r="II56" s="240"/>
      <c r="IJ56" s="257"/>
      <c r="IK56" s="240"/>
      <c r="IL56" s="257"/>
      <c r="IM56" s="240"/>
      <c r="IP56" s="49"/>
      <c r="IQ56" s="240"/>
      <c r="IR56" s="240"/>
      <c r="IS56" s="240"/>
      <c r="IT56" s="257"/>
      <c r="IU56" s="240"/>
      <c r="IV56" s="257"/>
      <c r="IW56" s="240"/>
      <c r="IZ56" s="49"/>
      <c r="JA56" s="240"/>
      <c r="JB56" s="240"/>
      <c r="JC56" s="240"/>
      <c r="JD56" s="257"/>
      <c r="JE56" s="240"/>
      <c r="JF56" s="257"/>
      <c r="JG56" s="240"/>
      <c r="JJ56" s="49"/>
      <c r="JK56" s="240"/>
      <c r="JL56" s="240"/>
      <c r="JM56" s="240"/>
      <c r="JN56" s="257"/>
      <c r="JO56" s="240"/>
      <c r="JP56" s="257"/>
      <c r="JQ56" s="240"/>
      <c r="JT56" s="49"/>
      <c r="JU56" s="240"/>
      <c r="JV56" s="240"/>
      <c r="JW56" s="240"/>
      <c r="JX56" s="257"/>
      <c r="JY56" s="240"/>
      <c r="JZ56" s="257"/>
      <c r="KA56" s="240"/>
      <c r="KD56" s="49"/>
      <c r="KE56" s="240"/>
      <c r="KF56" s="240"/>
      <c r="KG56" s="240"/>
      <c r="KH56" s="257"/>
      <c r="KI56" s="240"/>
      <c r="KJ56" s="257"/>
      <c r="KK56" s="240"/>
      <c r="KN56" s="49"/>
      <c r="KO56" s="240"/>
      <c r="KP56" s="240"/>
      <c r="KQ56" s="240"/>
      <c r="KR56" s="257"/>
      <c r="KS56" s="240"/>
      <c r="KT56" s="257"/>
      <c r="KU56" s="240"/>
      <c r="KX56" s="49"/>
      <c r="KY56" s="240"/>
      <c r="KZ56" s="240"/>
      <c r="LA56" s="240"/>
      <c r="LB56" s="257"/>
      <c r="LC56" s="240"/>
      <c r="LD56" s="257"/>
      <c r="LE56" s="240"/>
      <c r="LH56" s="49"/>
      <c r="LI56" s="240"/>
      <c r="LJ56" s="240"/>
      <c r="LK56" s="240"/>
      <c r="LL56" s="257"/>
      <c r="LM56" s="240"/>
      <c r="LN56" s="257"/>
      <c r="LO56" s="240"/>
      <c r="LR56" s="49"/>
      <c r="LS56" s="240"/>
      <c r="LT56" s="240"/>
      <c r="LU56" s="240"/>
      <c r="LV56" s="257"/>
      <c r="LW56" s="240"/>
      <c r="LX56" s="257"/>
      <c r="LY56" s="240"/>
      <c r="MB56" s="49"/>
      <c r="MC56" s="240"/>
      <c r="MD56" s="240"/>
      <c r="ME56" s="240"/>
      <c r="MF56" s="257"/>
      <c r="MG56" s="240"/>
      <c r="MH56" s="257"/>
      <c r="MI56" s="240"/>
      <c r="ML56" s="49"/>
      <c r="MM56" s="240"/>
      <c r="MN56" s="240"/>
      <c r="MO56" s="240"/>
      <c r="MP56" s="257"/>
      <c r="MQ56" s="240"/>
      <c r="MR56" s="257"/>
      <c r="MS56" s="240"/>
      <c r="MV56" s="49"/>
      <c r="MW56" s="240"/>
      <c r="MX56" s="240"/>
      <c r="MY56" s="240"/>
      <c r="MZ56" s="257"/>
      <c r="NA56" s="240"/>
      <c r="NB56" s="257"/>
      <c r="NC56" s="240"/>
      <c r="NF56" s="49"/>
      <c r="NG56" s="240"/>
      <c r="NH56" s="240"/>
      <c r="NI56" s="240"/>
      <c r="NJ56" s="257"/>
      <c r="NK56" s="240"/>
      <c r="NL56" s="257"/>
      <c r="NM56" s="240"/>
      <c r="NP56" s="49"/>
      <c r="NQ56" s="240"/>
      <c r="NR56" s="240"/>
      <c r="NS56" s="240"/>
      <c r="NT56" s="257"/>
      <c r="NU56" s="240"/>
      <c r="NV56" s="257"/>
      <c r="NW56" s="240"/>
      <c r="NZ56" s="49"/>
      <c r="OA56" s="240"/>
      <c r="OB56" s="240"/>
      <c r="OC56" s="240"/>
      <c r="OD56" s="257"/>
      <c r="OE56" s="240"/>
      <c r="OF56" s="257"/>
      <c r="OG56" s="240"/>
      <c r="OJ56" s="49"/>
      <c r="OK56" s="240"/>
      <c r="OL56" s="240"/>
      <c r="OM56" s="240"/>
      <c r="ON56" s="257"/>
      <c r="OO56" s="240"/>
      <c r="OP56" s="257"/>
      <c r="OQ56" s="240"/>
      <c r="OT56" s="49"/>
      <c r="OU56" s="240"/>
      <c r="OV56" s="240"/>
      <c r="OW56" s="240"/>
      <c r="OX56" s="257"/>
      <c r="OY56" s="240"/>
      <c r="OZ56" s="257"/>
      <c r="PA56" s="240"/>
      <c r="PD56" s="49"/>
      <c r="PE56" s="240"/>
      <c r="PF56" s="240"/>
      <c r="PG56" s="240"/>
      <c r="PH56" s="257"/>
      <c r="PI56" s="240"/>
      <c r="PJ56" s="257"/>
      <c r="PK56" s="240"/>
      <c r="PN56" s="49"/>
      <c r="PO56" s="240"/>
      <c r="PP56" s="240"/>
      <c r="PQ56" s="240"/>
      <c r="PR56" s="257"/>
      <c r="PS56" s="240"/>
      <c r="PT56" s="257"/>
      <c r="PU56" s="240"/>
      <c r="PX56" s="49"/>
      <c r="PY56" s="240"/>
      <c r="PZ56" s="240"/>
      <c r="QA56" s="240"/>
      <c r="QB56" s="257"/>
      <c r="QC56" s="240"/>
      <c r="QD56" s="257"/>
      <c r="QE56" s="240"/>
      <c r="QH56" s="49"/>
      <c r="QI56" s="240"/>
      <c r="QJ56" s="240"/>
      <c r="QK56" s="240"/>
      <c r="QL56" s="257"/>
      <c r="QM56" s="240"/>
      <c r="QN56" s="257"/>
      <c r="QO56" s="240"/>
      <c r="QR56" s="49"/>
      <c r="QS56" s="240"/>
      <c r="QT56" s="240"/>
      <c r="QU56" s="240"/>
      <c r="QV56" s="257"/>
      <c r="QW56" s="240"/>
      <c r="QX56" s="257"/>
      <c r="QY56" s="240"/>
      <c r="RB56" s="49"/>
      <c r="RC56" s="240"/>
      <c r="RD56" s="240"/>
      <c r="RE56" s="240"/>
      <c r="RF56" s="257"/>
      <c r="RG56" s="240"/>
      <c r="RH56" s="257"/>
      <c r="RI56" s="240"/>
      <c r="RL56" s="49"/>
      <c r="RM56" s="240"/>
      <c r="RN56" s="240"/>
      <c r="RO56" s="240"/>
      <c r="RP56" s="257"/>
      <c r="RQ56" s="240"/>
      <c r="RR56" s="257"/>
      <c r="RS56" s="240"/>
      <c r="RV56" s="49"/>
      <c r="RW56" s="240"/>
      <c r="RX56" s="240"/>
      <c r="RY56" s="240"/>
      <c r="RZ56" s="257"/>
      <c r="SA56" s="240"/>
      <c r="SB56" s="257"/>
      <c r="SC56" s="240"/>
      <c r="SF56" s="49"/>
      <c r="SG56" s="240"/>
      <c r="SH56" s="240"/>
      <c r="SI56" s="240"/>
      <c r="SJ56" s="257"/>
      <c r="SK56" s="240"/>
      <c r="SL56" s="257"/>
      <c r="SM56" s="240"/>
      <c r="SP56" s="49"/>
      <c r="SQ56" s="240"/>
      <c r="SR56" s="240"/>
      <c r="SS56" s="240"/>
      <c r="ST56" s="257"/>
      <c r="SU56" s="240"/>
      <c r="SV56" s="257"/>
      <c r="SW56" s="240"/>
      <c r="SZ56" s="49"/>
      <c r="TA56" s="240"/>
      <c r="TB56" s="240"/>
      <c r="TC56" s="240"/>
      <c r="TD56" s="257"/>
      <c r="TE56" s="240"/>
      <c r="TF56" s="257"/>
      <c r="TG56" s="240"/>
      <c r="TJ56" s="49"/>
      <c r="TK56" s="240"/>
      <c r="TL56" s="240"/>
      <c r="TM56" s="240"/>
      <c r="TN56" s="257"/>
      <c r="TO56" s="240"/>
      <c r="TP56" s="257"/>
      <c r="TQ56" s="240"/>
      <c r="TT56" s="49"/>
      <c r="TU56" s="240"/>
      <c r="TV56" s="240"/>
      <c r="TW56" s="240"/>
      <c r="TX56" s="257"/>
      <c r="TY56" s="240"/>
      <c r="TZ56" s="257"/>
      <c r="UA56" s="240"/>
      <c r="UD56" s="49"/>
      <c r="UE56" s="240"/>
      <c r="UF56" s="240"/>
      <c r="UG56" s="240"/>
      <c r="UH56" s="257"/>
      <c r="UI56" s="240"/>
      <c r="UJ56" s="257"/>
      <c r="UK56" s="240"/>
      <c r="UN56" s="49"/>
      <c r="UO56" s="240"/>
      <c r="UP56" s="240"/>
      <c r="UQ56" s="240"/>
      <c r="UR56" s="257"/>
      <c r="US56" s="240"/>
      <c r="UT56" s="257"/>
      <c r="UU56" s="240"/>
      <c r="UX56" s="49"/>
      <c r="UY56" s="240"/>
      <c r="UZ56" s="240"/>
      <c r="VA56" s="240"/>
      <c r="VB56" s="257"/>
      <c r="VC56" s="240"/>
      <c r="VD56" s="257"/>
      <c r="VE56" s="240"/>
      <c r="VH56" s="49"/>
      <c r="VI56" s="240"/>
      <c r="VJ56" s="240"/>
      <c r="VK56" s="240"/>
      <c r="VL56" s="257"/>
      <c r="VM56" s="240"/>
      <c r="VN56" s="257"/>
      <c r="VO56" s="240"/>
      <c r="VR56" s="49"/>
      <c r="VS56" s="240"/>
      <c r="VT56" s="240"/>
      <c r="VU56" s="240"/>
      <c r="VV56" s="257"/>
      <c r="VW56" s="240"/>
      <c r="VX56" s="257"/>
      <c r="VY56" s="240"/>
      <c r="WB56" s="49"/>
      <c r="WC56" s="240"/>
      <c r="WD56" s="240"/>
      <c r="WE56" s="240"/>
      <c r="WF56" s="257"/>
      <c r="WG56" s="240"/>
      <c r="WH56" s="257"/>
      <c r="WI56" s="240"/>
      <c r="WL56" s="49"/>
      <c r="WM56" s="240"/>
      <c r="WN56" s="240"/>
      <c r="WO56" s="240"/>
      <c r="WP56" s="257"/>
      <c r="WQ56" s="240"/>
      <c r="WR56" s="257"/>
      <c r="WS56" s="240"/>
      <c r="WV56" s="49"/>
      <c r="WW56" s="240"/>
      <c r="WX56" s="240"/>
      <c r="WY56" s="240"/>
      <c r="WZ56" s="257"/>
      <c r="XA56" s="240"/>
      <c r="XB56" s="257"/>
      <c r="XC56" s="240"/>
      <c r="XF56" s="49"/>
      <c r="XG56" s="240"/>
      <c r="XH56" s="240"/>
      <c r="XI56" s="240"/>
      <c r="XJ56" s="257"/>
      <c r="XK56" s="240"/>
      <c r="XL56" s="257"/>
      <c r="XM56" s="240"/>
      <c r="XP56" s="49"/>
      <c r="XQ56" s="240"/>
      <c r="XR56" s="240"/>
      <c r="XS56" s="240"/>
      <c r="XT56" s="257"/>
      <c r="XU56" s="240"/>
      <c r="XV56" s="257"/>
      <c r="XW56" s="240"/>
      <c r="XZ56" s="49"/>
      <c r="YA56" s="240"/>
      <c r="YB56" s="240"/>
      <c r="YC56" s="240"/>
      <c r="YD56" s="257"/>
      <c r="YE56" s="240"/>
      <c r="YF56" s="257"/>
      <c r="YG56" s="240"/>
      <c r="YJ56" s="49"/>
      <c r="YK56" s="240"/>
      <c r="YL56" s="240"/>
      <c r="YM56" s="240"/>
      <c r="YN56" s="257"/>
      <c r="YO56" s="240"/>
      <c r="YP56" s="257"/>
      <c r="YQ56" s="240"/>
      <c r="YT56" s="49"/>
      <c r="YU56" s="240"/>
      <c r="YV56" s="240"/>
      <c r="YW56" s="240"/>
      <c r="YX56" s="257"/>
      <c r="YY56" s="240"/>
      <c r="YZ56" s="257"/>
      <c r="ZA56" s="240"/>
      <c r="ZD56" s="49"/>
      <c r="ZE56" s="240"/>
      <c r="ZF56" s="240"/>
      <c r="ZG56" s="240"/>
      <c r="ZH56" s="257"/>
      <c r="ZI56" s="240"/>
      <c r="ZJ56" s="257"/>
      <c r="ZK56" s="240"/>
      <c r="ZN56" s="49"/>
      <c r="ZO56" s="240"/>
      <c r="ZP56" s="240"/>
      <c r="ZQ56" s="240"/>
      <c r="ZR56" s="257"/>
      <c r="ZS56" s="240"/>
      <c r="ZT56" s="257"/>
      <c r="ZU56" s="240"/>
      <c r="ZX56" s="49"/>
      <c r="ZY56" s="240"/>
      <c r="ZZ56" s="240"/>
      <c r="AAA56" s="240"/>
      <c r="AAB56" s="257"/>
      <c r="AAC56" s="240"/>
      <c r="AAD56" s="257"/>
      <c r="AAE56" s="240"/>
      <c r="AAH56" s="49"/>
      <c r="AAI56" s="240"/>
      <c r="AAJ56" s="240"/>
      <c r="AAK56" s="240"/>
      <c r="AAL56" s="257"/>
      <c r="AAM56" s="240"/>
      <c r="AAN56" s="257"/>
      <c r="AAO56" s="240"/>
      <c r="AAR56" s="49"/>
      <c r="AAS56" s="240"/>
      <c r="AAT56" s="240"/>
      <c r="AAU56" s="240"/>
      <c r="AAV56" s="257"/>
      <c r="AAW56" s="240"/>
      <c r="AAX56" s="257"/>
      <c r="AAY56" s="240"/>
      <c r="ABB56" s="49"/>
      <c r="ABC56" s="240"/>
      <c r="ABD56" s="240"/>
      <c r="ABE56" s="240"/>
      <c r="ABF56" s="257"/>
      <c r="ABG56" s="240"/>
      <c r="ABH56" s="257"/>
      <c r="ABI56" s="240"/>
      <c r="ABL56" s="49"/>
      <c r="ABM56" s="240"/>
      <c r="ABN56" s="240"/>
      <c r="ABO56" s="240"/>
      <c r="ABP56" s="257"/>
      <c r="ABQ56" s="240"/>
      <c r="ABR56" s="257"/>
      <c r="ABS56" s="240"/>
      <c r="ABV56" s="49"/>
      <c r="ABW56" s="240"/>
      <c r="ABX56" s="240"/>
      <c r="ABY56" s="240"/>
      <c r="ABZ56" s="257"/>
      <c r="ACA56" s="240"/>
      <c r="ACB56" s="257"/>
      <c r="ACC56" s="240"/>
      <c r="ACF56" s="49"/>
      <c r="ACG56" s="240"/>
      <c r="ACH56" s="240"/>
      <c r="ACI56" s="240"/>
      <c r="ACJ56" s="257"/>
      <c r="ACK56" s="240"/>
      <c r="ACL56" s="257"/>
      <c r="ACM56" s="240"/>
      <c r="ACP56" s="49"/>
      <c r="ACQ56" s="240"/>
      <c r="ACR56" s="240"/>
      <c r="ACS56" s="240"/>
      <c r="ACT56" s="257"/>
      <c r="ACU56" s="240"/>
      <c r="ACV56" s="257"/>
      <c r="ACW56" s="240"/>
      <c r="ACZ56" s="49"/>
      <c r="ADA56" s="240"/>
      <c r="ADB56" s="240"/>
      <c r="ADC56" s="240"/>
      <c r="ADD56" s="257"/>
      <c r="ADE56" s="240"/>
      <c r="ADF56" s="257"/>
      <c r="ADG56" s="240"/>
      <c r="ADJ56" s="49"/>
      <c r="ADK56" s="240"/>
      <c r="ADL56" s="240"/>
      <c r="ADM56" s="240"/>
      <c r="ADN56" s="257"/>
      <c r="ADO56" s="240"/>
      <c r="ADP56" s="257"/>
      <c r="ADQ56" s="240"/>
      <c r="ADT56" s="49"/>
      <c r="ADU56" s="240"/>
      <c r="ADV56" s="240"/>
      <c r="ADW56" s="240"/>
      <c r="ADX56" s="257"/>
      <c r="ADY56" s="240"/>
      <c r="ADZ56" s="257"/>
      <c r="AEA56" s="240"/>
      <c r="AED56" s="49"/>
      <c r="AEE56" s="240"/>
      <c r="AEF56" s="240"/>
      <c r="AEG56" s="240"/>
      <c r="AEH56" s="257"/>
      <c r="AEI56" s="240"/>
      <c r="AEJ56" s="257"/>
      <c r="AEK56" s="240"/>
      <c r="AEN56" s="49"/>
      <c r="AEO56" s="240"/>
      <c r="AEP56" s="240"/>
      <c r="AEQ56" s="240"/>
      <c r="AER56" s="257"/>
      <c r="AES56" s="240"/>
      <c r="AET56" s="257"/>
      <c r="AEU56" s="240"/>
      <c r="AEX56" s="49"/>
      <c r="AEY56" s="240"/>
      <c r="AEZ56" s="240"/>
      <c r="AFA56" s="240"/>
      <c r="AFB56" s="257"/>
      <c r="AFC56" s="240"/>
      <c r="AFD56" s="257"/>
      <c r="AFE56" s="240"/>
      <c r="AFH56" s="49"/>
      <c r="AFI56" s="240"/>
      <c r="AFJ56" s="240"/>
      <c r="AFK56" s="240"/>
      <c r="AFL56" s="257"/>
      <c r="AFM56" s="240"/>
      <c r="AFN56" s="257"/>
      <c r="AFO56" s="240"/>
      <c r="AFR56" s="49"/>
      <c r="AFS56" s="240"/>
      <c r="AFT56" s="240"/>
      <c r="AFU56" s="240"/>
      <c r="AFV56" s="257"/>
      <c r="AFW56" s="240"/>
      <c r="AFX56" s="257"/>
      <c r="AFY56" s="240"/>
      <c r="AGB56" s="49"/>
      <c r="AGC56" s="240"/>
      <c r="AGD56" s="240"/>
      <c r="AGE56" s="240"/>
      <c r="AGF56" s="257"/>
      <c r="AGG56" s="240"/>
      <c r="AGH56" s="257"/>
      <c r="AGI56" s="240"/>
      <c r="AGL56" s="49"/>
      <c r="AGM56" s="240"/>
      <c r="AGN56" s="240"/>
      <c r="AGO56" s="240"/>
      <c r="AGP56" s="257"/>
      <c r="AGQ56" s="240"/>
      <c r="AGR56" s="257"/>
      <c r="AGS56" s="240"/>
      <c r="AGV56" s="49"/>
      <c r="AGW56" s="240"/>
      <c r="AGX56" s="240"/>
      <c r="AGY56" s="240"/>
      <c r="AGZ56" s="257"/>
      <c r="AHA56" s="240"/>
      <c r="AHB56" s="257"/>
      <c r="AHC56" s="240"/>
      <c r="AHF56" s="49"/>
      <c r="AHG56" s="240"/>
      <c r="AHH56" s="240"/>
      <c r="AHI56" s="240"/>
      <c r="AHJ56" s="257"/>
      <c r="AHK56" s="240"/>
      <c r="AHL56" s="257"/>
      <c r="AHM56" s="240"/>
      <c r="AHP56" s="49"/>
      <c r="AHQ56" s="240"/>
      <c r="AHR56" s="240"/>
      <c r="AHS56" s="240"/>
      <c r="AHT56" s="257"/>
      <c r="AHU56" s="240"/>
      <c r="AHV56" s="257"/>
      <c r="AHW56" s="240"/>
      <c r="AHZ56" s="49"/>
      <c r="AIA56" s="240"/>
      <c r="AIB56" s="240"/>
      <c r="AIC56" s="240"/>
      <c r="AID56" s="257"/>
      <c r="AIE56" s="240"/>
      <c r="AIF56" s="257"/>
      <c r="AIG56" s="240"/>
      <c r="AIJ56" s="49"/>
      <c r="AIK56" s="240"/>
      <c r="AIL56" s="240"/>
      <c r="AIM56" s="240"/>
      <c r="AIN56" s="257"/>
      <c r="AIO56" s="240"/>
      <c r="AIP56" s="257"/>
      <c r="AIQ56" s="240"/>
      <c r="AIT56" s="49"/>
      <c r="AIU56" s="240"/>
      <c r="AIV56" s="240"/>
      <c r="AIW56" s="240"/>
      <c r="AIX56" s="257"/>
      <c r="AIY56" s="240"/>
      <c r="AIZ56" s="257"/>
      <c r="AJA56" s="240"/>
      <c r="AJD56" s="49"/>
      <c r="AJE56" s="240"/>
      <c r="AJF56" s="240"/>
      <c r="AJG56" s="240"/>
      <c r="AJH56" s="257"/>
      <c r="AJI56" s="240"/>
      <c r="AJJ56" s="257"/>
      <c r="AJK56" s="240"/>
      <c r="AJN56" s="49"/>
      <c r="AJO56" s="240"/>
      <c r="AJP56" s="240"/>
      <c r="AJQ56" s="240"/>
      <c r="AJR56" s="257"/>
      <c r="AJS56" s="240"/>
      <c r="AJT56" s="257"/>
      <c r="AJU56" s="240"/>
      <c r="AJX56" s="49"/>
      <c r="AJY56" s="240"/>
      <c r="AJZ56" s="240"/>
      <c r="AKA56" s="240"/>
      <c r="AKB56" s="257"/>
      <c r="AKC56" s="240"/>
      <c r="AKD56" s="257"/>
      <c r="AKE56" s="240"/>
      <c r="AKH56" s="49"/>
      <c r="AKI56" s="240"/>
      <c r="AKJ56" s="240"/>
      <c r="AKK56" s="240"/>
      <c r="AKL56" s="257"/>
      <c r="AKM56" s="240"/>
      <c r="AKN56" s="257"/>
      <c r="AKO56" s="240"/>
      <c r="AKR56" s="49"/>
      <c r="AKS56" s="240"/>
      <c r="AKT56" s="240"/>
      <c r="AKU56" s="240"/>
      <c r="AKV56" s="257"/>
      <c r="AKW56" s="240"/>
      <c r="AKX56" s="257"/>
      <c r="AKY56" s="240"/>
      <c r="ALB56" s="49"/>
      <c r="ALC56" s="240"/>
      <c r="ALD56" s="240"/>
      <c r="ALE56" s="240"/>
      <c r="ALF56" s="257"/>
      <c r="ALG56" s="240"/>
      <c r="ALH56" s="257"/>
      <c r="ALI56" s="240"/>
      <c r="ALL56" s="49"/>
      <c r="ALM56" s="240"/>
      <c r="ALN56" s="240"/>
      <c r="ALO56" s="240"/>
      <c r="ALP56" s="257"/>
      <c r="ALQ56" s="240"/>
      <c r="ALR56" s="257"/>
      <c r="ALS56" s="240"/>
      <c r="ALV56" s="49"/>
      <c r="ALW56" s="240"/>
      <c r="ALX56" s="240"/>
      <c r="ALY56" s="240"/>
      <c r="ALZ56" s="257"/>
      <c r="AMA56" s="240"/>
      <c r="AMB56" s="257"/>
      <c r="AMC56" s="240"/>
      <c r="AMF56" s="49"/>
      <c r="AMG56" s="240"/>
      <c r="AMH56" s="240"/>
      <c r="AMI56" s="240"/>
      <c r="AMJ56" s="257"/>
      <c r="AMK56" s="240"/>
      <c r="AML56" s="257"/>
      <c r="AMM56" s="240"/>
      <c r="AMP56" s="49"/>
      <c r="AMQ56" s="240"/>
      <c r="AMR56" s="240"/>
      <c r="AMS56" s="240"/>
      <c r="AMT56" s="257"/>
      <c r="AMU56" s="240"/>
      <c r="AMV56" s="257"/>
      <c r="AMW56" s="240"/>
      <c r="AMZ56" s="49"/>
      <c r="ANA56" s="240"/>
      <c r="ANB56" s="240"/>
      <c r="ANC56" s="240"/>
      <c r="AND56" s="257"/>
      <c r="ANE56" s="240"/>
      <c r="ANF56" s="257"/>
      <c r="ANG56" s="240"/>
      <c r="ANJ56" s="49"/>
      <c r="ANK56" s="240"/>
      <c r="ANL56" s="240"/>
      <c r="ANM56" s="240"/>
      <c r="ANN56" s="257"/>
      <c r="ANO56" s="240"/>
      <c r="ANP56" s="257"/>
      <c r="ANQ56" s="240"/>
      <c r="ANT56" s="49"/>
      <c r="ANU56" s="240"/>
      <c r="ANV56" s="240"/>
      <c r="ANW56" s="240"/>
      <c r="ANX56" s="257"/>
      <c r="ANY56" s="240"/>
      <c r="ANZ56" s="257"/>
      <c r="AOA56" s="240"/>
      <c r="AOD56" s="49"/>
      <c r="AOE56" s="240"/>
      <c r="AOF56" s="240"/>
      <c r="AOG56" s="240"/>
      <c r="AOH56" s="257"/>
      <c r="AOI56" s="240"/>
      <c r="AOJ56" s="257"/>
      <c r="AOK56" s="240"/>
      <c r="AON56" s="49"/>
      <c r="AOO56" s="240"/>
      <c r="AOP56" s="240"/>
      <c r="AOQ56" s="240"/>
      <c r="AOR56" s="257"/>
      <c r="AOS56" s="240"/>
      <c r="AOT56" s="257"/>
      <c r="AOU56" s="240"/>
      <c r="AOX56" s="49"/>
      <c r="AOY56" s="240"/>
      <c r="AOZ56" s="240"/>
      <c r="APA56" s="240"/>
      <c r="APB56" s="257"/>
      <c r="APC56" s="240"/>
      <c r="APD56" s="257"/>
      <c r="APE56" s="240"/>
      <c r="APH56" s="49"/>
      <c r="API56" s="240"/>
      <c r="APJ56" s="240"/>
      <c r="APK56" s="240"/>
      <c r="APL56" s="257"/>
      <c r="APM56" s="240"/>
      <c r="APN56" s="257"/>
      <c r="APO56" s="240"/>
      <c r="APR56" s="49"/>
      <c r="APS56" s="240"/>
      <c r="APT56" s="240"/>
      <c r="APU56" s="240"/>
      <c r="APV56" s="257"/>
      <c r="APW56" s="240"/>
      <c r="APX56" s="257"/>
      <c r="APY56" s="240"/>
      <c r="AQB56" s="49"/>
      <c r="AQC56" s="240"/>
      <c r="AQD56" s="240"/>
      <c r="AQE56" s="240"/>
      <c r="AQF56" s="257"/>
      <c r="AQG56" s="240"/>
      <c r="AQH56" s="257"/>
      <c r="AQI56" s="240"/>
      <c r="AQL56" s="49"/>
      <c r="AQM56" s="240"/>
      <c r="AQN56" s="240"/>
      <c r="AQO56" s="240"/>
      <c r="AQP56" s="257"/>
      <c r="AQQ56" s="240"/>
      <c r="AQR56" s="257"/>
      <c r="AQS56" s="240"/>
      <c r="AQV56" s="49"/>
      <c r="AQW56" s="240"/>
      <c r="AQX56" s="240"/>
      <c r="AQY56" s="240"/>
      <c r="AQZ56" s="257"/>
      <c r="ARA56" s="240"/>
      <c r="ARB56" s="257"/>
      <c r="ARC56" s="240"/>
      <c r="ARF56" s="49"/>
      <c r="ARG56" s="240"/>
      <c r="ARH56" s="240"/>
      <c r="ARI56" s="240"/>
      <c r="ARJ56" s="257"/>
      <c r="ARK56" s="240"/>
      <c r="ARL56" s="257"/>
      <c r="ARM56" s="240"/>
      <c r="ARP56" s="49"/>
      <c r="ARQ56" s="240"/>
      <c r="ARR56" s="240"/>
      <c r="ARS56" s="240"/>
      <c r="ART56" s="257"/>
      <c r="ARU56" s="240"/>
      <c r="ARV56" s="257"/>
      <c r="ARW56" s="240"/>
      <c r="ARZ56" s="49"/>
      <c r="ASA56" s="240"/>
      <c r="ASB56" s="240"/>
      <c r="ASC56" s="240"/>
      <c r="ASD56" s="257"/>
      <c r="ASE56" s="240"/>
      <c r="ASF56" s="257"/>
      <c r="ASG56" s="240"/>
      <c r="ASJ56" s="49"/>
      <c r="ASK56" s="240"/>
      <c r="ASL56" s="240"/>
      <c r="ASM56" s="240"/>
      <c r="ASN56" s="257"/>
      <c r="ASO56" s="240"/>
      <c r="ASP56" s="257"/>
      <c r="ASQ56" s="240"/>
      <c r="AST56" s="49"/>
      <c r="ASU56" s="240"/>
      <c r="ASV56" s="240"/>
      <c r="ASW56" s="240"/>
      <c r="ASX56" s="257"/>
      <c r="ASY56" s="240"/>
      <c r="ASZ56" s="257"/>
      <c r="ATA56" s="240"/>
      <c r="ATD56" s="49"/>
      <c r="ATE56" s="240"/>
      <c r="ATF56" s="240"/>
      <c r="ATG56" s="240"/>
      <c r="ATH56" s="257"/>
      <c r="ATI56" s="240"/>
      <c r="ATJ56" s="257"/>
      <c r="ATK56" s="240"/>
      <c r="ATN56" s="49"/>
      <c r="ATO56" s="240"/>
      <c r="ATP56" s="240"/>
      <c r="ATQ56" s="240"/>
      <c r="ATR56" s="257"/>
      <c r="ATS56" s="240"/>
      <c r="ATT56" s="257"/>
      <c r="ATU56" s="240"/>
      <c r="ATX56" s="49"/>
      <c r="ATY56" s="240"/>
      <c r="ATZ56" s="240"/>
      <c r="AUA56" s="240"/>
      <c r="AUB56" s="257"/>
      <c r="AUC56" s="240"/>
      <c r="AUD56" s="257"/>
      <c r="AUE56" s="240"/>
      <c r="AUH56" s="49"/>
      <c r="AUI56" s="240"/>
      <c r="AUJ56" s="240"/>
      <c r="AUK56" s="240"/>
      <c r="AUL56" s="257"/>
      <c r="AUM56" s="240"/>
      <c r="AUN56" s="257"/>
      <c r="AUO56" s="240"/>
      <c r="AUR56" s="49"/>
      <c r="AUS56" s="240"/>
      <c r="AUT56" s="240"/>
      <c r="AUU56" s="240"/>
      <c r="AUV56" s="257"/>
      <c r="AUW56" s="240"/>
      <c r="AUX56" s="257"/>
      <c r="AUY56" s="240"/>
      <c r="AVB56" s="49"/>
      <c r="AVC56" s="240"/>
      <c r="AVD56" s="240"/>
      <c r="AVE56" s="240"/>
      <c r="AVF56" s="257"/>
      <c r="AVG56" s="240"/>
      <c r="AVH56" s="257"/>
      <c r="AVI56" s="240"/>
      <c r="AVL56" s="49"/>
      <c r="AVM56" s="240"/>
      <c r="AVN56" s="240"/>
      <c r="AVO56" s="240"/>
      <c r="AVP56" s="257"/>
      <c r="AVQ56" s="240"/>
      <c r="AVR56" s="257"/>
      <c r="AVS56" s="240"/>
      <c r="AVV56" s="49"/>
      <c r="AVW56" s="240"/>
      <c r="AVX56" s="240"/>
      <c r="AVY56" s="240"/>
      <c r="AVZ56" s="257"/>
      <c r="AWA56" s="240"/>
      <c r="AWB56" s="257"/>
      <c r="AWC56" s="240"/>
      <c r="AWF56" s="49"/>
      <c r="AWG56" s="240"/>
      <c r="AWH56" s="240"/>
      <c r="AWI56" s="240"/>
      <c r="AWJ56" s="257"/>
      <c r="AWK56" s="240"/>
      <c r="AWL56" s="257"/>
      <c r="AWM56" s="240"/>
      <c r="AWP56" s="49"/>
      <c r="AWQ56" s="240"/>
      <c r="AWR56" s="240"/>
      <c r="AWS56" s="240"/>
      <c r="AWT56" s="257"/>
      <c r="AWU56" s="240"/>
      <c r="AWV56" s="257"/>
      <c r="AWW56" s="240"/>
      <c r="AWZ56" s="49"/>
      <c r="AXA56" s="240"/>
      <c r="AXB56" s="240"/>
      <c r="AXC56" s="240"/>
      <c r="AXD56" s="257"/>
      <c r="AXE56" s="240"/>
      <c r="AXF56" s="257"/>
      <c r="AXG56" s="240"/>
      <c r="AXJ56" s="49"/>
      <c r="AXK56" s="240"/>
      <c r="AXL56" s="240"/>
      <c r="AXM56" s="240"/>
      <c r="AXN56" s="257"/>
      <c r="AXO56" s="240"/>
      <c r="AXP56" s="257"/>
      <c r="AXQ56" s="240"/>
      <c r="AXT56" s="49"/>
      <c r="AXU56" s="240"/>
      <c r="AXV56" s="240"/>
      <c r="AXW56" s="240"/>
      <c r="AXX56" s="257"/>
      <c r="AXY56" s="240"/>
      <c r="AXZ56" s="257"/>
      <c r="AYA56" s="240"/>
      <c r="AYD56" s="49"/>
      <c r="AYE56" s="240"/>
      <c r="AYF56" s="240"/>
      <c r="AYG56" s="240"/>
      <c r="AYH56" s="257"/>
      <c r="AYI56" s="240"/>
      <c r="AYJ56" s="257"/>
      <c r="AYK56" s="240"/>
      <c r="AYN56" s="49"/>
      <c r="AYO56" s="240"/>
      <c r="AYP56" s="240"/>
      <c r="AYQ56" s="240"/>
      <c r="AYR56" s="257"/>
      <c r="AYS56" s="240"/>
      <c r="AYT56" s="257"/>
      <c r="AYU56" s="240"/>
      <c r="AYX56" s="49"/>
      <c r="AYY56" s="240"/>
      <c r="AYZ56" s="240"/>
      <c r="AZA56" s="240"/>
      <c r="AZB56" s="257"/>
      <c r="AZC56" s="240"/>
      <c r="AZD56" s="257"/>
      <c r="AZE56" s="240"/>
      <c r="AZH56" s="49"/>
      <c r="AZI56" s="240"/>
      <c r="AZJ56" s="240"/>
      <c r="AZK56" s="240"/>
      <c r="AZL56" s="257"/>
      <c r="AZM56" s="240"/>
      <c r="AZN56" s="257"/>
      <c r="AZO56" s="240"/>
      <c r="AZR56" s="49"/>
      <c r="AZS56" s="240"/>
      <c r="AZT56" s="240"/>
      <c r="AZU56" s="240"/>
      <c r="AZV56" s="257"/>
      <c r="AZW56" s="240"/>
      <c r="AZX56" s="257"/>
      <c r="AZY56" s="240"/>
      <c r="BAB56" s="49"/>
      <c r="BAC56" s="240"/>
      <c r="BAD56" s="240"/>
      <c r="BAE56" s="240"/>
      <c r="BAF56" s="257"/>
      <c r="BAG56" s="240"/>
      <c r="BAH56" s="257"/>
      <c r="BAI56" s="240"/>
      <c r="BAL56" s="49"/>
      <c r="BAM56" s="240"/>
      <c r="BAN56" s="240"/>
      <c r="BAO56" s="240"/>
      <c r="BAP56" s="257"/>
      <c r="BAQ56" s="240"/>
      <c r="BAR56" s="257"/>
      <c r="BAS56" s="240"/>
      <c r="BAV56" s="49"/>
      <c r="BAW56" s="240"/>
      <c r="BAX56" s="240"/>
      <c r="BAY56" s="240"/>
      <c r="BAZ56" s="257"/>
      <c r="BBA56" s="240"/>
      <c r="BBB56" s="257"/>
      <c r="BBC56" s="240"/>
      <c r="BBF56" s="49"/>
      <c r="BBG56" s="240"/>
      <c r="BBH56" s="240"/>
      <c r="BBI56" s="240"/>
      <c r="BBJ56" s="257"/>
      <c r="BBK56" s="240"/>
      <c r="BBL56" s="257"/>
      <c r="BBM56" s="240"/>
      <c r="BBP56" s="49"/>
      <c r="BBQ56" s="240"/>
      <c r="BBR56" s="240"/>
      <c r="BBS56" s="240"/>
      <c r="BBT56" s="257"/>
      <c r="BBU56" s="240"/>
      <c r="BBV56" s="257"/>
      <c r="BBW56" s="240"/>
      <c r="BBZ56" s="49"/>
      <c r="BCA56" s="240"/>
      <c r="BCB56" s="240"/>
      <c r="BCC56" s="240"/>
      <c r="BCD56" s="257"/>
      <c r="BCE56" s="240"/>
      <c r="BCF56" s="257"/>
      <c r="BCG56" s="240"/>
      <c r="BCJ56" s="49"/>
      <c r="BCK56" s="240"/>
      <c r="BCL56" s="240"/>
      <c r="BCM56" s="240"/>
      <c r="BCN56" s="257"/>
      <c r="BCO56" s="240"/>
      <c r="BCP56" s="257"/>
      <c r="BCQ56" s="240"/>
      <c r="BCT56" s="49"/>
      <c r="BCU56" s="240"/>
      <c r="BCV56" s="240"/>
      <c r="BCW56" s="240"/>
      <c r="BCX56" s="257"/>
      <c r="BCY56" s="240"/>
      <c r="BCZ56" s="257"/>
      <c r="BDA56" s="240"/>
      <c r="BDD56" s="49"/>
      <c r="BDE56" s="240"/>
      <c r="BDF56" s="240"/>
      <c r="BDG56" s="240"/>
      <c r="BDH56" s="257"/>
      <c r="BDI56" s="240"/>
      <c r="BDJ56" s="257"/>
      <c r="BDK56" s="240"/>
      <c r="BDN56" s="49"/>
      <c r="BDO56" s="240"/>
      <c r="BDP56" s="240"/>
      <c r="BDQ56" s="240"/>
      <c r="BDR56" s="257"/>
      <c r="BDS56" s="240"/>
      <c r="BDT56" s="257"/>
      <c r="BDU56" s="240"/>
      <c r="BDX56" s="49"/>
      <c r="BDY56" s="240"/>
      <c r="BDZ56" s="240"/>
      <c r="BEA56" s="240"/>
      <c r="BEB56" s="257"/>
      <c r="BEC56" s="240"/>
      <c r="BED56" s="257"/>
      <c r="BEE56" s="240"/>
      <c r="BEH56" s="49"/>
      <c r="BEI56" s="240"/>
      <c r="BEJ56" s="240"/>
      <c r="BEK56" s="240"/>
      <c r="BEL56" s="257"/>
      <c r="BEM56" s="240"/>
      <c r="BEN56" s="257"/>
      <c r="BEO56" s="240"/>
      <c r="BER56" s="49"/>
      <c r="BES56" s="240"/>
      <c r="BET56" s="240"/>
      <c r="BEU56" s="240"/>
      <c r="BEV56" s="257"/>
      <c r="BEW56" s="240"/>
      <c r="BEX56" s="257"/>
      <c r="BEY56" s="240"/>
      <c r="BFB56" s="49"/>
      <c r="BFC56" s="240"/>
      <c r="BFD56" s="240"/>
      <c r="BFE56" s="240"/>
      <c r="BFF56" s="257"/>
      <c r="BFG56" s="240"/>
      <c r="BFH56" s="257"/>
      <c r="BFI56" s="240"/>
      <c r="BFL56" s="49"/>
      <c r="BFM56" s="240"/>
      <c r="BFN56" s="240"/>
      <c r="BFO56" s="240"/>
      <c r="BFP56" s="257"/>
      <c r="BFQ56" s="240"/>
      <c r="BFR56" s="257"/>
      <c r="BFS56" s="240"/>
      <c r="BFV56" s="49"/>
      <c r="BFW56" s="240"/>
      <c r="BFX56" s="240"/>
      <c r="BFY56" s="240"/>
      <c r="BFZ56" s="257"/>
      <c r="BGA56" s="240"/>
      <c r="BGB56" s="257"/>
      <c r="BGC56" s="240"/>
      <c r="BGF56" s="49"/>
      <c r="BGG56" s="240"/>
      <c r="BGH56" s="240"/>
      <c r="BGI56" s="240"/>
      <c r="BGJ56" s="257"/>
      <c r="BGK56" s="240"/>
      <c r="BGL56" s="257"/>
      <c r="BGM56" s="240"/>
      <c r="BGP56" s="49"/>
      <c r="BGQ56" s="240"/>
      <c r="BGR56" s="240"/>
      <c r="BGS56" s="240"/>
      <c r="BGT56" s="257"/>
      <c r="BGU56" s="240"/>
      <c r="BGV56" s="257"/>
      <c r="BGW56" s="240"/>
      <c r="BGZ56" s="49"/>
      <c r="BHA56" s="240"/>
      <c r="BHB56" s="240"/>
      <c r="BHC56" s="240"/>
      <c r="BHD56" s="257"/>
      <c r="BHE56" s="240"/>
      <c r="BHF56" s="257"/>
      <c r="BHG56" s="240"/>
      <c r="BHJ56" s="49"/>
      <c r="BHK56" s="240"/>
      <c r="BHL56" s="240"/>
      <c r="BHM56" s="240"/>
      <c r="BHN56" s="257"/>
      <c r="BHO56" s="240"/>
      <c r="BHP56" s="257"/>
      <c r="BHQ56" s="240"/>
      <c r="BHT56" s="49"/>
      <c r="BHU56" s="240"/>
      <c r="BHV56" s="240"/>
      <c r="BHW56" s="240"/>
      <c r="BHX56" s="257"/>
      <c r="BHY56" s="240"/>
      <c r="BHZ56" s="257"/>
      <c r="BIA56" s="240"/>
      <c r="BID56" s="49"/>
      <c r="BIE56" s="240"/>
      <c r="BIF56" s="240"/>
      <c r="BIG56" s="240"/>
      <c r="BIH56" s="257"/>
      <c r="BII56" s="240"/>
      <c r="BIJ56" s="257"/>
      <c r="BIK56" s="240"/>
      <c r="BIN56" s="49"/>
      <c r="BIO56" s="240"/>
      <c r="BIP56" s="240"/>
      <c r="BIQ56" s="240"/>
      <c r="BIR56" s="257"/>
      <c r="BIS56" s="240"/>
      <c r="BIT56" s="257"/>
      <c r="BIU56" s="240"/>
      <c r="BIX56" s="49"/>
      <c r="BIY56" s="240"/>
      <c r="BIZ56" s="240"/>
      <c r="BJA56" s="240"/>
      <c r="BJB56" s="257"/>
      <c r="BJC56" s="240"/>
      <c r="BJD56" s="257"/>
      <c r="BJE56" s="240"/>
      <c r="BJH56" s="49"/>
      <c r="BJI56" s="240"/>
      <c r="BJJ56" s="240"/>
      <c r="BJK56" s="240"/>
      <c r="BJL56" s="257"/>
      <c r="BJM56" s="240"/>
      <c r="BJN56" s="257"/>
      <c r="BJO56" s="240"/>
      <c r="BJR56" s="49"/>
      <c r="BJS56" s="240"/>
      <c r="BJT56" s="240"/>
      <c r="BJU56" s="240"/>
      <c r="BJV56" s="257"/>
      <c r="BJW56" s="240"/>
      <c r="BJX56" s="257"/>
      <c r="BJY56" s="240"/>
      <c r="BKB56" s="49"/>
      <c r="BKC56" s="240"/>
      <c r="BKD56" s="240"/>
      <c r="BKE56" s="240"/>
      <c r="BKF56" s="257"/>
      <c r="BKG56" s="240"/>
      <c r="BKH56" s="257"/>
      <c r="BKI56" s="240"/>
      <c r="BKL56" s="49"/>
      <c r="BKM56" s="240"/>
      <c r="BKN56" s="240"/>
      <c r="BKO56" s="240"/>
      <c r="BKP56" s="257"/>
      <c r="BKQ56" s="240"/>
      <c r="BKR56" s="257"/>
      <c r="BKS56" s="240"/>
      <c r="BKV56" s="49"/>
      <c r="BKW56" s="240"/>
      <c r="BKX56" s="240"/>
      <c r="BKY56" s="240"/>
      <c r="BKZ56" s="257"/>
      <c r="BLA56" s="240"/>
      <c r="BLB56" s="257"/>
      <c r="BLC56" s="240"/>
      <c r="BLF56" s="49"/>
      <c r="BLG56" s="240"/>
      <c r="BLH56" s="240"/>
      <c r="BLI56" s="240"/>
      <c r="BLJ56" s="257"/>
      <c r="BLK56" s="240"/>
      <c r="BLL56" s="257"/>
      <c r="BLM56" s="240"/>
      <c r="BLP56" s="49"/>
      <c r="BLQ56" s="240"/>
      <c r="BLR56" s="240"/>
      <c r="BLS56" s="240"/>
      <c r="BLT56" s="257"/>
      <c r="BLU56" s="240"/>
      <c r="BLV56" s="257"/>
      <c r="BLW56" s="240"/>
      <c r="BLZ56" s="49"/>
      <c r="BMA56" s="240"/>
      <c r="BMB56" s="240"/>
      <c r="BMC56" s="240"/>
      <c r="BMD56" s="257"/>
      <c r="BME56" s="240"/>
      <c r="BMF56" s="257"/>
      <c r="BMG56" s="240"/>
      <c r="BMJ56" s="49"/>
      <c r="BMK56" s="240"/>
      <c r="BML56" s="240"/>
      <c r="BMM56" s="240"/>
      <c r="BMN56" s="257"/>
      <c r="BMO56" s="240"/>
      <c r="BMP56" s="257"/>
      <c r="BMQ56" s="240"/>
      <c r="BMT56" s="49"/>
      <c r="BMU56" s="240"/>
      <c r="BMV56" s="240"/>
      <c r="BMW56" s="240"/>
      <c r="BMX56" s="257"/>
      <c r="BMY56" s="240"/>
      <c r="BMZ56" s="257"/>
      <c r="BNA56" s="240"/>
      <c r="BND56" s="49"/>
      <c r="BNE56" s="240"/>
      <c r="BNF56" s="240"/>
      <c r="BNG56" s="240"/>
      <c r="BNH56" s="257"/>
      <c r="BNI56" s="240"/>
      <c r="BNJ56" s="257"/>
      <c r="BNK56" s="240"/>
      <c r="BNN56" s="49"/>
      <c r="BNO56" s="240"/>
      <c r="BNP56" s="240"/>
      <c r="BNQ56" s="240"/>
      <c r="BNR56" s="257"/>
      <c r="BNS56" s="240"/>
      <c r="BNT56" s="257"/>
      <c r="BNU56" s="240"/>
      <c r="BNX56" s="49"/>
      <c r="BNY56" s="240"/>
      <c r="BNZ56" s="240"/>
      <c r="BOA56" s="240"/>
      <c r="BOB56" s="257"/>
      <c r="BOC56" s="240"/>
      <c r="BOD56" s="257"/>
      <c r="BOE56" s="240"/>
      <c r="BOH56" s="49"/>
      <c r="BOI56" s="240"/>
      <c r="BOJ56" s="240"/>
      <c r="BOK56" s="240"/>
      <c r="BOL56" s="257"/>
      <c r="BOM56" s="240"/>
      <c r="BON56" s="257"/>
      <c r="BOO56" s="240"/>
      <c r="BOR56" s="49"/>
      <c r="BOS56" s="240"/>
      <c r="BOT56" s="240"/>
      <c r="BOU56" s="240"/>
      <c r="BOV56" s="257"/>
      <c r="BOW56" s="240"/>
      <c r="BOX56" s="257"/>
      <c r="BOY56" s="240"/>
      <c r="BPB56" s="49"/>
      <c r="BPC56" s="240"/>
      <c r="BPD56" s="240"/>
      <c r="BPE56" s="240"/>
      <c r="BPF56" s="257"/>
      <c r="BPG56" s="240"/>
      <c r="BPH56" s="257"/>
      <c r="BPI56" s="240"/>
      <c r="BPL56" s="49"/>
      <c r="BPM56" s="240"/>
      <c r="BPN56" s="240"/>
      <c r="BPO56" s="240"/>
      <c r="BPP56" s="257"/>
      <c r="BPQ56" s="240"/>
      <c r="BPR56" s="257"/>
      <c r="BPS56" s="240"/>
      <c r="BPV56" s="49"/>
      <c r="BPW56" s="240"/>
      <c r="BPX56" s="240"/>
      <c r="BPY56" s="240"/>
      <c r="BPZ56" s="257"/>
      <c r="BQA56" s="240"/>
      <c r="BQB56" s="257"/>
      <c r="BQC56" s="240"/>
      <c r="BQF56" s="49"/>
      <c r="BQG56" s="240"/>
      <c r="BQH56" s="240"/>
      <c r="BQI56" s="240"/>
      <c r="BQJ56" s="257"/>
      <c r="BQK56" s="240"/>
      <c r="BQL56" s="257"/>
      <c r="BQM56" s="240"/>
      <c r="BQP56" s="49"/>
      <c r="BQQ56" s="240"/>
      <c r="BQR56" s="240"/>
      <c r="BQS56" s="240"/>
      <c r="BQT56" s="257"/>
      <c r="BQU56" s="240"/>
      <c r="BQV56" s="257"/>
      <c r="BQW56" s="240"/>
      <c r="BQZ56" s="49"/>
      <c r="BRA56" s="240"/>
      <c r="BRB56" s="240"/>
      <c r="BRC56" s="240"/>
      <c r="BRD56" s="257"/>
      <c r="BRE56" s="240"/>
      <c r="BRF56" s="257"/>
      <c r="BRG56" s="240"/>
      <c r="BRJ56" s="49"/>
      <c r="BRK56" s="240"/>
      <c r="BRL56" s="240"/>
      <c r="BRM56" s="240"/>
      <c r="BRN56" s="257"/>
      <c r="BRO56" s="240"/>
      <c r="BRP56" s="257"/>
      <c r="BRQ56" s="240"/>
      <c r="BRT56" s="49"/>
      <c r="BRU56" s="240"/>
      <c r="BRV56" s="240"/>
      <c r="BRW56" s="240"/>
      <c r="BRX56" s="257"/>
      <c r="BRY56" s="240"/>
      <c r="BRZ56" s="257"/>
      <c r="BSA56" s="240"/>
      <c r="BSD56" s="49"/>
      <c r="BSE56" s="240"/>
      <c r="BSF56" s="240"/>
      <c r="BSG56" s="240"/>
      <c r="BSH56" s="257"/>
      <c r="BSI56" s="240"/>
      <c r="BSJ56" s="257"/>
      <c r="BSK56" s="240"/>
      <c r="BSN56" s="49"/>
      <c r="BSO56" s="240"/>
      <c r="BSP56" s="240"/>
      <c r="BSQ56" s="240"/>
      <c r="BSR56" s="257"/>
      <c r="BSS56" s="240"/>
      <c r="BST56" s="257"/>
      <c r="BSU56" s="240"/>
      <c r="BSX56" s="49"/>
      <c r="BSY56" s="240"/>
      <c r="BSZ56" s="240"/>
      <c r="BTA56" s="240"/>
      <c r="BTB56" s="257"/>
      <c r="BTC56" s="240"/>
      <c r="BTD56" s="257"/>
      <c r="BTE56" s="240"/>
      <c r="BTH56" s="49"/>
      <c r="BTI56" s="240"/>
      <c r="BTJ56" s="240"/>
      <c r="BTK56" s="240"/>
      <c r="BTL56" s="257"/>
      <c r="BTM56" s="240"/>
      <c r="BTN56" s="257"/>
      <c r="BTO56" s="240"/>
      <c r="BTR56" s="49"/>
      <c r="BTS56" s="240"/>
      <c r="BTT56" s="240"/>
      <c r="BTU56" s="240"/>
      <c r="BTV56" s="257"/>
      <c r="BTW56" s="240"/>
      <c r="BTX56" s="257"/>
      <c r="BTY56" s="240"/>
      <c r="BUB56" s="49"/>
      <c r="BUC56" s="240"/>
      <c r="BUD56" s="240"/>
      <c r="BUE56" s="240"/>
      <c r="BUF56" s="257"/>
      <c r="BUG56" s="240"/>
      <c r="BUH56" s="257"/>
      <c r="BUI56" s="240"/>
      <c r="BUL56" s="49"/>
      <c r="BUM56" s="240"/>
      <c r="BUN56" s="240"/>
      <c r="BUO56" s="240"/>
      <c r="BUP56" s="257"/>
      <c r="BUQ56" s="240"/>
      <c r="BUR56" s="257"/>
      <c r="BUS56" s="240"/>
      <c r="BUV56" s="49"/>
      <c r="BUW56" s="240"/>
      <c r="BUX56" s="240"/>
      <c r="BUY56" s="240"/>
      <c r="BUZ56" s="257"/>
      <c r="BVA56" s="240"/>
      <c r="BVB56" s="257"/>
      <c r="BVC56" s="240"/>
      <c r="BVF56" s="49"/>
      <c r="BVG56" s="240"/>
      <c r="BVH56" s="240"/>
      <c r="BVI56" s="240"/>
      <c r="BVJ56" s="257"/>
      <c r="BVK56" s="240"/>
      <c r="BVL56" s="257"/>
      <c r="BVM56" s="240"/>
      <c r="BVP56" s="49"/>
      <c r="BVQ56" s="240"/>
      <c r="BVR56" s="240"/>
      <c r="BVS56" s="240"/>
      <c r="BVT56" s="257"/>
      <c r="BVU56" s="240"/>
      <c r="BVV56" s="257"/>
      <c r="BVW56" s="240"/>
      <c r="BVZ56" s="49"/>
      <c r="BWA56" s="240"/>
      <c r="BWB56" s="240"/>
      <c r="BWC56" s="240"/>
      <c r="BWD56" s="257"/>
      <c r="BWE56" s="240"/>
      <c r="BWF56" s="257"/>
      <c r="BWG56" s="240"/>
      <c r="BWJ56" s="49"/>
      <c r="BWK56" s="240"/>
      <c r="BWL56" s="240"/>
      <c r="BWM56" s="240"/>
      <c r="BWN56" s="257"/>
      <c r="BWO56" s="240"/>
      <c r="BWP56" s="257"/>
      <c r="BWQ56" s="240"/>
      <c r="BWT56" s="49"/>
      <c r="BWU56" s="240"/>
      <c r="BWV56" s="240"/>
      <c r="BWW56" s="240"/>
      <c r="BWX56" s="257"/>
      <c r="BWY56" s="240"/>
      <c r="BWZ56" s="257"/>
      <c r="BXA56" s="240"/>
      <c r="BXD56" s="49"/>
      <c r="BXE56" s="240"/>
      <c r="BXF56" s="240"/>
      <c r="BXG56" s="240"/>
      <c r="BXH56" s="257"/>
      <c r="BXI56" s="240"/>
      <c r="BXJ56" s="257"/>
      <c r="BXK56" s="240"/>
      <c r="BXN56" s="49"/>
      <c r="BXO56" s="240"/>
      <c r="BXP56" s="240"/>
      <c r="BXQ56" s="240"/>
      <c r="BXR56" s="257"/>
      <c r="BXS56" s="240"/>
      <c r="BXT56" s="257"/>
      <c r="BXU56" s="240"/>
      <c r="BXX56" s="49"/>
      <c r="BXY56" s="240"/>
      <c r="BXZ56" s="240"/>
      <c r="BYA56" s="240"/>
      <c r="BYB56" s="257"/>
      <c r="BYC56" s="240"/>
      <c r="BYD56" s="257"/>
      <c r="BYE56" s="240"/>
      <c r="BYH56" s="49"/>
      <c r="BYI56" s="240"/>
      <c r="BYJ56" s="240"/>
      <c r="BYK56" s="240"/>
      <c r="BYL56" s="257"/>
      <c r="BYM56" s="240"/>
      <c r="BYN56" s="257"/>
      <c r="BYO56" s="240"/>
      <c r="BYR56" s="49"/>
      <c r="BYS56" s="240"/>
      <c r="BYT56" s="240"/>
      <c r="BYU56" s="240"/>
      <c r="BYV56" s="257"/>
      <c r="BYW56" s="240"/>
      <c r="BYX56" s="257"/>
      <c r="BYY56" s="240"/>
      <c r="BZB56" s="49"/>
      <c r="BZC56" s="240"/>
      <c r="BZD56" s="240"/>
      <c r="BZE56" s="240"/>
      <c r="BZF56" s="257"/>
      <c r="BZG56" s="240"/>
      <c r="BZH56" s="257"/>
      <c r="BZI56" s="240"/>
      <c r="BZL56" s="49"/>
      <c r="BZM56" s="240"/>
      <c r="BZN56" s="240"/>
      <c r="BZO56" s="240"/>
      <c r="BZP56" s="257"/>
      <c r="BZQ56" s="240"/>
      <c r="BZR56" s="257"/>
      <c r="BZS56" s="240"/>
      <c r="BZV56" s="49"/>
      <c r="BZW56" s="240"/>
      <c r="BZX56" s="240"/>
      <c r="BZY56" s="240"/>
      <c r="BZZ56" s="257"/>
      <c r="CAA56" s="240"/>
      <c r="CAB56" s="257"/>
      <c r="CAC56" s="240"/>
      <c r="CAF56" s="49"/>
      <c r="CAG56" s="240"/>
      <c r="CAH56" s="240"/>
      <c r="CAI56" s="240"/>
      <c r="CAJ56" s="257"/>
      <c r="CAK56" s="240"/>
      <c r="CAL56" s="257"/>
      <c r="CAM56" s="240"/>
      <c r="CAP56" s="49"/>
      <c r="CAQ56" s="240"/>
      <c r="CAR56" s="240"/>
      <c r="CAS56" s="240"/>
      <c r="CAT56" s="257"/>
      <c r="CAU56" s="240"/>
      <c r="CAV56" s="257"/>
      <c r="CAW56" s="240"/>
      <c r="CAZ56" s="49"/>
      <c r="CBA56" s="240"/>
      <c r="CBB56" s="240"/>
      <c r="CBC56" s="240"/>
      <c r="CBD56" s="257"/>
      <c r="CBE56" s="240"/>
      <c r="CBF56" s="257"/>
      <c r="CBG56" s="240"/>
      <c r="CBJ56" s="49"/>
      <c r="CBK56" s="240"/>
      <c r="CBL56" s="240"/>
      <c r="CBM56" s="240"/>
      <c r="CBN56" s="257"/>
      <c r="CBO56" s="240"/>
      <c r="CBP56" s="257"/>
      <c r="CBQ56" s="240"/>
      <c r="CBT56" s="49"/>
      <c r="CBU56" s="240"/>
      <c r="CBV56" s="240"/>
      <c r="CBW56" s="240"/>
      <c r="CBX56" s="257"/>
      <c r="CBY56" s="240"/>
      <c r="CBZ56" s="257"/>
      <c r="CCA56" s="240"/>
      <c r="CCD56" s="49"/>
      <c r="CCE56" s="240"/>
      <c r="CCF56" s="240"/>
      <c r="CCG56" s="240"/>
      <c r="CCH56" s="257"/>
      <c r="CCI56" s="240"/>
      <c r="CCJ56" s="257"/>
      <c r="CCK56" s="240"/>
      <c r="CCN56" s="49"/>
      <c r="CCO56" s="240"/>
      <c r="CCP56" s="240"/>
      <c r="CCQ56" s="240"/>
      <c r="CCR56" s="257"/>
      <c r="CCS56" s="240"/>
      <c r="CCT56" s="257"/>
      <c r="CCU56" s="240"/>
      <c r="CCX56" s="49"/>
      <c r="CCY56" s="240"/>
      <c r="CCZ56" s="240"/>
      <c r="CDA56" s="240"/>
      <c r="CDB56" s="257"/>
      <c r="CDC56" s="240"/>
      <c r="CDD56" s="257"/>
      <c r="CDE56" s="240"/>
      <c r="CDH56" s="49"/>
      <c r="CDI56" s="240"/>
      <c r="CDJ56" s="240"/>
      <c r="CDK56" s="240"/>
      <c r="CDL56" s="257"/>
      <c r="CDM56" s="240"/>
      <c r="CDN56" s="257"/>
      <c r="CDO56" s="240"/>
      <c r="CDR56" s="49"/>
      <c r="CDS56" s="240"/>
      <c r="CDT56" s="240"/>
      <c r="CDU56" s="240"/>
      <c r="CDV56" s="257"/>
      <c r="CDW56" s="240"/>
      <c r="CDX56" s="257"/>
      <c r="CDY56" s="240"/>
      <c r="CEB56" s="49"/>
      <c r="CEC56" s="240"/>
      <c r="CED56" s="240"/>
      <c r="CEE56" s="240"/>
      <c r="CEF56" s="257"/>
      <c r="CEG56" s="240"/>
      <c r="CEH56" s="257"/>
      <c r="CEI56" s="240"/>
      <c r="CEL56" s="49"/>
      <c r="CEM56" s="240"/>
      <c r="CEN56" s="240"/>
      <c r="CEO56" s="240"/>
      <c r="CEP56" s="257"/>
      <c r="CEQ56" s="240"/>
      <c r="CER56" s="257"/>
      <c r="CES56" s="240"/>
      <c r="CEV56" s="49"/>
      <c r="CEW56" s="240"/>
      <c r="CEX56" s="240"/>
      <c r="CEY56" s="240"/>
      <c r="CEZ56" s="257"/>
      <c r="CFA56" s="240"/>
      <c r="CFB56" s="257"/>
      <c r="CFC56" s="240"/>
      <c r="CFF56" s="49"/>
      <c r="CFG56" s="240"/>
      <c r="CFH56" s="240"/>
      <c r="CFI56" s="240"/>
      <c r="CFJ56" s="257"/>
      <c r="CFK56" s="240"/>
      <c r="CFL56" s="257"/>
      <c r="CFM56" s="240"/>
      <c r="CFP56" s="49"/>
      <c r="CFQ56" s="240"/>
      <c r="CFR56" s="240"/>
      <c r="CFS56" s="240"/>
      <c r="CFT56" s="257"/>
      <c r="CFU56" s="240"/>
      <c r="CFV56" s="257"/>
      <c r="CFW56" s="240"/>
      <c r="CFZ56" s="49"/>
      <c r="CGA56" s="240"/>
      <c r="CGB56" s="240"/>
      <c r="CGC56" s="240"/>
      <c r="CGD56" s="257"/>
      <c r="CGE56" s="240"/>
      <c r="CGF56" s="257"/>
      <c r="CGG56" s="240"/>
      <c r="CGJ56" s="49"/>
      <c r="CGK56" s="240"/>
      <c r="CGL56" s="240"/>
      <c r="CGM56" s="240"/>
      <c r="CGN56" s="257"/>
      <c r="CGO56" s="240"/>
      <c r="CGP56" s="257"/>
      <c r="CGQ56" s="240"/>
      <c r="CGT56" s="49"/>
      <c r="CGU56" s="240"/>
      <c r="CGV56" s="240"/>
      <c r="CGW56" s="240"/>
      <c r="CGX56" s="257"/>
      <c r="CGY56" s="240"/>
      <c r="CGZ56" s="257"/>
      <c r="CHA56" s="240"/>
      <c r="CHD56" s="49"/>
      <c r="CHE56" s="240"/>
      <c r="CHF56" s="240"/>
      <c r="CHG56" s="240"/>
      <c r="CHH56" s="257"/>
      <c r="CHI56" s="240"/>
      <c r="CHJ56" s="257"/>
      <c r="CHK56" s="240"/>
      <c r="CHN56" s="49"/>
      <c r="CHO56" s="240"/>
      <c r="CHP56" s="240"/>
      <c r="CHQ56" s="240"/>
      <c r="CHR56" s="257"/>
      <c r="CHS56" s="240"/>
      <c r="CHT56" s="257"/>
      <c r="CHU56" s="240"/>
      <c r="CHX56" s="49"/>
      <c r="CHY56" s="240"/>
      <c r="CHZ56" s="240"/>
      <c r="CIA56" s="240"/>
      <c r="CIB56" s="257"/>
      <c r="CIC56" s="240"/>
      <c r="CID56" s="257"/>
      <c r="CIE56" s="240"/>
      <c r="CIH56" s="49"/>
      <c r="CII56" s="240"/>
      <c r="CIJ56" s="240"/>
      <c r="CIK56" s="240"/>
      <c r="CIL56" s="257"/>
      <c r="CIM56" s="240"/>
      <c r="CIN56" s="257"/>
      <c r="CIO56" s="240"/>
      <c r="CIR56" s="49"/>
      <c r="CIS56" s="240"/>
      <c r="CIT56" s="240"/>
      <c r="CIU56" s="240"/>
      <c r="CIV56" s="257"/>
      <c r="CIW56" s="240"/>
      <c r="CIX56" s="257"/>
      <c r="CIY56" s="240"/>
      <c r="CJB56" s="49"/>
      <c r="CJC56" s="240"/>
      <c r="CJD56" s="240"/>
      <c r="CJE56" s="240"/>
      <c r="CJF56" s="257"/>
      <c r="CJG56" s="240"/>
      <c r="CJH56" s="257"/>
      <c r="CJI56" s="240"/>
      <c r="CJL56" s="49"/>
      <c r="CJM56" s="240"/>
      <c r="CJN56" s="240"/>
      <c r="CJO56" s="240"/>
      <c r="CJP56" s="257"/>
      <c r="CJQ56" s="240"/>
      <c r="CJR56" s="257"/>
      <c r="CJS56" s="240"/>
      <c r="CJV56" s="49"/>
      <c r="CJW56" s="240"/>
      <c r="CJX56" s="240"/>
      <c r="CJY56" s="240"/>
      <c r="CJZ56" s="257"/>
      <c r="CKA56" s="240"/>
      <c r="CKB56" s="257"/>
      <c r="CKC56" s="240"/>
      <c r="CKF56" s="49"/>
      <c r="CKG56" s="240"/>
      <c r="CKH56" s="240"/>
      <c r="CKI56" s="240"/>
      <c r="CKJ56" s="257"/>
      <c r="CKK56" s="240"/>
      <c r="CKL56" s="257"/>
      <c r="CKM56" s="240"/>
      <c r="CKP56" s="49"/>
      <c r="CKQ56" s="240"/>
      <c r="CKR56" s="240"/>
      <c r="CKS56" s="240"/>
      <c r="CKT56" s="257"/>
      <c r="CKU56" s="240"/>
      <c r="CKV56" s="257"/>
      <c r="CKW56" s="240"/>
      <c r="CKZ56" s="49"/>
      <c r="CLA56" s="240"/>
      <c r="CLB56" s="240"/>
      <c r="CLC56" s="240"/>
      <c r="CLD56" s="257"/>
      <c r="CLE56" s="240"/>
      <c r="CLF56" s="257"/>
      <c r="CLG56" s="240"/>
      <c r="CLJ56" s="49"/>
      <c r="CLK56" s="240"/>
      <c r="CLL56" s="240"/>
      <c r="CLM56" s="240"/>
      <c r="CLN56" s="257"/>
      <c r="CLO56" s="240"/>
      <c r="CLP56" s="257"/>
      <c r="CLQ56" s="240"/>
      <c r="CLT56" s="49"/>
      <c r="CLU56" s="240"/>
      <c r="CLV56" s="240"/>
      <c r="CLW56" s="240"/>
      <c r="CLX56" s="257"/>
      <c r="CLY56" s="240"/>
      <c r="CLZ56" s="257"/>
      <c r="CMA56" s="240"/>
      <c r="CMD56" s="49"/>
      <c r="CME56" s="240"/>
      <c r="CMF56" s="240"/>
      <c r="CMG56" s="240"/>
      <c r="CMH56" s="257"/>
      <c r="CMI56" s="240"/>
      <c r="CMJ56" s="257"/>
      <c r="CMK56" s="240"/>
      <c r="CMN56" s="49"/>
      <c r="CMO56" s="240"/>
      <c r="CMP56" s="240"/>
      <c r="CMQ56" s="240"/>
      <c r="CMR56" s="257"/>
      <c r="CMS56" s="240"/>
      <c r="CMT56" s="257"/>
      <c r="CMU56" s="240"/>
      <c r="CMX56" s="49"/>
      <c r="CMY56" s="240"/>
      <c r="CMZ56" s="240"/>
      <c r="CNA56" s="240"/>
      <c r="CNB56" s="257"/>
      <c r="CNC56" s="240"/>
      <c r="CND56" s="257"/>
      <c r="CNE56" s="240"/>
      <c r="CNH56" s="49"/>
      <c r="CNI56" s="240"/>
      <c r="CNJ56" s="240"/>
      <c r="CNK56" s="240"/>
      <c r="CNL56" s="257"/>
      <c r="CNM56" s="240"/>
      <c r="CNN56" s="257"/>
      <c r="CNO56" s="240"/>
      <c r="CNR56" s="49"/>
      <c r="CNS56" s="240"/>
      <c r="CNT56" s="240"/>
      <c r="CNU56" s="240"/>
      <c r="CNV56" s="257"/>
      <c r="CNW56" s="240"/>
      <c r="CNX56" s="257"/>
      <c r="CNY56" s="240"/>
      <c r="COB56" s="49"/>
      <c r="COC56" s="240"/>
      <c r="COD56" s="240"/>
      <c r="COE56" s="240"/>
      <c r="COF56" s="257"/>
      <c r="COG56" s="240"/>
      <c r="COH56" s="257"/>
      <c r="COI56" s="240"/>
      <c r="COL56" s="49"/>
      <c r="COM56" s="240"/>
      <c r="CON56" s="240"/>
      <c r="COO56" s="240"/>
      <c r="COP56" s="257"/>
      <c r="COQ56" s="240"/>
      <c r="COR56" s="257"/>
      <c r="COS56" s="240"/>
      <c r="COV56" s="49"/>
      <c r="COW56" s="240"/>
      <c r="COX56" s="240"/>
      <c r="COY56" s="240"/>
      <c r="COZ56" s="257"/>
      <c r="CPA56" s="240"/>
      <c r="CPB56" s="257"/>
      <c r="CPC56" s="240"/>
      <c r="CPF56" s="49"/>
      <c r="CPG56" s="240"/>
      <c r="CPH56" s="240"/>
      <c r="CPI56" s="240"/>
      <c r="CPJ56" s="257"/>
      <c r="CPK56" s="240"/>
      <c r="CPL56" s="257"/>
      <c r="CPM56" s="240"/>
      <c r="CPP56" s="49"/>
      <c r="CPQ56" s="240"/>
      <c r="CPR56" s="240"/>
      <c r="CPS56" s="240"/>
      <c r="CPT56" s="257"/>
      <c r="CPU56" s="240"/>
      <c r="CPV56" s="257"/>
      <c r="CPW56" s="240"/>
      <c r="CPZ56" s="49"/>
      <c r="CQA56" s="240"/>
      <c r="CQB56" s="240"/>
      <c r="CQC56" s="240"/>
      <c r="CQD56" s="257"/>
      <c r="CQE56" s="240"/>
      <c r="CQF56" s="257"/>
      <c r="CQG56" s="240"/>
      <c r="CQJ56" s="49"/>
      <c r="CQK56" s="240"/>
      <c r="CQL56" s="240"/>
      <c r="CQM56" s="240"/>
      <c r="CQN56" s="257"/>
      <c r="CQO56" s="240"/>
      <c r="CQP56" s="257"/>
      <c r="CQQ56" s="240"/>
      <c r="CQT56" s="49"/>
      <c r="CQU56" s="240"/>
      <c r="CQV56" s="240"/>
      <c r="CQW56" s="240"/>
      <c r="CQX56" s="257"/>
      <c r="CQY56" s="240"/>
      <c r="CQZ56" s="257"/>
      <c r="CRA56" s="240"/>
      <c r="CRD56" s="49"/>
      <c r="CRE56" s="240"/>
      <c r="CRF56" s="240"/>
      <c r="CRG56" s="240"/>
      <c r="CRH56" s="257"/>
      <c r="CRI56" s="240"/>
      <c r="CRJ56" s="257"/>
      <c r="CRK56" s="240"/>
      <c r="CRN56" s="49"/>
      <c r="CRO56" s="240"/>
      <c r="CRP56" s="240"/>
      <c r="CRQ56" s="240"/>
      <c r="CRR56" s="257"/>
      <c r="CRS56" s="240"/>
      <c r="CRT56" s="257"/>
      <c r="CRU56" s="240"/>
      <c r="CRX56" s="49"/>
      <c r="CRY56" s="240"/>
      <c r="CRZ56" s="240"/>
      <c r="CSA56" s="240"/>
      <c r="CSB56" s="257"/>
      <c r="CSC56" s="240"/>
      <c r="CSD56" s="257"/>
      <c r="CSE56" s="240"/>
      <c r="CSH56" s="49"/>
      <c r="CSI56" s="240"/>
      <c r="CSJ56" s="240"/>
      <c r="CSK56" s="240"/>
      <c r="CSL56" s="257"/>
      <c r="CSM56" s="240"/>
      <c r="CSN56" s="257"/>
      <c r="CSO56" s="240"/>
      <c r="CSR56" s="49"/>
      <c r="CSS56" s="240"/>
      <c r="CST56" s="240"/>
      <c r="CSU56" s="240"/>
      <c r="CSV56" s="257"/>
      <c r="CSW56" s="240"/>
      <c r="CSX56" s="257"/>
      <c r="CSY56" s="240"/>
      <c r="CTB56" s="49"/>
      <c r="CTC56" s="240"/>
      <c r="CTD56" s="240"/>
      <c r="CTE56" s="240"/>
      <c r="CTF56" s="257"/>
      <c r="CTG56" s="240"/>
      <c r="CTH56" s="257"/>
      <c r="CTI56" s="240"/>
      <c r="CTL56" s="49"/>
      <c r="CTM56" s="240"/>
      <c r="CTN56" s="240"/>
      <c r="CTO56" s="240"/>
      <c r="CTP56" s="257"/>
      <c r="CTQ56" s="240"/>
      <c r="CTR56" s="257"/>
      <c r="CTS56" s="240"/>
      <c r="CTV56" s="49"/>
      <c r="CTW56" s="240"/>
      <c r="CTX56" s="240"/>
      <c r="CTY56" s="240"/>
      <c r="CTZ56" s="257"/>
      <c r="CUA56" s="240"/>
      <c r="CUB56" s="257"/>
      <c r="CUC56" s="240"/>
      <c r="CUF56" s="49"/>
      <c r="CUG56" s="240"/>
      <c r="CUH56" s="240"/>
      <c r="CUI56" s="240"/>
      <c r="CUJ56" s="257"/>
      <c r="CUK56" s="240"/>
      <c r="CUL56" s="257"/>
      <c r="CUM56" s="240"/>
      <c r="CUP56" s="49"/>
      <c r="CUQ56" s="240"/>
      <c r="CUR56" s="240"/>
      <c r="CUS56" s="240"/>
      <c r="CUT56" s="257"/>
      <c r="CUU56" s="240"/>
      <c r="CUV56" s="257"/>
      <c r="CUW56" s="240"/>
      <c r="CUZ56" s="49"/>
      <c r="CVA56" s="240"/>
      <c r="CVB56" s="240"/>
      <c r="CVC56" s="240"/>
      <c r="CVD56" s="257"/>
      <c r="CVE56" s="240"/>
      <c r="CVF56" s="257"/>
      <c r="CVG56" s="240"/>
      <c r="CVJ56" s="49"/>
      <c r="CVK56" s="240"/>
      <c r="CVL56" s="240"/>
      <c r="CVM56" s="240"/>
      <c r="CVN56" s="257"/>
      <c r="CVO56" s="240"/>
      <c r="CVP56" s="257"/>
      <c r="CVQ56" s="240"/>
      <c r="CVT56" s="49"/>
      <c r="CVU56" s="240"/>
      <c r="CVV56" s="240"/>
      <c r="CVW56" s="240"/>
      <c r="CVX56" s="257"/>
      <c r="CVY56" s="240"/>
      <c r="CVZ56" s="257"/>
      <c r="CWA56" s="240"/>
      <c r="CWD56" s="49"/>
      <c r="CWE56" s="240"/>
      <c r="CWF56" s="240"/>
      <c r="CWG56" s="240"/>
      <c r="CWH56" s="257"/>
      <c r="CWI56" s="240"/>
      <c r="CWJ56" s="257"/>
      <c r="CWK56" s="240"/>
      <c r="CWN56" s="49"/>
      <c r="CWO56" s="240"/>
      <c r="CWP56" s="240"/>
      <c r="CWQ56" s="240"/>
      <c r="CWR56" s="257"/>
      <c r="CWS56" s="240"/>
      <c r="CWT56" s="257"/>
      <c r="CWU56" s="240"/>
      <c r="CWX56" s="49"/>
      <c r="CWY56" s="240"/>
      <c r="CWZ56" s="240"/>
      <c r="CXA56" s="240"/>
      <c r="CXB56" s="257"/>
      <c r="CXC56" s="240"/>
      <c r="CXD56" s="257"/>
      <c r="CXE56" s="240"/>
      <c r="CXH56" s="49"/>
      <c r="CXI56" s="240"/>
      <c r="CXJ56" s="240"/>
      <c r="CXK56" s="240"/>
      <c r="CXL56" s="257"/>
      <c r="CXM56" s="240"/>
      <c r="CXN56" s="257"/>
      <c r="CXO56" s="240"/>
      <c r="CXR56" s="49"/>
      <c r="CXS56" s="240"/>
      <c r="CXT56" s="240"/>
      <c r="CXU56" s="240"/>
      <c r="CXV56" s="257"/>
      <c r="CXW56" s="240"/>
      <c r="CXX56" s="257"/>
      <c r="CXY56" s="240"/>
      <c r="CYB56" s="49"/>
      <c r="CYC56" s="240"/>
      <c r="CYD56" s="240"/>
      <c r="CYE56" s="240"/>
      <c r="CYF56" s="257"/>
      <c r="CYG56" s="240"/>
      <c r="CYH56" s="257"/>
      <c r="CYI56" s="240"/>
      <c r="CYL56" s="49"/>
      <c r="CYM56" s="240"/>
      <c r="CYN56" s="240"/>
      <c r="CYO56" s="240"/>
      <c r="CYP56" s="257"/>
      <c r="CYQ56" s="240"/>
      <c r="CYR56" s="257"/>
      <c r="CYS56" s="240"/>
      <c r="CYV56" s="49"/>
      <c r="CYW56" s="240"/>
      <c r="CYX56" s="240"/>
      <c r="CYY56" s="240"/>
      <c r="CYZ56" s="257"/>
      <c r="CZA56" s="240"/>
      <c r="CZB56" s="257"/>
      <c r="CZC56" s="240"/>
      <c r="CZF56" s="49"/>
      <c r="CZG56" s="240"/>
      <c r="CZH56" s="240"/>
      <c r="CZI56" s="240"/>
      <c r="CZJ56" s="257"/>
      <c r="CZK56" s="240"/>
      <c r="CZL56" s="257"/>
      <c r="CZM56" s="240"/>
      <c r="CZP56" s="49"/>
      <c r="CZQ56" s="240"/>
      <c r="CZR56" s="240"/>
      <c r="CZS56" s="240"/>
      <c r="CZT56" s="257"/>
      <c r="CZU56" s="240"/>
      <c r="CZV56" s="257"/>
      <c r="CZW56" s="240"/>
      <c r="CZZ56" s="49"/>
      <c r="DAA56" s="240"/>
      <c r="DAB56" s="240"/>
      <c r="DAC56" s="240"/>
      <c r="DAD56" s="257"/>
      <c r="DAE56" s="240"/>
      <c r="DAF56" s="257"/>
      <c r="DAG56" s="240"/>
      <c r="DAJ56" s="49"/>
      <c r="DAK56" s="240"/>
      <c r="DAL56" s="240"/>
      <c r="DAM56" s="240"/>
      <c r="DAN56" s="257"/>
      <c r="DAO56" s="240"/>
      <c r="DAP56" s="257"/>
      <c r="DAQ56" s="240"/>
      <c r="DAT56" s="49"/>
      <c r="DAU56" s="240"/>
      <c r="DAV56" s="240"/>
      <c r="DAW56" s="240"/>
      <c r="DAX56" s="257"/>
      <c r="DAY56" s="240"/>
      <c r="DAZ56" s="257"/>
      <c r="DBA56" s="240"/>
      <c r="DBD56" s="49"/>
      <c r="DBE56" s="240"/>
      <c r="DBF56" s="240"/>
      <c r="DBG56" s="240"/>
      <c r="DBH56" s="257"/>
      <c r="DBI56" s="240"/>
      <c r="DBJ56" s="257"/>
      <c r="DBK56" s="240"/>
      <c r="DBN56" s="49"/>
      <c r="DBO56" s="240"/>
      <c r="DBP56" s="240"/>
      <c r="DBQ56" s="240"/>
      <c r="DBR56" s="257"/>
      <c r="DBS56" s="240"/>
      <c r="DBT56" s="257"/>
      <c r="DBU56" s="240"/>
      <c r="DBX56" s="49"/>
      <c r="DBY56" s="240"/>
      <c r="DBZ56" s="240"/>
      <c r="DCA56" s="240"/>
      <c r="DCB56" s="257"/>
      <c r="DCC56" s="240"/>
      <c r="DCD56" s="257"/>
      <c r="DCE56" s="240"/>
      <c r="DCH56" s="49"/>
      <c r="DCI56" s="240"/>
      <c r="DCJ56" s="240"/>
      <c r="DCK56" s="240"/>
      <c r="DCL56" s="257"/>
      <c r="DCM56" s="240"/>
      <c r="DCN56" s="257"/>
      <c r="DCO56" s="240"/>
      <c r="DCR56" s="49"/>
      <c r="DCS56" s="240"/>
      <c r="DCT56" s="240"/>
      <c r="DCU56" s="240"/>
      <c r="DCV56" s="257"/>
      <c r="DCW56" s="240"/>
      <c r="DCX56" s="257"/>
      <c r="DCY56" s="240"/>
      <c r="DDB56" s="49"/>
      <c r="DDC56" s="240"/>
      <c r="DDD56" s="240"/>
      <c r="DDE56" s="240"/>
      <c r="DDF56" s="257"/>
      <c r="DDG56" s="240"/>
      <c r="DDH56" s="257"/>
      <c r="DDI56" s="240"/>
      <c r="DDL56" s="49"/>
      <c r="DDM56" s="240"/>
      <c r="DDN56" s="240"/>
      <c r="DDO56" s="240"/>
      <c r="DDP56" s="257"/>
      <c r="DDQ56" s="240"/>
      <c r="DDR56" s="257"/>
      <c r="DDS56" s="240"/>
      <c r="DDV56" s="49"/>
      <c r="DDW56" s="240"/>
      <c r="DDX56" s="240"/>
      <c r="DDY56" s="240"/>
      <c r="DDZ56" s="257"/>
      <c r="DEA56" s="240"/>
      <c r="DEB56" s="257"/>
      <c r="DEC56" s="240"/>
      <c r="DEF56" s="49"/>
      <c r="DEG56" s="240"/>
      <c r="DEH56" s="240"/>
      <c r="DEI56" s="240"/>
      <c r="DEJ56" s="257"/>
      <c r="DEK56" s="240"/>
      <c r="DEL56" s="257"/>
      <c r="DEM56" s="240"/>
      <c r="DEP56" s="49"/>
      <c r="DEQ56" s="240"/>
      <c r="DER56" s="240"/>
      <c r="DES56" s="240"/>
      <c r="DET56" s="257"/>
      <c r="DEU56" s="240"/>
      <c r="DEV56" s="257"/>
      <c r="DEW56" s="240"/>
      <c r="DEZ56" s="49"/>
      <c r="DFA56" s="240"/>
      <c r="DFB56" s="240"/>
      <c r="DFC56" s="240"/>
      <c r="DFD56" s="257"/>
      <c r="DFE56" s="240"/>
      <c r="DFF56" s="257"/>
      <c r="DFG56" s="240"/>
      <c r="DFJ56" s="49"/>
      <c r="DFK56" s="240"/>
      <c r="DFL56" s="240"/>
      <c r="DFM56" s="240"/>
      <c r="DFN56" s="257"/>
      <c r="DFO56" s="240"/>
      <c r="DFP56" s="257"/>
      <c r="DFQ56" s="240"/>
      <c r="DFT56" s="49"/>
      <c r="DFU56" s="240"/>
      <c r="DFV56" s="240"/>
      <c r="DFW56" s="240"/>
      <c r="DFX56" s="257"/>
      <c r="DFY56" s="240"/>
      <c r="DFZ56" s="257"/>
      <c r="DGA56" s="240"/>
      <c r="DGD56" s="49"/>
      <c r="DGE56" s="240"/>
      <c r="DGF56" s="240"/>
      <c r="DGG56" s="240"/>
      <c r="DGH56" s="257"/>
      <c r="DGI56" s="240"/>
      <c r="DGJ56" s="257"/>
      <c r="DGK56" s="240"/>
      <c r="DGN56" s="49"/>
      <c r="DGO56" s="240"/>
      <c r="DGP56" s="240"/>
      <c r="DGQ56" s="240"/>
      <c r="DGR56" s="257"/>
      <c r="DGS56" s="240"/>
      <c r="DGT56" s="257"/>
      <c r="DGU56" s="240"/>
      <c r="DGX56" s="49"/>
      <c r="DGY56" s="240"/>
      <c r="DGZ56" s="240"/>
      <c r="DHA56" s="240"/>
      <c r="DHB56" s="257"/>
      <c r="DHC56" s="240"/>
      <c r="DHD56" s="257"/>
      <c r="DHE56" s="240"/>
      <c r="DHH56" s="49"/>
      <c r="DHI56" s="240"/>
      <c r="DHJ56" s="240"/>
      <c r="DHK56" s="240"/>
      <c r="DHL56" s="257"/>
      <c r="DHM56" s="240"/>
      <c r="DHN56" s="257"/>
      <c r="DHO56" s="240"/>
      <c r="DHR56" s="49"/>
      <c r="DHS56" s="240"/>
      <c r="DHT56" s="240"/>
      <c r="DHU56" s="240"/>
      <c r="DHV56" s="257"/>
      <c r="DHW56" s="240"/>
      <c r="DHX56" s="257"/>
      <c r="DHY56" s="240"/>
      <c r="DIB56" s="49"/>
      <c r="DIC56" s="240"/>
      <c r="DID56" s="240"/>
      <c r="DIE56" s="240"/>
      <c r="DIF56" s="257"/>
      <c r="DIG56" s="240"/>
      <c r="DIH56" s="257"/>
      <c r="DII56" s="240"/>
      <c r="DIL56" s="49"/>
      <c r="DIM56" s="240"/>
      <c r="DIN56" s="240"/>
      <c r="DIO56" s="240"/>
      <c r="DIP56" s="257"/>
      <c r="DIQ56" s="240"/>
      <c r="DIR56" s="257"/>
      <c r="DIS56" s="240"/>
      <c r="DIV56" s="49"/>
      <c r="DIW56" s="240"/>
      <c r="DIX56" s="240"/>
      <c r="DIY56" s="240"/>
      <c r="DIZ56" s="257"/>
      <c r="DJA56" s="240"/>
      <c r="DJB56" s="257"/>
      <c r="DJC56" s="240"/>
      <c r="DJF56" s="49"/>
      <c r="DJG56" s="240"/>
      <c r="DJH56" s="240"/>
      <c r="DJI56" s="240"/>
      <c r="DJJ56" s="257"/>
      <c r="DJK56" s="240"/>
      <c r="DJL56" s="257"/>
      <c r="DJM56" s="240"/>
      <c r="DJP56" s="49"/>
      <c r="DJQ56" s="240"/>
      <c r="DJR56" s="240"/>
      <c r="DJS56" s="240"/>
      <c r="DJT56" s="257"/>
      <c r="DJU56" s="240"/>
      <c r="DJV56" s="257"/>
      <c r="DJW56" s="240"/>
      <c r="DJZ56" s="49"/>
      <c r="DKA56" s="240"/>
      <c r="DKB56" s="240"/>
      <c r="DKC56" s="240"/>
      <c r="DKD56" s="257"/>
      <c r="DKE56" s="240"/>
      <c r="DKF56" s="257"/>
      <c r="DKG56" s="240"/>
      <c r="DKJ56" s="49"/>
      <c r="DKK56" s="240"/>
      <c r="DKL56" s="240"/>
      <c r="DKM56" s="240"/>
      <c r="DKN56" s="257"/>
      <c r="DKO56" s="240"/>
      <c r="DKP56" s="257"/>
      <c r="DKQ56" s="240"/>
      <c r="DKT56" s="49"/>
      <c r="DKU56" s="240"/>
      <c r="DKV56" s="240"/>
      <c r="DKW56" s="240"/>
      <c r="DKX56" s="257"/>
      <c r="DKY56" s="240"/>
      <c r="DKZ56" s="257"/>
      <c r="DLA56" s="240"/>
      <c r="DLD56" s="49"/>
      <c r="DLE56" s="240"/>
      <c r="DLF56" s="240"/>
      <c r="DLG56" s="240"/>
      <c r="DLH56" s="257"/>
      <c r="DLI56" s="240"/>
      <c r="DLJ56" s="257"/>
      <c r="DLK56" s="240"/>
      <c r="DLN56" s="49"/>
      <c r="DLO56" s="240"/>
      <c r="DLP56" s="240"/>
      <c r="DLQ56" s="240"/>
      <c r="DLR56" s="257"/>
      <c r="DLS56" s="240"/>
      <c r="DLT56" s="257"/>
      <c r="DLU56" s="240"/>
      <c r="DLX56" s="49"/>
      <c r="DLY56" s="240"/>
      <c r="DLZ56" s="240"/>
      <c r="DMA56" s="240"/>
      <c r="DMB56" s="257"/>
      <c r="DMC56" s="240"/>
      <c r="DMD56" s="257"/>
      <c r="DME56" s="240"/>
      <c r="DMH56" s="49"/>
      <c r="DMI56" s="240"/>
      <c r="DMJ56" s="240"/>
      <c r="DMK56" s="240"/>
      <c r="DML56" s="257"/>
      <c r="DMM56" s="240"/>
      <c r="DMN56" s="257"/>
      <c r="DMO56" s="240"/>
      <c r="DMR56" s="49"/>
      <c r="DMS56" s="240"/>
      <c r="DMT56" s="240"/>
      <c r="DMU56" s="240"/>
      <c r="DMV56" s="257"/>
      <c r="DMW56" s="240"/>
      <c r="DMX56" s="257"/>
      <c r="DMY56" s="240"/>
      <c r="DNB56" s="49"/>
      <c r="DNC56" s="240"/>
      <c r="DND56" s="240"/>
      <c r="DNE56" s="240"/>
      <c r="DNF56" s="257"/>
      <c r="DNG56" s="240"/>
      <c r="DNH56" s="257"/>
      <c r="DNI56" s="240"/>
      <c r="DNL56" s="49"/>
      <c r="DNM56" s="240"/>
      <c r="DNN56" s="240"/>
      <c r="DNO56" s="240"/>
      <c r="DNP56" s="257"/>
      <c r="DNQ56" s="240"/>
      <c r="DNR56" s="257"/>
      <c r="DNS56" s="240"/>
      <c r="DNV56" s="49"/>
      <c r="DNW56" s="240"/>
      <c r="DNX56" s="240"/>
      <c r="DNY56" s="240"/>
      <c r="DNZ56" s="257"/>
      <c r="DOA56" s="240"/>
      <c r="DOB56" s="257"/>
      <c r="DOC56" s="240"/>
      <c r="DOF56" s="49"/>
      <c r="DOG56" s="240"/>
      <c r="DOH56" s="240"/>
      <c r="DOI56" s="240"/>
      <c r="DOJ56" s="257"/>
      <c r="DOK56" s="240"/>
      <c r="DOL56" s="257"/>
      <c r="DOM56" s="240"/>
      <c r="DOP56" s="49"/>
      <c r="DOQ56" s="240"/>
      <c r="DOR56" s="240"/>
      <c r="DOS56" s="240"/>
      <c r="DOT56" s="257"/>
      <c r="DOU56" s="240"/>
      <c r="DOV56" s="257"/>
      <c r="DOW56" s="240"/>
      <c r="DOZ56" s="49"/>
      <c r="DPA56" s="240"/>
      <c r="DPB56" s="240"/>
      <c r="DPC56" s="240"/>
      <c r="DPD56" s="257"/>
      <c r="DPE56" s="240"/>
      <c r="DPF56" s="257"/>
      <c r="DPG56" s="240"/>
      <c r="DPJ56" s="49"/>
      <c r="DPK56" s="240"/>
      <c r="DPL56" s="240"/>
      <c r="DPM56" s="240"/>
      <c r="DPN56" s="257"/>
      <c r="DPO56" s="240"/>
      <c r="DPP56" s="257"/>
      <c r="DPQ56" s="240"/>
      <c r="DPT56" s="49"/>
      <c r="DPU56" s="240"/>
      <c r="DPV56" s="240"/>
      <c r="DPW56" s="240"/>
      <c r="DPX56" s="257"/>
      <c r="DPY56" s="240"/>
      <c r="DPZ56" s="257"/>
      <c r="DQA56" s="240"/>
      <c r="DQD56" s="49"/>
      <c r="DQE56" s="240"/>
      <c r="DQF56" s="240"/>
      <c r="DQG56" s="240"/>
      <c r="DQH56" s="257"/>
      <c r="DQI56" s="240"/>
      <c r="DQJ56" s="257"/>
      <c r="DQK56" s="240"/>
      <c r="DQN56" s="49"/>
      <c r="DQO56" s="240"/>
      <c r="DQP56" s="240"/>
      <c r="DQQ56" s="240"/>
      <c r="DQR56" s="257"/>
      <c r="DQS56" s="240"/>
      <c r="DQT56" s="257"/>
      <c r="DQU56" s="240"/>
      <c r="DQX56" s="49"/>
      <c r="DQY56" s="240"/>
      <c r="DQZ56" s="240"/>
      <c r="DRA56" s="240"/>
      <c r="DRB56" s="257"/>
      <c r="DRC56" s="240"/>
      <c r="DRD56" s="257"/>
      <c r="DRE56" s="240"/>
      <c r="DRH56" s="49"/>
      <c r="DRI56" s="240"/>
      <c r="DRJ56" s="240"/>
      <c r="DRK56" s="240"/>
      <c r="DRL56" s="257"/>
      <c r="DRM56" s="240"/>
      <c r="DRN56" s="257"/>
      <c r="DRO56" s="240"/>
      <c r="DRR56" s="49"/>
      <c r="DRS56" s="240"/>
      <c r="DRT56" s="240"/>
      <c r="DRU56" s="240"/>
      <c r="DRV56" s="257"/>
      <c r="DRW56" s="240"/>
      <c r="DRX56" s="257"/>
      <c r="DRY56" s="240"/>
      <c r="DSB56" s="49"/>
      <c r="DSC56" s="240"/>
      <c r="DSD56" s="240"/>
      <c r="DSE56" s="240"/>
      <c r="DSF56" s="257"/>
      <c r="DSG56" s="240"/>
      <c r="DSH56" s="257"/>
      <c r="DSI56" s="240"/>
      <c r="DSL56" s="49"/>
      <c r="DSM56" s="240"/>
      <c r="DSN56" s="240"/>
      <c r="DSO56" s="240"/>
      <c r="DSP56" s="257"/>
      <c r="DSQ56" s="240"/>
      <c r="DSR56" s="257"/>
      <c r="DSS56" s="240"/>
      <c r="DSV56" s="49"/>
      <c r="DSW56" s="240"/>
      <c r="DSX56" s="240"/>
      <c r="DSY56" s="240"/>
      <c r="DSZ56" s="257"/>
      <c r="DTA56" s="240"/>
      <c r="DTB56" s="257"/>
      <c r="DTC56" s="240"/>
      <c r="DTF56" s="49"/>
      <c r="DTG56" s="240"/>
      <c r="DTH56" s="240"/>
      <c r="DTI56" s="240"/>
      <c r="DTJ56" s="257"/>
      <c r="DTK56" s="240"/>
      <c r="DTL56" s="257"/>
      <c r="DTM56" s="240"/>
      <c r="DTP56" s="49"/>
      <c r="DTQ56" s="240"/>
      <c r="DTR56" s="240"/>
      <c r="DTS56" s="240"/>
      <c r="DTT56" s="257"/>
      <c r="DTU56" s="240"/>
      <c r="DTV56" s="257"/>
      <c r="DTW56" s="240"/>
      <c r="DTZ56" s="49"/>
      <c r="DUA56" s="240"/>
      <c r="DUB56" s="240"/>
      <c r="DUC56" s="240"/>
      <c r="DUD56" s="257"/>
      <c r="DUE56" s="240"/>
      <c r="DUF56" s="257"/>
      <c r="DUG56" s="240"/>
      <c r="DUJ56" s="49"/>
      <c r="DUK56" s="240"/>
      <c r="DUL56" s="240"/>
      <c r="DUM56" s="240"/>
      <c r="DUN56" s="257"/>
      <c r="DUO56" s="240"/>
      <c r="DUP56" s="257"/>
      <c r="DUQ56" s="240"/>
      <c r="DUT56" s="49"/>
      <c r="DUU56" s="240"/>
      <c r="DUV56" s="240"/>
      <c r="DUW56" s="240"/>
      <c r="DUX56" s="257"/>
      <c r="DUY56" s="240"/>
      <c r="DUZ56" s="257"/>
      <c r="DVA56" s="240"/>
      <c r="DVD56" s="49"/>
      <c r="DVE56" s="240"/>
      <c r="DVF56" s="240"/>
      <c r="DVG56" s="240"/>
      <c r="DVH56" s="257"/>
      <c r="DVI56" s="240"/>
      <c r="DVJ56" s="257"/>
      <c r="DVK56" s="240"/>
      <c r="DVN56" s="49"/>
      <c r="DVO56" s="240"/>
      <c r="DVP56" s="240"/>
      <c r="DVQ56" s="240"/>
      <c r="DVR56" s="257"/>
      <c r="DVS56" s="240"/>
      <c r="DVT56" s="257"/>
      <c r="DVU56" s="240"/>
      <c r="DVX56" s="49"/>
      <c r="DVY56" s="240"/>
      <c r="DVZ56" s="240"/>
      <c r="DWA56" s="240"/>
      <c r="DWB56" s="257"/>
      <c r="DWC56" s="240"/>
      <c r="DWD56" s="257"/>
      <c r="DWE56" s="240"/>
      <c r="DWH56" s="49"/>
      <c r="DWI56" s="240"/>
      <c r="DWJ56" s="240"/>
      <c r="DWK56" s="240"/>
      <c r="DWL56" s="257"/>
      <c r="DWM56" s="240"/>
      <c r="DWN56" s="257"/>
      <c r="DWO56" s="240"/>
      <c r="DWR56" s="49"/>
      <c r="DWS56" s="240"/>
      <c r="DWT56" s="240"/>
      <c r="DWU56" s="240"/>
      <c r="DWV56" s="257"/>
      <c r="DWW56" s="240"/>
      <c r="DWX56" s="257"/>
      <c r="DWY56" s="240"/>
      <c r="DXB56" s="49"/>
      <c r="DXC56" s="240"/>
      <c r="DXD56" s="240"/>
      <c r="DXE56" s="240"/>
      <c r="DXF56" s="257"/>
      <c r="DXG56" s="240"/>
      <c r="DXH56" s="257"/>
      <c r="DXI56" s="240"/>
      <c r="DXL56" s="49"/>
      <c r="DXM56" s="240"/>
      <c r="DXN56" s="240"/>
      <c r="DXO56" s="240"/>
      <c r="DXP56" s="257"/>
      <c r="DXQ56" s="240"/>
      <c r="DXR56" s="257"/>
      <c r="DXS56" s="240"/>
      <c r="DXV56" s="49"/>
      <c r="DXW56" s="240"/>
      <c r="DXX56" s="240"/>
      <c r="DXY56" s="240"/>
      <c r="DXZ56" s="257"/>
      <c r="DYA56" s="240"/>
      <c r="DYB56" s="257"/>
      <c r="DYC56" s="240"/>
      <c r="DYF56" s="49"/>
      <c r="DYG56" s="240"/>
      <c r="DYH56" s="240"/>
      <c r="DYI56" s="240"/>
      <c r="DYJ56" s="257"/>
      <c r="DYK56" s="240"/>
      <c r="DYL56" s="257"/>
      <c r="DYM56" s="240"/>
      <c r="DYP56" s="49"/>
      <c r="DYQ56" s="240"/>
      <c r="DYR56" s="240"/>
      <c r="DYS56" s="240"/>
      <c r="DYT56" s="257"/>
      <c r="DYU56" s="240"/>
      <c r="DYV56" s="257"/>
      <c r="DYW56" s="240"/>
      <c r="DYZ56" s="49"/>
      <c r="DZA56" s="240"/>
      <c r="DZB56" s="240"/>
      <c r="DZC56" s="240"/>
      <c r="DZD56" s="257"/>
      <c r="DZE56" s="240"/>
      <c r="DZF56" s="257"/>
      <c r="DZG56" s="240"/>
      <c r="DZJ56" s="49"/>
      <c r="DZK56" s="240"/>
      <c r="DZL56" s="240"/>
      <c r="DZM56" s="240"/>
      <c r="DZN56" s="257"/>
      <c r="DZO56" s="240"/>
      <c r="DZP56" s="257"/>
      <c r="DZQ56" s="240"/>
      <c r="DZT56" s="49"/>
      <c r="DZU56" s="240"/>
      <c r="DZV56" s="240"/>
      <c r="DZW56" s="240"/>
      <c r="DZX56" s="257"/>
      <c r="DZY56" s="240"/>
      <c r="DZZ56" s="257"/>
      <c r="EAA56" s="240"/>
      <c r="EAD56" s="49"/>
      <c r="EAE56" s="240"/>
      <c r="EAF56" s="240"/>
      <c r="EAG56" s="240"/>
      <c r="EAH56" s="257"/>
      <c r="EAI56" s="240"/>
      <c r="EAJ56" s="257"/>
      <c r="EAK56" s="240"/>
      <c r="EAN56" s="49"/>
      <c r="EAO56" s="240"/>
      <c r="EAP56" s="240"/>
      <c r="EAQ56" s="240"/>
      <c r="EAR56" s="257"/>
      <c r="EAS56" s="240"/>
      <c r="EAT56" s="257"/>
      <c r="EAU56" s="240"/>
      <c r="EAX56" s="49"/>
      <c r="EAY56" s="240"/>
      <c r="EAZ56" s="240"/>
      <c r="EBA56" s="240"/>
      <c r="EBB56" s="257"/>
      <c r="EBC56" s="240"/>
      <c r="EBD56" s="257"/>
      <c r="EBE56" s="240"/>
      <c r="EBH56" s="49"/>
      <c r="EBI56" s="240"/>
      <c r="EBJ56" s="240"/>
      <c r="EBK56" s="240"/>
      <c r="EBL56" s="257"/>
      <c r="EBM56" s="240"/>
      <c r="EBN56" s="257"/>
      <c r="EBO56" s="240"/>
      <c r="EBR56" s="49"/>
      <c r="EBS56" s="240"/>
      <c r="EBT56" s="240"/>
      <c r="EBU56" s="240"/>
      <c r="EBV56" s="257"/>
      <c r="EBW56" s="240"/>
      <c r="EBX56" s="257"/>
      <c r="EBY56" s="240"/>
      <c r="ECB56" s="49"/>
      <c r="ECC56" s="240"/>
      <c r="ECD56" s="240"/>
      <c r="ECE56" s="240"/>
      <c r="ECF56" s="257"/>
      <c r="ECG56" s="240"/>
      <c r="ECH56" s="257"/>
      <c r="ECI56" s="240"/>
      <c r="ECL56" s="49"/>
      <c r="ECM56" s="240"/>
      <c r="ECN56" s="240"/>
      <c r="ECO56" s="240"/>
      <c r="ECP56" s="257"/>
      <c r="ECQ56" s="240"/>
      <c r="ECR56" s="257"/>
      <c r="ECS56" s="240"/>
      <c r="ECV56" s="49"/>
      <c r="ECW56" s="240"/>
      <c r="ECX56" s="240"/>
      <c r="ECY56" s="240"/>
      <c r="ECZ56" s="257"/>
      <c r="EDA56" s="240"/>
      <c r="EDB56" s="257"/>
      <c r="EDC56" s="240"/>
      <c r="EDF56" s="49"/>
      <c r="EDG56" s="240"/>
      <c r="EDH56" s="240"/>
      <c r="EDI56" s="240"/>
      <c r="EDJ56" s="257"/>
      <c r="EDK56" s="240"/>
      <c r="EDL56" s="257"/>
      <c r="EDM56" s="240"/>
      <c r="EDP56" s="49"/>
      <c r="EDQ56" s="240"/>
      <c r="EDR56" s="240"/>
      <c r="EDS56" s="240"/>
      <c r="EDT56" s="257"/>
      <c r="EDU56" s="240"/>
      <c r="EDV56" s="257"/>
      <c r="EDW56" s="240"/>
      <c r="EDZ56" s="49"/>
      <c r="EEA56" s="240"/>
      <c r="EEB56" s="240"/>
      <c r="EEC56" s="240"/>
      <c r="EED56" s="257"/>
      <c r="EEE56" s="240"/>
      <c r="EEF56" s="257"/>
      <c r="EEG56" s="240"/>
      <c r="EEJ56" s="49"/>
      <c r="EEK56" s="240"/>
      <c r="EEL56" s="240"/>
      <c r="EEM56" s="240"/>
      <c r="EEN56" s="257"/>
      <c r="EEO56" s="240"/>
      <c r="EEP56" s="257"/>
      <c r="EEQ56" s="240"/>
      <c r="EET56" s="49"/>
      <c r="EEU56" s="240"/>
      <c r="EEV56" s="240"/>
      <c r="EEW56" s="240"/>
      <c r="EEX56" s="257"/>
      <c r="EEY56" s="240"/>
      <c r="EEZ56" s="257"/>
      <c r="EFA56" s="240"/>
      <c r="EFD56" s="49"/>
      <c r="EFE56" s="240"/>
      <c r="EFF56" s="240"/>
      <c r="EFG56" s="240"/>
      <c r="EFH56" s="257"/>
      <c r="EFI56" s="240"/>
      <c r="EFJ56" s="257"/>
      <c r="EFK56" s="240"/>
      <c r="EFN56" s="49"/>
      <c r="EFO56" s="240"/>
      <c r="EFP56" s="240"/>
      <c r="EFQ56" s="240"/>
      <c r="EFR56" s="257"/>
      <c r="EFS56" s="240"/>
      <c r="EFT56" s="257"/>
      <c r="EFU56" s="240"/>
      <c r="EFX56" s="49"/>
      <c r="EFY56" s="240"/>
      <c r="EFZ56" s="240"/>
      <c r="EGA56" s="240"/>
      <c r="EGB56" s="257"/>
      <c r="EGC56" s="240"/>
      <c r="EGD56" s="257"/>
      <c r="EGE56" s="240"/>
      <c r="EGH56" s="49"/>
      <c r="EGI56" s="240"/>
      <c r="EGJ56" s="240"/>
      <c r="EGK56" s="240"/>
      <c r="EGL56" s="257"/>
      <c r="EGM56" s="240"/>
      <c r="EGN56" s="257"/>
      <c r="EGO56" s="240"/>
      <c r="EGR56" s="49"/>
      <c r="EGS56" s="240"/>
      <c r="EGT56" s="240"/>
      <c r="EGU56" s="240"/>
      <c r="EGV56" s="257"/>
      <c r="EGW56" s="240"/>
      <c r="EGX56" s="257"/>
      <c r="EGY56" s="240"/>
      <c r="EHB56" s="49"/>
      <c r="EHC56" s="240"/>
      <c r="EHD56" s="240"/>
      <c r="EHE56" s="240"/>
      <c r="EHF56" s="257"/>
      <c r="EHG56" s="240"/>
      <c r="EHH56" s="257"/>
      <c r="EHI56" s="240"/>
      <c r="EHL56" s="49"/>
      <c r="EHM56" s="240"/>
      <c r="EHN56" s="240"/>
      <c r="EHO56" s="240"/>
      <c r="EHP56" s="257"/>
      <c r="EHQ56" s="240"/>
      <c r="EHR56" s="257"/>
      <c r="EHS56" s="240"/>
      <c r="EHV56" s="49"/>
      <c r="EHW56" s="240"/>
      <c r="EHX56" s="240"/>
      <c r="EHY56" s="240"/>
      <c r="EHZ56" s="257"/>
      <c r="EIA56" s="240"/>
      <c r="EIB56" s="257"/>
      <c r="EIC56" s="240"/>
      <c r="EIF56" s="49"/>
      <c r="EIG56" s="240"/>
      <c r="EIH56" s="240"/>
      <c r="EII56" s="240"/>
      <c r="EIJ56" s="257"/>
      <c r="EIK56" s="240"/>
      <c r="EIL56" s="257"/>
      <c r="EIM56" s="240"/>
      <c r="EIP56" s="49"/>
      <c r="EIQ56" s="240"/>
      <c r="EIR56" s="240"/>
      <c r="EIS56" s="240"/>
      <c r="EIT56" s="257"/>
      <c r="EIU56" s="240"/>
      <c r="EIV56" s="257"/>
      <c r="EIW56" s="240"/>
      <c r="EIZ56" s="49"/>
      <c r="EJA56" s="240"/>
      <c r="EJB56" s="240"/>
      <c r="EJC56" s="240"/>
      <c r="EJD56" s="257"/>
      <c r="EJE56" s="240"/>
      <c r="EJF56" s="257"/>
      <c r="EJG56" s="240"/>
      <c r="EJJ56" s="49"/>
      <c r="EJK56" s="240"/>
      <c r="EJL56" s="240"/>
      <c r="EJM56" s="240"/>
      <c r="EJN56" s="257"/>
      <c r="EJO56" s="240"/>
      <c r="EJP56" s="257"/>
      <c r="EJQ56" s="240"/>
      <c r="EJT56" s="49"/>
      <c r="EJU56" s="240"/>
      <c r="EJV56" s="240"/>
      <c r="EJW56" s="240"/>
      <c r="EJX56" s="257"/>
      <c r="EJY56" s="240"/>
      <c r="EJZ56" s="257"/>
      <c r="EKA56" s="240"/>
      <c r="EKD56" s="49"/>
      <c r="EKE56" s="240"/>
      <c r="EKF56" s="240"/>
      <c r="EKG56" s="240"/>
      <c r="EKH56" s="257"/>
      <c r="EKI56" s="240"/>
      <c r="EKJ56" s="257"/>
      <c r="EKK56" s="240"/>
      <c r="EKN56" s="49"/>
      <c r="EKO56" s="240"/>
      <c r="EKP56" s="240"/>
      <c r="EKQ56" s="240"/>
      <c r="EKR56" s="257"/>
      <c r="EKS56" s="240"/>
      <c r="EKT56" s="257"/>
      <c r="EKU56" s="240"/>
      <c r="EKX56" s="49"/>
      <c r="EKY56" s="240"/>
      <c r="EKZ56" s="240"/>
      <c r="ELA56" s="240"/>
      <c r="ELB56" s="257"/>
      <c r="ELC56" s="240"/>
      <c r="ELD56" s="257"/>
      <c r="ELE56" s="240"/>
      <c r="ELH56" s="49"/>
      <c r="ELI56" s="240"/>
      <c r="ELJ56" s="240"/>
      <c r="ELK56" s="240"/>
      <c r="ELL56" s="257"/>
      <c r="ELM56" s="240"/>
      <c r="ELN56" s="257"/>
      <c r="ELO56" s="240"/>
      <c r="ELR56" s="49"/>
      <c r="ELS56" s="240"/>
      <c r="ELT56" s="240"/>
      <c r="ELU56" s="240"/>
      <c r="ELV56" s="257"/>
      <c r="ELW56" s="240"/>
      <c r="ELX56" s="257"/>
      <c r="ELY56" s="240"/>
      <c r="EMB56" s="49"/>
      <c r="EMC56" s="240"/>
      <c r="EMD56" s="240"/>
      <c r="EME56" s="240"/>
      <c r="EMF56" s="257"/>
      <c r="EMG56" s="240"/>
      <c r="EMH56" s="257"/>
      <c r="EMI56" s="240"/>
      <c r="EML56" s="49"/>
      <c r="EMM56" s="240"/>
      <c r="EMN56" s="240"/>
      <c r="EMO56" s="240"/>
      <c r="EMP56" s="257"/>
      <c r="EMQ56" s="240"/>
      <c r="EMR56" s="257"/>
      <c r="EMS56" s="240"/>
      <c r="EMV56" s="49"/>
      <c r="EMW56" s="240"/>
      <c r="EMX56" s="240"/>
      <c r="EMY56" s="240"/>
      <c r="EMZ56" s="257"/>
      <c r="ENA56" s="240"/>
      <c r="ENB56" s="257"/>
      <c r="ENC56" s="240"/>
      <c r="ENF56" s="49"/>
      <c r="ENG56" s="240"/>
      <c r="ENH56" s="240"/>
      <c r="ENI56" s="240"/>
      <c r="ENJ56" s="257"/>
      <c r="ENK56" s="240"/>
      <c r="ENL56" s="257"/>
      <c r="ENM56" s="240"/>
      <c r="ENP56" s="49"/>
      <c r="ENQ56" s="240"/>
      <c r="ENR56" s="240"/>
      <c r="ENS56" s="240"/>
      <c r="ENT56" s="257"/>
      <c r="ENU56" s="240"/>
      <c r="ENV56" s="257"/>
      <c r="ENW56" s="240"/>
      <c r="ENZ56" s="49"/>
      <c r="EOA56" s="240"/>
      <c r="EOB56" s="240"/>
      <c r="EOC56" s="240"/>
      <c r="EOD56" s="257"/>
      <c r="EOE56" s="240"/>
      <c r="EOF56" s="257"/>
      <c r="EOG56" s="240"/>
      <c r="EOJ56" s="49"/>
      <c r="EOK56" s="240"/>
      <c r="EOL56" s="240"/>
      <c r="EOM56" s="240"/>
      <c r="EON56" s="257"/>
      <c r="EOO56" s="240"/>
      <c r="EOP56" s="257"/>
      <c r="EOQ56" s="240"/>
      <c r="EOT56" s="49"/>
      <c r="EOU56" s="240"/>
      <c r="EOV56" s="240"/>
      <c r="EOW56" s="240"/>
      <c r="EOX56" s="257"/>
      <c r="EOY56" s="240"/>
      <c r="EOZ56" s="257"/>
      <c r="EPA56" s="240"/>
      <c r="EPD56" s="49"/>
      <c r="EPE56" s="240"/>
      <c r="EPF56" s="240"/>
      <c r="EPG56" s="240"/>
      <c r="EPH56" s="257"/>
      <c r="EPI56" s="240"/>
      <c r="EPJ56" s="257"/>
      <c r="EPK56" s="240"/>
      <c r="EPN56" s="49"/>
      <c r="EPO56" s="240"/>
      <c r="EPP56" s="240"/>
      <c r="EPQ56" s="240"/>
      <c r="EPR56" s="257"/>
      <c r="EPS56" s="240"/>
      <c r="EPT56" s="257"/>
      <c r="EPU56" s="240"/>
      <c r="EPX56" s="49"/>
      <c r="EPY56" s="240"/>
      <c r="EPZ56" s="240"/>
      <c r="EQA56" s="240"/>
      <c r="EQB56" s="257"/>
      <c r="EQC56" s="240"/>
      <c r="EQD56" s="257"/>
      <c r="EQE56" s="240"/>
      <c r="EQH56" s="49"/>
      <c r="EQI56" s="240"/>
      <c r="EQJ56" s="240"/>
      <c r="EQK56" s="240"/>
      <c r="EQL56" s="257"/>
      <c r="EQM56" s="240"/>
      <c r="EQN56" s="257"/>
      <c r="EQO56" s="240"/>
      <c r="EQR56" s="49"/>
      <c r="EQS56" s="240"/>
      <c r="EQT56" s="240"/>
      <c r="EQU56" s="240"/>
      <c r="EQV56" s="257"/>
      <c r="EQW56" s="240"/>
      <c r="EQX56" s="257"/>
      <c r="EQY56" s="240"/>
      <c r="ERB56" s="49"/>
      <c r="ERC56" s="240"/>
      <c r="ERD56" s="240"/>
      <c r="ERE56" s="240"/>
      <c r="ERF56" s="257"/>
      <c r="ERG56" s="240"/>
      <c r="ERH56" s="257"/>
      <c r="ERI56" s="240"/>
      <c r="ERL56" s="49"/>
      <c r="ERM56" s="240"/>
      <c r="ERN56" s="240"/>
      <c r="ERO56" s="240"/>
      <c r="ERP56" s="257"/>
      <c r="ERQ56" s="240"/>
      <c r="ERR56" s="257"/>
      <c r="ERS56" s="240"/>
      <c r="ERV56" s="49"/>
      <c r="ERW56" s="240"/>
      <c r="ERX56" s="240"/>
      <c r="ERY56" s="240"/>
      <c r="ERZ56" s="257"/>
      <c r="ESA56" s="240"/>
      <c r="ESB56" s="257"/>
      <c r="ESC56" s="240"/>
      <c r="ESF56" s="49"/>
      <c r="ESG56" s="240"/>
      <c r="ESH56" s="240"/>
      <c r="ESI56" s="240"/>
      <c r="ESJ56" s="257"/>
      <c r="ESK56" s="240"/>
      <c r="ESL56" s="257"/>
      <c r="ESM56" s="240"/>
      <c r="ESP56" s="49"/>
      <c r="ESQ56" s="240"/>
      <c r="ESR56" s="240"/>
      <c r="ESS56" s="240"/>
      <c r="EST56" s="257"/>
      <c r="ESU56" s="240"/>
      <c r="ESV56" s="257"/>
      <c r="ESW56" s="240"/>
      <c r="ESZ56" s="49"/>
      <c r="ETA56" s="240"/>
      <c r="ETB56" s="240"/>
      <c r="ETC56" s="240"/>
      <c r="ETD56" s="257"/>
      <c r="ETE56" s="240"/>
      <c r="ETF56" s="257"/>
      <c r="ETG56" s="240"/>
      <c r="ETJ56" s="49"/>
      <c r="ETK56" s="240"/>
      <c r="ETL56" s="240"/>
      <c r="ETM56" s="240"/>
      <c r="ETN56" s="257"/>
      <c r="ETO56" s="240"/>
      <c r="ETP56" s="257"/>
      <c r="ETQ56" s="240"/>
      <c r="ETT56" s="49"/>
      <c r="ETU56" s="240"/>
      <c r="ETV56" s="240"/>
      <c r="ETW56" s="240"/>
      <c r="ETX56" s="257"/>
      <c r="ETY56" s="240"/>
      <c r="ETZ56" s="257"/>
      <c r="EUA56" s="240"/>
      <c r="EUD56" s="49"/>
      <c r="EUE56" s="240"/>
      <c r="EUF56" s="240"/>
      <c r="EUG56" s="240"/>
      <c r="EUH56" s="257"/>
      <c r="EUI56" s="240"/>
      <c r="EUJ56" s="257"/>
      <c r="EUK56" s="240"/>
      <c r="EUN56" s="49"/>
      <c r="EUO56" s="240"/>
      <c r="EUP56" s="240"/>
      <c r="EUQ56" s="240"/>
      <c r="EUR56" s="257"/>
      <c r="EUS56" s="240"/>
      <c r="EUT56" s="257"/>
      <c r="EUU56" s="240"/>
      <c r="EUX56" s="49"/>
      <c r="EUY56" s="240"/>
      <c r="EUZ56" s="240"/>
      <c r="EVA56" s="240"/>
      <c r="EVB56" s="257"/>
      <c r="EVC56" s="240"/>
      <c r="EVD56" s="257"/>
      <c r="EVE56" s="240"/>
      <c r="EVH56" s="49"/>
      <c r="EVI56" s="240"/>
      <c r="EVJ56" s="240"/>
      <c r="EVK56" s="240"/>
      <c r="EVL56" s="257"/>
      <c r="EVM56" s="240"/>
      <c r="EVN56" s="257"/>
      <c r="EVO56" s="240"/>
      <c r="EVR56" s="49"/>
      <c r="EVS56" s="240"/>
      <c r="EVT56" s="240"/>
      <c r="EVU56" s="240"/>
      <c r="EVV56" s="257"/>
      <c r="EVW56" s="240"/>
      <c r="EVX56" s="257"/>
      <c r="EVY56" s="240"/>
      <c r="EWB56" s="49"/>
      <c r="EWC56" s="240"/>
      <c r="EWD56" s="240"/>
      <c r="EWE56" s="240"/>
      <c r="EWF56" s="257"/>
      <c r="EWG56" s="240"/>
      <c r="EWH56" s="257"/>
      <c r="EWI56" s="240"/>
      <c r="EWL56" s="49"/>
      <c r="EWM56" s="240"/>
      <c r="EWN56" s="240"/>
      <c r="EWO56" s="240"/>
      <c r="EWP56" s="257"/>
      <c r="EWQ56" s="240"/>
      <c r="EWR56" s="257"/>
      <c r="EWS56" s="240"/>
      <c r="EWV56" s="49"/>
      <c r="EWW56" s="240"/>
      <c r="EWX56" s="240"/>
      <c r="EWY56" s="240"/>
      <c r="EWZ56" s="257"/>
      <c r="EXA56" s="240"/>
      <c r="EXB56" s="257"/>
      <c r="EXC56" s="240"/>
      <c r="EXF56" s="49"/>
      <c r="EXG56" s="240"/>
      <c r="EXH56" s="240"/>
      <c r="EXI56" s="240"/>
      <c r="EXJ56" s="257"/>
      <c r="EXK56" s="240"/>
      <c r="EXL56" s="257"/>
      <c r="EXM56" s="240"/>
      <c r="EXP56" s="49"/>
      <c r="EXQ56" s="240"/>
      <c r="EXR56" s="240"/>
      <c r="EXS56" s="240"/>
      <c r="EXT56" s="257"/>
      <c r="EXU56" s="240"/>
      <c r="EXV56" s="257"/>
      <c r="EXW56" s="240"/>
      <c r="EXZ56" s="49"/>
      <c r="EYA56" s="240"/>
      <c r="EYB56" s="240"/>
      <c r="EYC56" s="240"/>
      <c r="EYD56" s="257"/>
      <c r="EYE56" s="240"/>
      <c r="EYF56" s="257"/>
      <c r="EYG56" s="240"/>
      <c r="EYJ56" s="49"/>
      <c r="EYK56" s="240"/>
      <c r="EYL56" s="240"/>
      <c r="EYM56" s="240"/>
      <c r="EYN56" s="257"/>
      <c r="EYO56" s="240"/>
      <c r="EYP56" s="257"/>
      <c r="EYQ56" s="240"/>
      <c r="EYT56" s="49"/>
      <c r="EYU56" s="240"/>
      <c r="EYV56" s="240"/>
      <c r="EYW56" s="240"/>
      <c r="EYX56" s="257"/>
      <c r="EYY56" s="240"/>
      <c r="EYZ56" s="257"/>
      <c r="EZA56" s="240"/>
      <c r="EZD56" s="49"/>
      <c r="EZE56" s="240"/>
      <c r="EZF56" s="240"/>
      <c r="EZG56" s="240"/>
      <c r="EZH56" s="257"/>
      <c r="EZI56" s="240"/>
      <c r="EZJ56" s="257"/>
      <c r="EZK56" s="240"/>
      <c r="EZN56" s="49"/>
      <c r="EZO56" s="240"/>
      <c r="EZP56" s="240"/>
      <c r="EZQ56" s="240"/>
      <c r="EZR56" s="257"/>
      <c r="EZS56" s="240"/>
      <c r="EZT56" s="257"/>
      <c r="EZU56" s="240"/>
      <c r="EZX56" s="49"/>
      <c r="EZY56" s="240"/>
      <c r="EZZ56" s="240"/>
      <c r="FAA56" s="240"/>
      <c r="FAB56" s="257"/>
      <c r="FAC56" s="240"/>
      <c r="FAD56" s="257"/>
      <c r="FAE56" s="240"/>
      <c r="FAH56" s="49"/>
      <c r="FAI56" s="240"/>
      <c r="FAJ56" s="240"/>
      <c r="FAK56" s="240"/>
      <c r="FAL56" s="257"/>
      <c r="FAM56" s="240"/>
      <c r="FAN56" s="257"/>
      <c r="FAO56" s="240"/>
      <c r="FAR56" s="49"/>
      <c r="FAS56" s="240"/>
      <c r="FAT56" s="240"/>
      <c r="FAU56" s="240"/>
      <c r="FAV56" s="257"/>
      <c r="FAW56" s="240"/>
      <c r="FAX56" s="257"/>
      <c r="FAY56" s="240"/>
      <c r="FBB56" s="49"/>
      <c r="FBC56" s="240"/>
      <c r="FBD56" s="240"/>
      <c r="FBE56" s="240"/>
      <c r="FBF56" s="257"/>
      <c r="FBG56" s="240"/>
      <c r="FBH56" s="257"/>
      <c r="FBI56" s="240"/>
      <c r="FBL56" s="49"/>
      <c r="FBM56" s="240"/>
      <c r="FBN56" s="240"/>
      <c r="FBO56" s="240"/>
      <c r="FBP56" s="257"/>
      <c r="FBQ56" s="240"/>
      <c r="FBR56" s="257"/>
      <c r="FBS56" s="240"/>
      <c r="FBV56" s="49"/>
      <c r="FBW56" s="240"/>
      <c r="FBX56" s="240"/>
      <c r="FBY56" s="240"/>
      <c r="FBZ56" s="257"/>
      <c r="FCA56" s="240"/>
      <c r="FCB56" s="257"/>
      <c r="FCC56" s="240"/>
      <c r="FCF56" s="49"/>
      <c r="FCG56" s="240"/>
      <c r="FCH56" s="240"/>
      <c r="FCI56" s="240"/>
      <c r="FCJ56" s="257"/>
      <c r="FCK56" s="240"/>
      <c r="FCL56" s="257"/>
      <c r="FCM56" s="240"/>
      <c r="FCP56" s="49"/>
      <c r="FCQ56" s="240"/>
      <c r="FCR56" s="240"/>
      <c r="FCS56" s="240"/>
      <c r="FCT56" s="257"/>
      <c r="FCU56" s="240"/>
      <c r="FCV56" s="257"/>
      <c r="FCW56" s="240"/>
      <c r="FCZ56" s="49"/>
      <c r="FDA56" s="240"/>
      <c r="FDB56" s="240"/>
      <c r="FDC56" s="240"/>
      <c r="FDD56" s="257"/>
      <c r="FDE56" s="240"/>
      <c r="FDF56" s="257"/>
      <c r="FDG56" s="240"/>
      <c r="FDJ56" s="49"/>
      <c r="FDK56" s="240"/>
      <c r="FDL56" s="240"/>
      <c r="FDM56" s="240"/>
      <c r="FDN56" s="257"/>
      <c r="FDO56" s="240"/>
      <c r="FDP56" s="257"/>
      <c r="FDQ56" s="240"/>
      <c r="FDT56" s="49"/>
      <c r="FDU56" s="240"/>
      <c r="FDV56" s="240"/>
      <c r="FDW56" s="240"/>
      <c r="FDX56" s="257"/>
      <c r="FDY56" s="240"/>
      <c r="FDZ56" s="257"/>
      <c r="FEA56" s="240"/>
      <c r="FED56" s="49"/>
      <c r="FEE56" s="240"/>
      <c r="FEF56" s="240"/>
      <c r="FEG56" s="240"/>
      <c r="FEH56" s="257"/>
      <c r="FEI56" s="240"/>
      <c r="FEJ56" s="257"/>
      <c r="FEK56" s="240"/>
      <c r="FEN56" s="49"/>
      <c r="FEO56" s="240"/>
      <c r="FEP56" s="240"/>
      <c r="FEQ56" s="240"/>
      <c r="FER56" s="257"/>
      <c r="FES56" s="240"/>
      <c r="FET56" s="257"/>
      <c r="FEU56" s="240"/>
      <c r="FEX56" s="49"/>
      <c r="FEY56" s="240"/>
      <c r="FEZ56" s="240"/>
      <c r="FFA56" s="240"/>
      <c r="FFB56" s="257"/>
      <c r="FFC56" s="240"/>
      <c r="FFD56" s="257"/>
      <c r="FFE56" s="240"/>
      <c r="FFH56" s="49"/>
      <c r="FFI56" s="240"/>
      <c r="FFJ56" s="240"/>
      <c r="FFK56" s="240"/>
      <c r="FFL56" s="257"/>
      <c r="FFM56" s="240"/>
      <c r="FFN56" s="257"/>
      <c r="FFO56" s="240"/>
      <c r="FFR56" s="49"/>
      <c r="FFS56" s="240"/>
      <c r="FFT56" s="240"/>
      <c r="FFU56" s="240"/>
      <c r="FFV56" s="257"/>
      <c r="FFW56" s="240"/>
      <c r="FFX56" s="257"/>
      <c r="FFY56" s="240"/>
      <c r="FGB56" s="49"/>
      <c r="FGC56" s="240"/>
      <c r="FGD56" s="240"/>
      <c r="FGE56" s="240"/>
      <c r="FGF56" s="257"/>
      <c r="FGG56" s="240"/>
      <c r="FGH56" s="257"/>
      <c r="FGI56" s="240"/>
      <c r="FGL56" s="49"/>
      <c r="FGM56" s="240"/>
      <c r="FGN56" s="240"/>
      <c r="FGO56" s="240"/>
      <c r="FGP56" s="257"/>
      <c r="FGQ56" s="240"/>
      <c r="FGR56" s="257"/>
      <c r="FGS56" s="240"/>
      <c r="FGV56" s="49"/>
      <c r="FGW56" s="240"/>
      <c r="FGX56" s="240"/>
      <c r="FGY56" s="240"/>
      <c r="FGZ56" s="257"/>
      <c r="FHA56" s="240"/>
      <c r="FHB56" s="257"/>
      <c r="FHC56" s="240"/>
      <c r="FHF56" s="49"/>
      <c r="FHG56" s="240"/>
      <c r="FHH56" s="240"/>
      <c r="FHI56" s="240"/>
      <c r="FHJ56" s="257"/>
      <c r="FHK56" s="240"/>
      <c r="FHL56" s="257"/>
      <c r="FHM56" s="240"/>
      <c r="FHP56" s="49"/>
      <c r="FHQ56" s="240"/>
      <c r="FHR56" s="240"/>
      <c r="FHS56" s="240"/>
      <c r="FHT56" s="257"/>
      <c r="FHU56" s="240"/>
      <c r="FHV56" s="257"/>
      <c r="FHW56" s="240"/>
      <c r="FHZ56" s="49"/>
      <c r="FIA56" s="240"/>
      <c r="FIB56" s="240"/>
      <c r="FIC56" s="240"/>
      <c r="FID56" s="257"/>
      <c r="FIE56" s="240"/>
      <c r="FIF56" s="257"/>
      <c r="FIG56" s="240"/>
      <c r="FIJ56" s="49"/>
      <c r="FIK56" s="240"/>
      <c r="FIL56" s="240"/>
      <c r="FIM56" s="240"/>
      <c r="FIN56" s="257"/>
      <c r="FIO56" s="240"/>
      <c r="FIP56" s="257"/>
      <c r="FIQ56" s="240"/>
      <c r="FIT56" s="49"/>
      <c r="FIU56" s="240"/>
      <c r="FIV56" s="240"/>
      <c r="FIW56" s="240"/>
      <c r="FIX56" s="257"/>
      <c r="FIY56" s="240"/>
      <c r="FIZ56" s="257"/>
      <c r="FJA56" s="240"/>
      <c r="FJD56" s="49"/>
      <c r="FJE56" s="240"/>
      <c r="FJF56" s="240"/>
      <c r="FJG56" s="240"/>
      <c r="FJH56" s="257"/>
      <c r="FJI56" s="240"/>
      <c r="FJJ56" s="257"/>
      <c r="FJK56" s="240"/>
      <c r="FJN56" s="49"/>
      <c r="FJO56" s="240"/>
      <c r="FJP56" s="240"/>
      <c r="FJQ56" s="240"/>
      <c r="FJR56" s="257"/>
      <c r="FJS56" s="240"/>
      <c r="FJT56" s="257"/>
      <c r="FJU56" s="240"/>
      <c r="FJX56" s="49"/>
      <c r="FJY56" s="240"/>
      <c r="FJZ56" s="240"/>
      <c r="FKA56" s="240"/>
      <c r="FKB56" s="257"/>
      <c r="FKC56" s="240"/>
      <c r="FKD56" s="257"/>
      <c r="FKE56" s="240"/>
      <c r="FKH56" s="49"/>
      <c r="FKI56" s="240"/>
      <c r="FKJ56" s="240"/>
      <c r="FKK56" s="240"/>
      <c r="FKL56" s="257"/>
      <c r="FKM56" s="240"/>
      <c r="FKN56" s="257"/>
      <c r="FKO56" s="240"/>
      <c r="FKR56" s="49"/>
      <c r="FKS56" s="240"/>
      <c r="FKT56" s="240"/>
      <c r="FKU56" s="240"/>
      <c r="FKV56" s="257"/>
      <c r="FKW56" s="240"/>
      <c r="FKX56" s="257"/>
      <c r="FKY56" s="240"/>
      <c r="FLB56" s="49"/>
      <c r="FLC56" s="240"/>
      <c r="FLD56" s="240"/>
      <c r="FLE56" s="240"/>
      <c r="FLF56" s="257"/>
      <c r="FLG56" s="240"/>
      <c r="FLH56" s="257"/>
      <c r="FLI56" s="240"/>
      <c r="FLL56" s="49"/>
      <c r="FLM56" s="240"/>
      <c r="FLN56" s="240"/>
      <c r="FLO56" s="240"/>
      <c r="FLP56" s="257"/>
      <c r="FLQ56" s="240"/>
      <c r="FLR56" s="257"/>
      <c r="FLS56" s="240"/>
      <c r="FLV56" s="49"/>
      <c r="FLW56" s="240"/>
      <c r="FLX56" s="240"/>
      <c r="FLY56" s="240"/>
      <c r="FLZ56" s="257"/>
      <c r="FMA56" s="240"/>
      <c r="FMB56" s="257"/>
      <c r="FMC56" s="240"/>
      <c r="FMF56" s="49"/>
      <c r="FMG56" s="240"/>
      <c r="FMH56" s="240"/>
      <c r="FMI56" s="240"/>
      <c r="FMJ56" s="257"/>
      <c r="FMK56" s="240"/>
      <c r="FML56" s="257"/>
      <c r="FMM56" s="240"/>
      <c r="FMP56" s="49"/>
      <c r="FMQ56" s="240"/>
      <c r="FMR56" s="240"/>
      <c r="FMS56" s="240"/>
      <c r="FMT56" s="257"/>
      <c r="FMU56" s="240"/>
      <c r="FMV56" s="257"/>
      <c r="FMW56" s="240"/>
      <c r="FMZ56" s="49"/>
      <c r="FNA56" s="240"/>
      <c r="FNB56" s="240"/>
      <c r="FNC56" s="240"/>
      <c r="FND56" s="257"/>
      <c r="FNE56" s="240"/>
      <c r="FNF56" s="257"/>
      <c r="FNG56" s="240"/>
      <c r="FNJ56" s="49"/>
      <c r="FNK56" s="240"/>
      <c r="FNL56" s="240"/>
      <c r="FNM56" s="240"/>
      <c r="FNN56" s="257"/>
      <c r="FNO56" s="240"/>
      <c r="FNP56" s="257"/>
      <c r="FNQ56" s="240"/>
      <c r="FNT56" s="49"/>
      <c r="FNU56" s="240"/>
      <c r="FNV56" s="240"/>
      <c r="FNW56" s="240"/>
      <c r="FNX56" s="257"/>
      <c r="FNY56" s="240"/>
      <c r="FNZ56" s="257"/>
      <c r="FOA56" s="240"/>
      <c r="FOD56" s="49"/>
      <c r="FOE56" s="240"/>
      <c r="FOF56" s="240"/>
      <c r="FOG56" s="240"/>
      <c r="FOH56" s="257"/>
      <c r="FOI56" s="240"/>
      <c r="FOJ56" s="257"/>
      <c r="FOK56" s="240"/>
      <c r="FON56" s="49"/>
      <c r="FOO56" s="240"/>
      <c r="FOP56" s="240"/>
      <c r="FOQ56" s="240"/>
      <c r="FOR56" s="257"/>
      <c r="FOS56" s="240"/>
      <c r="FOT56" s="257"/>
      <c r="FOU56" s="240"/>
      <c r="FOX56" s="49"/>
      <c r="FOY56" s="240"/>
      <c r="FOZ56" s="240"/>
      <c r="FPA56" s="240"/>
      <c r="FPB56" s="257"/>
      <c r="FPC56" s="240"/>
      <c r="FPD56" s="257"/>
      <c r="FPE56" s="240"/>
      <c r="FPH56" s="49"/>
      <c r="FPI56" s="240"/>
      <c r="FPJ56" s="240"/>
      <c r="FPK56" s="240"/>
      <c r="FPL56" s="257"/>
      <c r="FPM56" s="240"/>
      <c r="FPN56" s="257"/>
      <c r="FPO56" s="240"/>
      <c r="FPR56" s="49"/>
      <c r="FPS56" s="240"/>
      <c r="FPT56" s="240"/>
      <c r="FPU56" s="240"/>
      <c r="FPV56" s="257"/>
      <c r="FPW56" s="240"/>
      <c r="FPX56" s="257"/>
      <c r="FPY56" s="240"/>
      <c r="FQB56" s="49"/>
      <c r="FQC56" s="240"/>
      <c r="FQD56" s="240"/>
      <c r="FQE56" s="240"/>
      <c r="FQF56" s="257"/>
      <c r="FQG56" s="240"/>
      <c r="FQH56" s="257"/>
      <c r="FQI56" s="240"/>
      <c r="FQL56" s="49"/>
      <c r="FQM56" s="240"/>
      <c r="FQN56" s="240"/>
      <c r="FQO56" s="240"/>
      <c r="FQP56" s="257"/>
      <c r="FQQ56" s="240"/>
      <c r="FQR56" s="257"/>
      <c r="FQS56" s="240"/>
      <c r="FQV56" s="49"/>
      <c r="FQW56" s="240"/>
      <c r="FQX56" s="240"/>
      <c r="FQY56" s="240"/>
      <c r="FQZ56" s="257"/>
      <c r="FRA56" s="240"/>
      <c r="FRB56" s="257"/>
      <c r="FRC56" s="240"/>
      <c r="FRF56" s="49"/>
      <c r="FRG56" s="240"/>
      <c r="FRH56" s="240"/>
      <c r="FRI56" s="240"/>
      <c r="FRJ56" s="257"/>
      <c r="FRK56" s="240"/>
      <c r="FRL56" s="257"/>
      <c r="FRM56" s="240"/>
      <c r="FRP56" s="49"/>
      <c r="FRQ56" s="240"/>
      <c r="FRR56" s="240"/>
      <c r="FRS56" s="240"/>
      <c r="FRT56" s="257"/>
      <c r="FRU56" s="240"/>
      <c r="FRV56" s="257"/>
      <c r="FRW56" s="240"/>
      <c r="FRZ56" s="49"/>
      <c r="FSA56" s="240"/>
      <c r="FSB56" s="240"/>
      <c r="FSC56" s="240"/>
      <c r="FSD56" s="257"/>
      <c r="FSE56" s="240"/>
      <c r="FSF56" s="257"/>
      <c r="FSG56" s="240"/>
      <c r="FSJ56" s="49"/>
      <c r="FSK56" s="240"/>
      <c r="FSL56" s="240"/>
      <c r="FSM56" s="240"/>
      <c r="FSN56" s="257"/>
      <c r="FSO56" s="240"/>
      <c r="FSP56" s="257"/>
      <c r="FSQ56" s="240"/>
      <c r="FST56" s="49"/>
      <c r="FSU56" s="240"/>
      <c r="FSV56" s="240"/>
      <c r="FSW56" s="240"/>
      <c r="FSX56" s="257"/>
      <c r="FSY56" s="240"/>
      <c r="FSZ56" s="257"/>
      <c r="FTA56" s="240"/>
      <c r="FTD56" s="49"/>
      <c r="FTE56" s="240"/>
      <c r="FTF56" s="240"/>
      <c r="FTG56" s="240"/>
      <c r="FTH56" s="257"/>
      <c r="FTI56" s="240"/>
      <c r="FTJ56" s="257"/>
      <c r="FTK56" s="240"/>
      <c r="FTN56" s="49"/>
      <c r="FTO56" s="240"/>
      <c r="FTP56" s="240"/>
      <c r="FTQ56" s="240"/>
      <c r="FTR56" s="257"/>
      <c r="FTS56" s="240"/>
      <c r="FTT56" s="257"/>
      <c r="FTU56" s="240"/>
      <c r="FTX56" s="49"/>
      <c r="FTY56" s="240"/>
      <c r="FTZ56" s="240"/>
      <c r="FUA56" s="240"/>
      <c r="FUB56" s="257"/>
      <c r="FUC56" s="240"/>
      <c r="FUD56" s="257"/>
      <c r="FUE56" s="240"/>
      <c r="FUH56" s="49"/>
      <c r="FUI56" s="240"/>
      <c r="FUJ56" s="240"/>
      <c r="FUK56" s="240"/>
      <c r="FUL56" s="257"/>
      <c r="FUM56" s="240"/>
      <c r="FUN56" s="257"/>
      <c r="FUO56" s="240"/>
      <c r="FUR56" s="49"/>
      <c r="FUS56" s="240"/>
      <c r="FUT56" s="240"/>
      <c r="FUU56" s="240"/>
      <c r="FUV56" s="257"/>
      <c r="FUW56" s="240"/>
      <c r="FUX56" s="257"/>
      <c r="FUY56" s="240"/>
      <c r="FVB56" s="49"/>
      <c r="FVC56" s="240"/>
      <c r="FVD56" s="240"/>
      <c r="FVE56" s="240"/>
      <c r="FVF56" s="257"/>
      <c r="FVG56" s="240"/>
      <c r="FVH56" s="257"/>
      <c r="FVI56" s="240"/>
      <c r="FVL56" s="49"/>
      <c r="FVM56" s="240"/>
      <c r="FVN56" s="240"/>
      <c r="FVO56" s="240"/>
      <c r="FVP56" s="257"/>
      <c r="FVQ56" s="240"/>
      <c r="FVR56" s="257"/>
      <c r="FVS56" s="240"/>
      <c r="FVV56" s="49"/>
      <c r="FVW56" s="240"/>
      <c r="FVX56" s="240"/>
      <c r="FVY56" s="240"/>
      <c r="FVZ56" s="257"/>
      <c r="FWA56" s="240"/>
      <c r="FWB56" s="257"/>
      <c r="FWC56" s="240"/>
      <c r="FWF56" s="49"/>
      <c r="FWG56" s="240"/>
      <c r="FWH56" s="240"/>
      <c r="FWI56" s="240"/>
      <c r="FWJ56" s="257"/>
      <c r="FWK56" s="240"/>
      <c r="FWL56" s="257"/>
      <c r="FWM56" s="240"/>
      <c r="FWP56" s="49"/>
      <c r="FWQ56" s="240"/>
      <c r="FWR56" s="240"/>
      <c r="FWS56" s="240"/>
      <c r="FWT56" s="257"/>
      <c r="FWU56" s="240"/>
      <c r="FWV56" s="257"/>
      <c r="FWW56" s="240"/>
      <c r="FWZ56" s="49"/>
      <c r="FXA56" s="240"/>
      <c r="FXB56" s="240"/>
      <c r="FXC56" s="240"/>
      <c r="FXD56" s="257"/>
      <c r="FXE56" s="240"/>
      <c r="FXF56" s="257"/>
      <c r="FXG56" s="240"/>
      <c r="FXJ56" s="49"/>
      <c r="FXK56" s="240"/>
      <c r="FXL56" s="240"/>
      <c r="FXM56" s="240"/>
      <c r="FXN56" s="257"/>
      <c r="FXO56" s="240"/>
      <c r="FXP56" s="257"/>
      <c r="FXQ56" s="240"/>
      <c r="FXT56" s="49"/>
      <c r="FXU56" s="240"/>
      <c r="FXV56" s="240"/>
      <c r="FXW56" s="240"/>
      <c r="FXX56" s="257"/>
      <c r="FXY56" s="240"/>
      <c r="FXZ56" s="257"/>
      <c r="FYA56" s="240"/>
      <c r="FYD56" s="49"/>
      <c r="FYE56" s="240"/>
      <c r="FYF56" s="240"/>
      <c r="FYG56" s="240"/>
      <c r="FYH56" s="257"/>
      <c r="FYI56" s="240"/>
      <c r="FYJ56" s="257"/>
      <c r="FYK56" s="240"/>
      <c r="FYN56" s="49"/>
      <c r="FYO56" s="240"/>
      <c r="FYP56" s="240"/>
      <c r="FYQ56" s="240"/>
      <c r="FYR56" s="257"/>
      <c r="FYS56" s="240"/>
      <c r="FYT56" s="257"/>
      <c r="FYU56" s="240"/>
      <c r="FYX56" s="49"/>
      <c r="FYY56" s="240"/>
      <c r="FYZ56" s="240"/>
      <c r="FZA56" s="240"/>
      <c r="FZB56" s="257"/>
      <c r="FZC56" s="240"/>
      <c r="FZD56" s="257"/>
      <c r="FZE56" s="240"/>
      <c r="FZH56" s="49"/>
      <c r="FZI56" s="240"/>
      <c r="FZJ56" s="240"/>
      <c r="FZK56" s="240"/>
      <c r="FZL56" s="257"/>
      <c r="FZM56" s="240"/>
      <c r="FZN56" s="257"/>
      <c r="FZO56" s="240"/>
      <c r="FZR56" s="49"/>
      <c r="FZS56" s="240"/>
      <c r="FZT56" s="240"/>
      <c r="FZU56" s="240"/>
      <c r="FZV56" s="257"/>
      <c r="FZW56" s="240"/>
      <c r="FZX56" s="257"/>
      <c r="FZY56" s="240"/>
      <c r="GAB56" s="49"/>
      <c r="GAC56" s="240"/>
      <c r="GAD56" s="240"/>
      <c r="GAE56" s="240"/>
      <c r="GAF56" s="257"/>
      <c r="GAG56" s="240"/>
      <c r="GAH56" s="257"/>
      <c r="GAI56" s="240"/>
      <c r="GAL56" s="49"/>
      <c r="GAM56" s="240"/>
      <c r="GAN56" s="240"/>
      <c r="GAO56" s="240"/>
      <c r="GAP56" s="257"/>
      <c r="GAQ56" s="240"/>
      <c r="GAR56" s="257"/>
      <c r="GAS56" s="240"/>
      <c r="GAV56" s="49"/>
      <c r="GAW56" s="240"/>
      <c r="GAX56" s="240"/>
      <c r="GAY56" s="240"/>
      <c r="GAZ56" s="257"/>
      <c r="GBA56" s="240"/>
      <c r="GBB56" s="257"/>
      <c r="GBC56" s="240"/>
      <c r="GBF56" s="49"/>
      <c r="GBG56" s="240"/>
      <c r="GBH56" s="240"/>
      <c r="GBI56" s="240"/>
      <c r="GBJ56" s="257"/>
      <c r="GBK56" s="240"/>
      <c r="GBL56" s="257"/>
      <c r="GBM56" s="240"/>
      <c r="GBP56" s="49"/>
      <c r="GBQ56" s="240"/>
      <c r="GBR56" s="240"/>
      <c r="GBS56" s="240"/>
      <c r="GBT56" s="257"/>
      <c r="GBU56" s="240"/>
      <c r="GBV56" s="257"/>
      <c r="GBW56" s="240"/>
      <c r="GBZ56" s="49"/>
      <c r="GCA56" s="240"/>
      <c r="GCB56" s="240"/>
      <c r="GCC56" s="240"/>
      <c r="GCD56" s="257"/>
      <c r="GCE56" s="240"/>
      <c r="GCF56" s="257"/>
      <c r="GCG56" s="240"/>
      <c r="GCJ56" s="49"/>
      <c r="GCK56" s="240"/>
      <c r="GCL56" s="240"/>
      <c r="GCM56" s="240"/>
      <c r="GCN56" s="257"/>
      <c r="GCO56" s="240"/>
      <c r="GCP56" s="257"/>
      <c r="GCQ56" s="240"/>
      <c r="GCT56" s="49"/>
      <c r="GCU56" s="240"/>
      <c r="GCV56" s="240"/>
      <c r="GCW56" s="240"/>
      <c r="GCX56" s="257"/>
      <c r="GCY56" s="240"/>
      <c r="GCZ56" s="257"/>
      <c r="GDA56" s="240"/>
      <c r="GDD56" s="49"/>
      <c r="GDE56" s="240"/>
      <c r="GDF56" s="240"/>
      <c r="GDG56" s="240"/>
      <c r="GDH56" s="257"/>
      <c r="GDI56" s="240"/>
      <c r="GDJ56" s="257"/>
      <c r="GDK56" s="240"/>
      <c r="GDN56" s="49"/>
      <c r="GDO56" s="240"/>
      <c r="GDP56" s="240"/>
      <c r="GDQ56" s="240"/>
      <c r="GDR56" s="257"/>
      <c r="GDS56" s="240"/>
      <c r="GDT56" s="257"/>
      <c r="GDU56" s="240"/>
      <c r="GDX56" s="49"/>
      <c r="GDY56" s="240"/>
      <c r="GDZ56" s="240"/>
      <c r="GEA56" s="240"/>
      <c r="GEB56" s="257"/>
      <c r="GEC56" s="240"/>
      <c r="GED56" s="257"/>
      <c r="GEE56" s="240"/>
      <c r="GEH56" s="49"/>
      <c r="GEI56" s="240"/>
      <c r="GEJ56" s="240"/>
      <c r="GEK56" s="240"/>
      <c r="GEL56" s="257"/>
      <c r="GEM56" s="240"/>
      <c r="GEN56" s="257"/>
      <c r="GEO56" s="240"/>
      <c r="GER56" s="49"/>
      <c r="GES56" s="240"/>
      <c r="GET56" s="240"/>
      <c r="GEU56" s="240"/>
      <c r="GEV56" s="257"/>
      <c r="GEW56" s="240"/>
      <c r="GEX56" s="257"/>
      <c r="GEY56" s="240"/>
      <c r="GFB56" s="49"/>
      <c r="GFC56" s="240"/>
      <c r="GFD56" s="240"/>
      <c r="GFE56" s="240"/>
      <c r="GFF56" s="257"/>
      <c r="GFG56" s="240"/>
      <c r="GFH56" s="257"/>
      <c r="GFI56" s="240"/>
      <c r="GFL56" s="49"/>
      <c r="GFM56" s="240"/>
      <c r="GFN56" s="240"/>
      <c r="GFO56" s="240"/>
      <c r="GFP56" s="257"/>
      <c r="GFQ56" s="240"/>
      <c r="GFR56" s="257"/>
      <c r="GFS56" s="240"/>
      <c r="GFV56" s="49"/>
      <c r="GFW56" s="240"/>
      <c r="GFX56" s="240"/>
      <c r="GFY56" s="240"/>
      <c r="GFZ56" s="257"/>
      <c r="GGA56" s="240"/>
      <c r="GGB56" s="257"/>
      <c r="GGC56" s="240"/>
      <c r="GGF56" s="49"/>
      <c r="GGG56" s="240"/>
      <c r="GGH56" s="240"/>
      <c r="GGI56" s="240"/>
      <c r="GGJ56" s="257"/>
      <c r="GGK56" s="240"/>
      <c r="GGL56" s="257"/>
      <c r="GGM56" s="240"/>
      <c r="GGP56" s="49"/>
      <c r="GGQ56" s="240"/>
      <c r="GGR56" s="240"/>
      <c r="GGS56" s="240"/>
      <c r="GGT56" s="257"/>
      <c r="GGU56" s="240"/>
      <c r="GGV56" s="257"/>
      <c r="GGW56" s="240"/>
      <c r="GGZ56" s="49"/>
      <c r="GHA56" s="240"/>
      <c r="GHB56" s="240"/>
      <c r="GHC56" s="240"/>
      <c r="GHD56" s="257"/>
      <c r="GHE56" s="240"/>
      <c r="GHF56" s="257"/>
      <c r="GHG56" s="240"/>
      <c r="GHJ56" s="49"/>
      <c r="GHK56" s="240"/>
      <c r="GHL56" s="240"/>
      <c r="GHM56" s="240"/>
      <c r="GHN56" s="257"/>
      <c r="GHO56" s="240"/>
      <c r="GHP56" s="257"/>
      <c r="GHQ56" s="240"/>
      <c r="GHT56" s="49"/>
      <c r="GHU56" s="240"/>
      <c r="GHV56" s="240"/>
      <c r="GHW56" s="240"/>
      <c r="GHX56" s="257"/>
      <c r="GHY56" s="240"/>
      <c r="GHZ56" s="257"/>
      <c r="GIA56" s="240"/>
      <c r="GID56" s="49"/>
      <c r="GIE56" s="240"/>
      <c r="GIF56" s="240"/>
      <c r="GIG56" s="240"/>
      <c r="GIH56" s="257"/>
      <c r="GII56" s="240"/>
      <c r="GIJ56" s="257"/>
      <c r="GIK56" s="240"/>
      <c r="GIN56" s="49"/>
      <c r="GIO56" s="240"/>
      <c r="GIP56" s="240"/>
      <c r="GIQ56" s="240"/>
      <c r="GIR56" s="257"/>
      <c r="GIS56" s="240"/>
      <c r="GIT56" s="257"/>
      <c r="GIU56" s="240"/>
      <c r="GIX56" s="49"/>
      <c r="GIY56" s="240"/>
      <c r="GIZ56" s="240"/>
      <c r="GJA56" s="240"/>
      <c r="GJB56" s="257"/>
      <c r="GJC56" s="240"/>
      <c r="GJD56" s="257"/>
      <c r="GJE56" s="240"/>
      <c r="GJH56" s="49"/>
      <c r="GJI56" s="240"/>
      <c r="GJJ56" s="240"/>
      <c r="GJK56" s="240"/>
      <c r="GJL56" s="257"/>
      <c r="GJM56" s="240"/>
      <c r="GJN56" s="257"/>
      <c r="GJO56" s="240"/>
      <c r="GJR56" s="49"/>
      <c r="GJS56" s="240"/>
      <c r="GJT56" s="240"/>
      <c r="GJU56" s="240"/>
      <c r="GJV56" s="257"/>
      <c r="GJW56" s="240"/>
      <c r="GJX56" s="257"/>
      <c r="GJY56" s="240"/>
      <c r="GKB56" s="49"/>
      <c r="GKC56" s="240"/>
      <c r="GKD56" s="240"/>
      <c r="GKE56" s="240"/>
      <c r="GKF56" s="257"/>
      <c r="GKG56" s="240"/>
      <c r="GKH56" s="257"/>
      <c r="GKI56" s="240"/>
      <c r="GKL56" s="49"/>
      <c r="GKM56" s="240"/>
      <c r="GKN56" s="240"/>
      <c r="GKO56" s="240"/>
      <c r="GKP56" s="257"/>
      <c r="GKQ56" s="240"/>
      <c r="GKR56" s="257"/>
      <c r="GKS56" s="240"/>
      <c r="GKV56" s="49"/>
      <c r="GKW56" s="240"/>
      <c r="GKX56" s="240"/>
      <c r="GKY56" s="240"/>
      <c r="GKZ56" s="257"/>
      <c r="GLA56" s="240"/>
      <c r="GLB56" s="257"/>
      <c r="GLC56" s="240"/>
      <c r="GLF56" s="49"/>
      <c r="GLG56" s="240"/>
      <c r="GLH56" s="240"/>
      <c r="GLI56" s="240"/>
      <c r="GLJ56" s="257"/>
      <c r="GLK56" s="240"/>
      <c r="GLL56" s="257"/>
      <c r="GLM56" s="240"/>
      <c r="GLP56" s="49"/>
      <c r="GLQ56" s="240"/>
      <c r="GLR56" s="240"/>
      <c r="GLS56" s="240"/>
      <c r="GLT56" s="257"/>
      <c r="GLU56" s="240"/>
      <c r="GLV56" s="257"/>
      <c r="GLW56" s="240"/>
      <c r="GLZ56" s="49"/>
      <c r="GMA56" s="240"/>
      <c r="GMB56" s="240"/>
      <c r="GMC56" s="240"/>
      <c r="GMD56" s="257"/>
      <c r="GME56" s="240"/>
      <c r="GMF56" s="257"/>
      <c r="GMG56" s="240"/>
      <c r="GMJ56" s="49"/>
      <c r="GMK56" s="240"/>
      <c r="GML56" s="240"/>
      <c r="GMM56" s="240"/>
      <c r="GMN56" s="257"/>
      <c r="GMO56" s="240"/>
      <c r="GMP56" s="257"/>
      <c r="GMQ56" s="240"/>
      <c r="GMT56" s="49"/>
      <c r="GMU56" s="240"/>
      <c r="GMV56" s="240"/>
      <c r="GMW56" s="240"/>
      <c r="GMX56" s="257"/>
      <c r="GMY56" s="240"/>
      <c r="GMZ56" s="257"/>
      <c r="GNA56" s="240"/>
      <c r="GND56" s="49"/>
      <c r="GNE56" s="240"/>
      <c r="GNF56" s="240"/>
      <c r="GNG56" s="240"/>
      <c r="GNH56" s="257"/>
      <c r="GNI56" s="240"/>
      <c r="GNJ56" s="257"/>
      <c r="GNK56" s="240"/>
      <c r="GNN56" s="49"/>
      <c r="GNO56" s="240"/>
      <c r="GNP56" s="240"/>
      <c r="GNQ56" s="240"/>
      <c r="GNR56" s="257"/>
      <c r="GNS56" s="240"/>
      <c r="GNT56" s="257"/>
      <c r="GNU56" s="240"/>
      <c r="GNX56" s="49"/>
      <c r="GNY56" s="240"/>
      <c r="GNZ56" s="240"/>
      <c r="GOA56" s="240"/>
      <c r="GOB56" s="257"/>
      <c r="GOC56" s="240"/>
      <c r="GOD56" s="257"/>
      <c r="GOE56" s="240"/>
      <c r="GOH56" s="49"/>
      <c r="GOI56" s="240"/>
      <c r="GOJ56" s="240"/>
      <c r="GOK56" s="240"/>
      <c r="GOL56" s="257"/>
      <c r="GOM56" s="240"/>
      <c r="GON56" s="257"/>
      <c r="GOO56" s="240"/>
      <c r="GOR56" s="49"/>
      <c r="GOS56" s="240"/>
      <c r="GOT56" s="240"/>
      <c r="GOU56" s="240"/>
      <c r="GOV56" s="257"/>
      <c r="GOW56" s="240"/>
      <c r="GOX56" s="257"/>
      <c r="GOY56" s="240"/>
      <c r="GPB56" s="49"/>
      <c r="GPC56" s="240"/>
      <c r="GPD56" s="240"/>
      <c r="GPE56" s="240"/>
      <c r="GPF56" s="257"/>
      <c r="GPG56" s="240"/>
      <c r="GPH56" s="257"/>
      <c r="GPI56" s="240"/>
      <c r="GPL56" s="49"/>
      <c r="GPM56" s="240"/>
      <c r="GPN56" s="240"/>
      <c r="GPO56" s="240"/>
      <c r="GPP56" s="257"/>
      <c r="GPQ56" s="240"/>
      <c r="GPR56" s="257"/>
      <c r="GPS56" s="240"/>
      <c r="GPV56" s="49"/>
      <c r="GPW56" s="240"/>
      <c r="GPX56" s="240"/>
      <c r="GPY56" s="240"/>
      <c r="GPZ56" s="257"/>
      <c r="GQA56" s="240"/>
      <c r="GQB56" s="257"/>
      <c r="GQC56" s="240"/>
      <c r="GQF56" s="49"/>
      <c r="GQG56" s="240"/>
      <c r="GQH56" s="240"/>
      <c r="GQI56" s="240"/>
      <c r="GQJ56" s="257"/>
      <c r="GQK56" s="240"/>
      <c r="GQL56" s="257"/>
      <c r="GQM56" s="240"/>
      <c r="GQP56" s="49"/>
      <c r="GQQ56" s="240"/>
      <c r="GQR56" s="240"/>
      <c r="GQS56" s="240"/>
      <c r="GQT56" s="257"/>
      <c r="GQU56" s="240"/>
      <c r="GQV56" s="257"/>
      <c r="GQW56" s="240"/>
      <c r="GQZ56" s="49"/>
      <c r="GRA56" s="240"/>
      <c r="GRB56" s="240"/>
      <c r="GRC56" s="240"/>
      <c r="GRD56" s="257"/>
      <c r="GRE56" s="240"/>
      <c r="GRF56" s="257"/>
      <c r="GRG56" s="240"/>
      <c r="GRJ56" s="49"/>
      <c r="GRK56" s="240"/>
      <c r="GRL56" s="240"/>
      <c r="GRM56" s="240"/>
      <c r="GRN56" s="257"/>
      <c r="GRO56" s="240"/>
      <c r="GRP56" s="257"/>
      <c r="GRQ56" s="240"/>
      <c r="GRT56" s="49"/>
      <c r="GRU56" s="240"/>
      <c r="GRV56" s="240"/>
      <c r="GRW56" s="240"/>
      <c r="GRX56" s="257"/>
      <c r="GRY56" s="240"/>
      <c r="GRZ56" s="257"/>
      <c r="GSA56" s="240"/>
      <c r="GSD56" s="49"/>
      <c r="GSE56" s="240"/>
      <c r="GSF56" s="240"/>
      <c r="GSG56" s="240"/>
      <c r="GSH56" s="257"/>
      <c r="GSI56" s="240"/>
      <c r="GSJ56" s="257"/>
      <c r="GSK56" s="240"/>
      <c r="GSN56" s="49"/>
      <c r="GSO56" s="240"/>
      <c r="GSP56" s="240"/>
      <c r="GSQ56" s="240"/>
      <c r="GSR56" s="257"/>
      <c r="GSS56" s="240"/>
      <c r="GST56" s="257"/>
      <c r="GSU56" s="240"/>
      <c r="GSX56" s="49"/>
      <c r="GSY56" s="240"/>
      <c r="GSZ56" s="240"/>
      <c r="GTA56" s="240"/>
      <c r="GTB56" s="257"/>
      <c r="GTC56" s="240"/>
      <c r="GTD56" s="257"/>
      <c r="GTE56" s="240"/>
      <c r="GTH56" s="49"/>
      <c r="GTI56" s="240"/>
      <c r="GTJ56" s="240"/>
      <c r="GTK56" s="240"/>
      <c r="GTL56" s="257"/>
      <c r="GTM56" s="240"/>
      <c r="GTN56" s="257"/>
      <c r="GTO56" s="240"/>
      <c r="GTR56" s="49"/>
      <c r="GTS56" s="240"/>
      <c r="GTT56" s="240"/>
      <c r="GTU56" s="240"/>
      <c r="GTV56" s="257"/>
      <c r="GTW56" s="240"/>
      <c r="GTX56" s="257"/>
      <c r="GTY56" s="240"/>
      <c r="GUB56" s="49"/>
      <c r="GUC56" s="240"/>
      <c r="GUD56" s="240"/>
      <c r="GUE56" s="240"/>
      <c r="GUF56" s="257"/>
      <c r="GUG56" s="240"/>
      <c r="GUH56" s="257"/>
      <c r="GUI56" s="240"/>
      <c r="GUL56" s="49"/>
      <c r="GUM56" s="240"/>
      <c r="GUN56" s="240"/>
      <c r="GUO56" s="240"/>
      <c r="GUP56" s="257"/>
      <c r="GUQ56" s="240"/>
      <c r="GUR56" s="257"/>
      <c r="GUS56" s="240"/>
      <c r="GUV56" s="49"/>
      <c r="GUW56" s="240"/>
      <c r="GUX56" s="240"/>
      <c r="GUY56" s="240"/>
      <c r="GUZ56" s="257"/>
      <c r="GVA56" s="240"/>
      <c r="GVB56" s="257"/>
      <c r="GVC56" s="240"/>
      <c r="GVF56" s="49"/>
      <c r="GVG56" s="240"/>
      <c r="GVH56" s="240"/>
      <c r="GVI56" s="240"/>
      <c r="GVJ56" s="257"/>
      <c r="GVK56" s="240"/>
      <c r="GVL56" s="257"/>
      <c r="GVM56" s="240"/>
      <c r="GVP56" s="49"/>
      <c r="GVQ56" s="240"/>
      <c r="GVR56" s="240"/>
      <c r="GVS56" s="240"/>
      <c r="GVT56" s="257"/>
      <c r="GVU56" s="240"/>
      <c r="GVV56" s="257"/>
      <c r="GVW56" s="240"/>
      <c r="GVZ56" s="49"/>
      <c r="GWA56" s="240"/>
      <c r="GWB56" s="240"/>
      <c r="GWC56" s="240"/>
      <c r="GWD56" s="257"/>
      <c r="GWE56" s="240"/>
      <c r="GWF56" s="257"/>
      <c r="GWG56" s="240"/>
      <c r="GWJ56" s="49"/>
      <c r="GWK56" s="240"/>
      <c r="GWL56" s="240"/>
      <c r="GWM56" s="240"/>
      <c r="GWN56" s="257"/>
      <c r="GWO56" s="240"/>
      <c r="GWP56" s="257"/>
      <c r="GWQ56" s="240"/>
      <c r="GWT56" s="49"/>
      <c r="GWU56" s="240"/>
      <c r="GWV56" s="240"/>
      <c r="GWW56" s="240"/>
      <c r="GWX56" s="257"/>
      <c r="GWY56" s="240"/>
      <c r="GWZ56" s="257"/>
      <c r="GXA56" s="240"/>
      <c r="GXD56" s="49"/>
      <c r="GXE56" s="240"/>
      <c r="GXF56" s="240"/>
      <c r="GXG56" s="240"/>
      <c r="GXH56" s="257"/>
      <c r="GXI56" s="240"/>
      <c r="GXJ56" s="257"/>
      <c r="GXK56" s="240"/>
      <c r="GXN56" s="49"/>
      <c r="GXO56" s="240"/>
      <c r="GXP56" s="240"/>
      <c r="GXQ56" s="240"/>
      <c r="GXR56" s="257"/>
      <c r="GXS56" s="240"/>
      <c r="GXT56" s="257"/>
      <c r="GXU56" s="240"/>
      <c r="GXX56" s="49"/>
      <c r="GXY56" s="240"/>
      <c r="GXZ56" s="240"/>
      <c r="GYA56" s="240"/>
      <c r="GYB56" s="257"/>
      <c r="GYC56" s="240"/>
      <c r="GYD56" s="257"/>
      <c r="GYE56" s="240"/>
      <c r="GYH56" s="49"/>
      <c r="GYI56" s="240"/>
      <c r="GYJ56" s="240"/>
      <c r="GYK56" s="240"/>
      <c r="GYL56" s="257"/>
      <c r="GYM56" s="240"/>
      <c r="GYN56" s="257"/>
      <c r="GYO56" s="240"/>
      <c r="GYR56" s="49"/>
      <c r="GYS56" s="240"/>
      <c r="GYT56" s="240"/>
      <c r="GYU56" s="240"/>
      <c r="GYV56" s="257"/>
      <c r="GYW56" s="240"/>
      <c r="GYX56" s="257"/>
      <c r="GYY56" s="240"/>
      <c r="GZB56" s="49"/>
      <c r="GZC56" s="240"/>
      <c r="GZD56" s="240"/>
      <c r="GZE56" s="240"/>
      <c r="GZF56" s="257"/>
      <c r="GZG56" s="240"/>
      <c r="GZH56" s="257"/>
      <c r="GZI56" s="240"/>
      <c r="GZL56" s="49"/>
      <c r="GZM56" s="240"/>
      <c r="GZN56" s="240"/>
      <c r="GZO56" s="240"/>
      <c r="GZP56" s="257"/>
      <c r="GZQ56" s="240"/>
      <c r="GZR56" s="257"/>
      <c r="GZS56" s="240"/>
      <c r="GZV56" s="49"/>
      <c r="GZW56" s="240"/>
      <c r="GZX56" s="240"/>
      <c r="GZY56" s="240"/>
      <c r="GZZ56" s="257"/>
      <c r="HAA56" s="240"/>
      <c r="HAB56" s="257"/>
      <c r="HAC56" s="240"/>
      <c r="HAF56" s="49"/>
      <c r="HAG56" s="240"/>
      <c r="HAH56" s="240"/>
      <c r="HAI56" s="240"/>
      <c r="HAJ56" s="257"/>
      <c r="HAK56" s="240"/>
      <c r="HAL56" s="257"/>
      <c r="HAM56" s="240"/>
      <c r="HAP56" s="49"/>
      <c r="HAQ56" s="240"/>
      <c r="HAR56" s="240"/>
      <c r="HAS56" s="240"/>
      <c r="HAT56" s="257"/>
      <c r="HAU56" s="240"/>
      <c r="HAV56" s="257"/>
      <c r="HAW56" s="240"/>
      <c r="HAZ56" s="49"/>
      <c r="HBA56" s="240"/>
      <c r="HBB56" s="240"/>
      <c r="HBC56" s="240"/>
      <c r="HBD56" s="257"/>
      <c r="HBE56" s="240"/>
      <c r="HBF56" s="257"/>
      <c r="HBG56" s="240"/>
      <c r="HBJ56" s="49"/>
      <c r="HBK56" s="240"/>
      <c r="HBL56" s="240"/>
      <c r="HBM56" s="240"/>
      <c r="HBN56" s="257"/>
      <c r="HBO56" s="240"/>
      <c r="HBP56" s="257"/>
      <c r="HBQ56" s="240"/>
      <c r="HBT56" s="49"/>
      <c r="HBU56" s="240"/>
      <c r="HBV56" s="240"/>
      <c r="HBW56" s="240"/>
      <c r="HBX56" s="257"/>
      <c r="HBY56" s="240"/>
      <c r="HBZ56" s="257"/>
      <c r="HCA56" s="240"/>
      <c r="HCD56" s="49"/>
      <c r="HCE56" s="240"/>
      <c r="HCF56" s="240"/>
      <c r="HCG56" s="240"/>
      <c r="HCH56" s="257"/>
      <c r="HCI56" s="240"/>
      <c r="HCJ56" s="257"/>
      <c r="HCK56" s="240"/>
      <c r="HCN56" s="49"/>
      <c r="HCO56" s="240"/>
      <c r="HCP56" s="240"/>
      <c r="HCQ56" s="240"/>
      <c r="HCR56" s="257"/>
      <c r="HCS56" s="240"/>
      <c r="HCT56" s="257"/>
      <c r="HCU56" s="240"/>
      <c r="HCX56" s="49"/>
      <c r="HCY56" s="240"/>
      <c r="HCZ56" s="240"/>
      <c r="HDA56" s="240"/>
      <c r="HDB56" s="257"/>
      <c r="HDC56" s="240"/>
      <c r="HDD56" s="257"/>
      <c r="HDE56" s="240"/>
      <c r="HDH56" s="49"/>
      <c r="HDI56" s="240"/>
      <c r="HDJ56" s="240"/>
      <c r="HDK56" s="240"/>
      <c r="HDL56" s="257"/>
      <c r="HDM56" s="240"/>
      <c r="HDN56" s="257"/>
      <c r="HDO56" s="240"/>
      <c r="HDR56" s="49"/>
      <c r="HDS56" s="240"/>
      <c r="HDT56" s="240"/>
      <c r="HDU56" s="240"/>
      <c r="HDV56" s="257"/>
      <c r="HDW56" s="240"/>
      <c r="HDX56" s="257"/>
      <c r="HDY56" s="240"/>
      <c r="HEB56" s="49"/>
      <c r="HEC56" s="240"/>
      <c r="HED56" s="240"/>
      <c r="HEE56" s="240"/>
      <c r="HEF56" s="257"/>
      <c r="HEG56" s="240"/>
      <c r="HEH56" s="257"/>
      <c r="HEI56" s="240"/>
      <c r="HEL56" s="49"/>
      <c r="HEM56" s="240"/>
      <c r="HEN56" s="240"/>
      <c r="HEO56" s="240"/>
      <c r="HEP56" s="257"/>
      <c r="HEQ56" s="240"/>
      <c r="HER56" s="257"/>
      <c r="HES56" s="240"/>
      <c r="HEV56" s="49"/>
      <c r="HEW56" s="240"/>
      <c r="HEX56" s="240"/>
      <c r="HEY56" s="240"/>
      <c r="HEZ56" s="257"/>
      <c r="HFA56" s="240"/>
      <c r="HFB56" s="257"/>
      <c r="HFC56" s="240"/>
      <c r="HFF56" s="49"/>
      <c r="HFG56" s="240"/>
      <c r="HFH56" s="240"/>
      <c r="HFI56" s="240"/>
      <c r="HFJ56" s="257"/>
      <c r="HFK56" s="240"/>
      <c r="HFL56" s="257"/>
      <c r="HFM56" s="240"/>
      <c r="HFP56" s="49"/>
      <c r="HFQ56" s="240"/>
      <c r="HFR56" s="240"/>
      <c r="HFS56" s="240"/>
      <c r="HFT56" s="257"/>
      <c r="HFU56" s="240"/>
      <c r="HFV56" s="257"/>
      <c r="HFW56" s="240"/>
      <c r="HFZ56" s="49"/>
      <c r="HGA56" s="240"/>
      <c r="HGB56" s="240"/>
      <c r="HGC56" s="240"/>
      <c r="HGD56" s="257"/>
      <c r="HGE56" s="240"/>
      <c r="HGF56" s="257"/>
      <c r="HGG56" s="240"/>
      <c r="HGJ56" s="49"/>
      <c r="HGK56" s="240"/>
      <c r="HGL56" s="240"/>
      <c r="HGM56" s="240"/>
      <c r="HGN56" s="257"/>
      <c r="HGO56" s="240"/>
      <c r="HGP56" s="257"/>
      <c r="HGQ56" s="240"/>
      <c r="HGT56" s="49"/>
      <c r="HGU56" s="240"/>
      <c r="HGV56" s="240"/>
      <c r="HGW56" s="240"/>
      <c r="HGX56" s="257"/>
      <c r="HGY56" s="240"/>
      <c r="HGZ56" s="257"/>
      <c r="HHA56" s="240"/>
      <c r="HHD56" s="49"/>
      <c r="HHE56" s="240"/>
      <c r="HHF56" s="240"/>
      <c r="HHG56" s="240"/>
      <c r="HHH56" s="257"/>
      <c r="HHI56" s="240"/>
      <c r="HHJ56" s="257"/>
      <c r="HHK56" s="240"/>
      <c r="HHN56" s="49"/>
      <c r="HHO56" s="240"/>
      <c r="HHP56" s="240"/>
      <c r="HHQ56" s="240"/>
      <c r="HHR56" s="257"/>
      <c r="HHS56" s="240"/>
      <c r="HHT56" s="257"/>
      <c r="HHU56" s="240"/>
      <c r="HHX56" s="49"/>
      <c r="HHY56" s="240"/>
      <c r="HHZ56" s="240"/>
      <c r="HIA56" s="240"/>
      <c r="HIB56" s="257"/>
      <c r="HIC56" s="240"/>
      <c r="HID56" s="257"/>
      <c r="HIE56" s="240"/>
      <c r="HIH56" s="49"/>
      <c r="HII56" s="240"/>
      <c r="HIJ56" s="240"/>
      <c r="HIK56" s="240"/>
      <c r="HIL56" s="257"/>
      <c r="HIM56" s="240"/>
      <c r="HIN56" s="257"/>
      <c r="HIO56" s="240"/>
      <c r="HIR56" s="49"/>
      <c r="HIS56" s="240"/>
      <c r="HIT56" s="240"/>
      <c r="HIU56" s="240"/>
      <c r="HIV56" s="257"/>
      <c r="HIW56" s="240"/>
      <c r="HIX56" s="257"/>
      <c r="HIY56" s="240"/>
      <c r="HJB56" s="49"/>
      <c r="HJC56" s="240"/>
      <c r="HJD56" s="240"/>
      <c r="HJE56" s="240"/>
      <c r="HJF56" s="257"/>
      <c r="HJG56" s="240"/>
      <c r="HJH56" s="257"/>
      <c r="HJI56" s="240"/>
      <c r="HJL56" s="49"/>
      <c r="HJM56" s="240"/>
      <c r="HJN56" s="240"/>
      <c r="HJO56" s="240"/>
      <c r="HJP56" s="257"/>
      <c r="HJQ56" s="240"/>
      <c r="HJR56" s="257"/>
      <c r="HJS56" s="240"/>
      <c r="HJV56" s="49"/>
      <c r="HJW56" s="240"/>
      <c r="HJX56" s="240"/>
      <c r="HJY56" s="240"/>
      <c r="HJZ56" s="257"/>
      <c r="HKA56" s="240"/>
      <c r="HKB56" s="257"/>
      <c r="HKC56" s="240"/>
      <c r="HKF56" s="49"/>
      <c r="HKG56" s="240"/>
      <c r="HKH56" s="240"/>
      <c r="HKI56" s="240"/>
      <c r="HKJ56" s="257"/>
      <c r="HKK56" s="240"/>
      <c r="HKL56" s="257"/>
      <c r="HKM56" s="240"/>
      <c r="HKP56" s="49"/>
      <c r="HKQ56" s="240"/>
      <c r="HKR56" s="240"/>
      <c r="HKS56" s="240"/>
      <c r="HKT56" s="257"/>
      <c r="HKU56" s="240"/>
      <c r="HKV56" s="257"/>
      <c r="HKW56" s="240"/>
      <c r="HKZ56" s="49"/>
      <c r="HLA56" s="240"/>
      <c r="HLB56" s="240"/>
      <c r="HLC56" s="240"/>
      <c r="HLD56" s="257"/>
      <c r="HLE56" s="240"/>
      <c r="HLF56" s="257"/>
      <c r="HLG56" s="240"/>
      <c r="HLJ56" s="49"/>
      <c r="HLK56" s="240"/>
      <c r="HLL56" s="240"/>
      <c r="HLM56" s="240"/>
      <c r="HLN56" s="257"/>
      <c r="HLO56" s="240"/>
      <c r="HLP56" s="257"/>
      <c r="HLQ56" s="240"/>
      <c r="HLT56" s="49"/>
      <c r="HLU56" s="240"/>
      <c r="HLV56" s="240"/>
      <c r="HLW56" s="240"/>
      <c r="HLX56" s="257"/>
      <c r="HLY56" s="240"/>
      <c r="HLZ56" s="257"/>
      <c r="HMA56" s="240"/>
      <c r="HMD56" s="49"/>
      <c r="HME56" s="240"/>
      <c r="HMF56" s="240"/>
      <c r="HMG56" s="240"/>
      <c r="HMH56" s="257"/>
      <c r="HMI56" s="240"/>
      <c r="HMJ56" s="257"/>
      <c r="HMK56" s="240"/>
      <c r="HMN56" s="49"/>
      <c r="HMO56" s="240"/>
      <c r="HMP56" s="240"/>
      <c r="HMQ56" s="240"/>
      <c r="HMR56" s="257"/>
      <c r="HMS56" s="240"/>
      <c r="HMT56" s="257"/>
      <c r="HMU56" s="240"/>
      <c r="HMX56" s="49"/>
      <c r="HMY56" s="240"/>
      <c r="HMZ56" s="240"/>
      <c r="HNA56" s="240"/>
      <c r="HNB56" s="257"/>
      <c r="HNC56" s="240"/>
      <c r="HND56" s="257"/>
      <c r="HNE56" s="240"/>
      <c r="HNH56" s="49"/>
      <c r="HNI56" s="240"/>
      <c r="HNJ56" s="240"/>
      <c r="HNK56" s="240"/>
      <c r="HNL56" s="257"/>
      <c r="HNM56" s="240"/>
      <c r="HNN56" s="257"/>
      <c r="HNO56" s="240"/>
      <c r="HNR56" s="49"/>
      <c r="HNS56" s="240"/>
      <c r="HNT56" s="240"/>
      <c r="HNU56" s="240"/>
      <c r="HNV56" s="257"/>
      <c r="HNW56" s="240"/>
      <c r="HNX56" s="257"/>
      <c r="HNY56" s="240"/>
      <c r="HOB56" s="49"/>
      <c r="HOC56" s="240"/>
      <c r="HOD56" s="240"/>
      <c r="HOE56" s="240"/>
      <c r="HOF56" s="257"/>
      <c r="HOG56" s="240"/>
      <c r="HOH56" s="257"/>
      <c r="HOI56" s="240"/>
      <c r="HOL56" s="49"/>
      <c r="HOM56" s="240"/>
      <c r="HON56" s="240"/>
      <c r="HOO56" s="240"/>
      <c r="HOP56" s="257"/>
      <c r="HOQ56" s="240"/>
      <c r="HOR56" s="257"/>
      <c r="HOS56" s="240"/>
      <c r="HOV56" s="49"/>
      <c r="HOW56" s="240"/>
      <c r="HOX56" s="240"/>
      <c r="HOY56" s="240"/>
      <c r="HOZ56" s="257"/>
      <c r="HPA56" s="240"/>
      <c r="HPB56" s="257"/>
      <c r="HPC56" s="240"/>
      <c r="HPF56" s="49"/>
      <c r="HPG56" s="240"/>
      <c r="HPH56" s="240"/>
      <c r="HPI56" s="240"/>
      <c r="HPJ56" s="257"/>
      <c r="HPK56" s="240"/>
      <c r="HPL56" s="257"/>
      <c r="HPM56" s="240"/>
      <c r="HPP56" s="49"/>
      <c r="HPQ56" s="240"/>
      <c r="HPR56" s="240"/>
      <c r="HPS56" s="240"/>
      <c r="HPT56" s="257"/>
      <c r="HPU56" s="240"/>
      <c r="HPV56" s="257"/>
      <c r="HPW56" s="240"/>
      <c r="HPZ56" s="49"/>
      <c r="HQA56" s="240"/>
      <c r="HQB56" s="240"/>
      <c r="HQC56" s="240"/>
      <c r="HQD56" s="257"/>
      <c r="HQE56" s="240"/>
      <c r="HQF56" s="257"/>
      <c r="HQG56" s="240"/>
      <c r="HQJ56" s="49"/>
      <c r="HQK56" s="240"/>
      <c r="HQL56" s="240"/>
      <c r="HQM56" s="240"/>
      <c r="HQN56" s="257"/>
      <c r="HQO56" s="240"/>
      <c r="HQP56" s="257"/>
      <c r="HQQ56" s="240"/>
      <c r="HQT56" s="49"/>
      <c r="HQU56" s="240"/>
      <c r="HQV56" s="240"/>
      <c r="HQW56" s="240"/>
      <c r="HQX56" s="257"/>
      <c r="HQY56" s="240"/>
      <c r="HQZ56" s="257"/>
      <c r="HRA56" s="240"/>
      <c r="HRD56" s="49"/>
      <c r="HRE56" s="240"/>
      <c r="HRF56" s="240"/>
      <c r="HRG56" s="240"/>
      <c r="HRH56" s="257"/>
      <c r="HRI56" s="240"/>
      <c r="HRJ56" s="257"/>
      <c r="HRK56" s="240"/>
      <c r="HRN56" s="49"/>
      <c r="HRO56" s="240"/>
      <c r="HRP56" s="240"/>
      <c r="HRQ56" s="240"/>
      <c r="HRR56" s="257"/>
      <c r="HRS56" s="240"/>
      <c r="HRT56" s="257"/>
      <c r="HRU56" s="240"/>
      <c r="HRX56" s="49"/>
      <c r="HRY56" s="240"/>
      <c r="HRZ56" s="240"/>
      <c r="HSA56" s="240"/>
      <c r="HSB56" s="257"/>
      <c r="HSC56" s="240"/>
      <c r="HSD56" s="257"/>
      <c r="HSE56" s="240"/>
      <c r="HSH56" s="49"/>
      <c r="HSI56" s="240"/>
      <c r="HSJ56" s="240"/>
      <c r="HSK56" s="240"/>
      <c r="HSL56" s="257"/>
      <c r="HSM56" s="240"/>
      <c r="HSN56" s="257"/>
      <c r="HSO56" s="240"/>
      <c r="HSR56" s="49"/>
      <c r="HSS56" s="240"/>
      <c r="HST56" s="240"/>
      <c r="HSU56" s="240"/>
      <c r="HSV56" s="257"/>
      <c r="HSW56" s="240"/>
      <c r="HSX56" s="257"/>
      <c r="HSY56" s="240"/>
      <c r="HTB56" s="49"/>
      <c r="HTC56" s="240"/>
      <c r="HTD56" s="240"/>
      <c r="HTE56" s="240"/>
      <c r="HTF56" s="257"/>
      <c r="HTG56" s="240"/>
      <c r="HTH56" s="257"/>
      <c r="HTI56" s="240"/>
      <c r="HTL56" s="49"/>
      <c r="HTM56" s="240"/>
      <c r="HTN56" s="240"/>
      <c r="HTO56" s="240"/>
      <c r="HTP56" s="257"/>
      <c r="HTQ56" s="240"/>
      <c r="HTR56" s="257"/>
      <c r="HTS56" s="240"/>
      <c r="HTV56" s="49"/>
      <c r="HTW56" s="240"/>
      <c r="HTX56" s="240"/>
      <c r="HTY56" s="240"/>
      <c r="HTZ56" s="257"/>
      <c r="HUA56" s="240"/>
      <c r="HUB56" s="257"/>
      <c r="HUC56" s="240"/>
      <c r="HUF56" s="49"/>
      <c r="HUG56" s="240"/>
      <c r="HUH56" s="240"/>
      <c r="HUI56" s="240"/>
      <c r="HUJ56" s="257"/>
      <c r="HUK56" s="240"/>
      <c r="HUL56" s="257"/>
      <c r="HUM56" s="240"/>
      <c r="HUP56" s="49"/>
      <c r="HUQ56" s="240"/>
      <c r="HUR56" s="240"/>
      <c r="HUS56" s="240"/>
      <c r="HUT56" s="257"/>
      <c r="HUU56" s="240"/>
      <c r="HUV56" s="257"/>
      <c r="HUW56" s="240"/>
      <c r="HUZ56" s="49"/>
      <c r="HVA56" s="240"/>
      <c r="HVB56" s="240"/>
      <c r="HVC56" s="240"/>
      <c r="HVD56" s="257"/>
      <c r="HVE56" s="240"/>
      <c r="HVF56" s="257"/>
      <c r="HVG56" s="240"/>
      <c r="HVJ56" s="49"/>
      <c r="HVK56" s="240"/>
      <c r="HVL56" s="240"/>
      <c r="HVM56" s="240"/>
      <c r="HVN56" s="257"/>
      <c r="HVO56" s="240"/>
      <c r="HVP56" s="257"/>
      <c r="HVQ56" s="240"/>
      <c r="HVT56" s="49"/>
      <c r="HVU56" s="240"/>
      <c r="HVV56" s="240"/>
      <c r="HVW56" s="240"/>
      <c r="HVX56" s="257"/>
      <c r="HVY56" s="240"/>
      <c r="HVZ56" s="257"/>
      <c r="HWA56" s="240"/>
      <c r="HWD56" s="49"/>
      <c r="HWE56" s="240"/>
      <c r="HWF56" s="240"/>
      <c r="HWG56" s="240"/>
      <c r="HWH56" s="257"/>
      <c r="HWI56" s="240"/>
      <c r="HWJ56" s="257"/>
      <c r="HWK56" s="240"/>
      <c r="HWN56" s="49"/>
      <c r="HWO56" s="240"/>
      <c r="HWP56" s="240"/>
      <c r="HWQ56" s="240"/>
      <c r="HWR56" s="257"/>
      <c r="HWS56" s="240"/>
      <c r="HWT56" s="257"/>
      <c r="HWU56" s="240"/>
      <c r="HWX56" s="49"/>
      <c r="HWY56" s="240"/>
      <c r="HWZ56" s="240"/>
      <c r="HXA56" s="240"/>
      <c r="HXB56" s="257"/>
      <c r="HXC56" s="240"/>
      <c r="HXD56" s="257"/>
      <c r="HXE56" s="240"/>
      <c r="HXH56" s="49"/>
      <c r="HXI56" s="240"/>
      <c r="HXJ56" s="240"/>
      <c r="HXK56" s="240"/>
      <c r="HXL56" s="257"/>
      <c r="HXM56" s="240"/>
      <c r="HXN56" s="257"/>
      <c r="HXO56" s="240"/>
      <c r="HXR56" s="49"/>
      <c r="HXS56" s="240"/>
      <c r="HXT56" s="240"/>
      <c r="HXU56" s="240"/>
      <c r="HXV56" s="257"/>
      <c r="HXW56" s="240"/>
      <c r="HXX56" s="257"/>
      <c r="HXY56" s="240"/>
      <c r="HYB56" s="49"/>
      <c r="HYC56" s="240"/>
      <c r="HYD56" s="240"/>
      <c r="HYE56" s="240"/>
      <c r="HYF56" s="257"/>
      <c r="HYG56" s="240"/>
      <c r="HYH56" s="257"/>
      <c r="HYI56" s="240"/>
      <c r="HYL56" s="49"/>
      <c r="HYM56" s="240"/>
      <c r="HYN56" s="240"/>
      <c r="HYO56" s="240"/>
      <c r="HYP56" s="257"/>
      <c r="HYQ56" s="240"/>
      <c r="HYR56" s="257"/>
      <c r="HYS56" s="240"/>
      <c r="HYV56" s="49"/>
      <c r="HYW56" s="240"/>
      <c r="HYX56" s="240"/>
      <c r="HYY56" s="240"/>
      <c r="HYZ56" s="257"/>
      <c r="HZA56" s="240"/>
      <c r="HZB56" s="257"/>
      <c r="HZC56" s="240"/>
      <c r="HZF56" s="49"/>
      <c r="HZG56" s="240"/>
      <c r="HZH56" s="240"/>
      <c r="HZI56" s="240"/>
      <c r="HZJ56" s="257"/>
      <c r="HZK56" s="240"/>
      <c r="HZL56" s="257"/>
      <c r="HZM56" s="240"/>
      <c r="HZP56" s="49"/>
      <c r="HZQ56" s="240"/>
      <c r="HZR56" s="240"/>
      <c r="HZS56" s="240"/>
      <c r="HZT56" s="257"/>
      <c r="HZU56" s="240"/>
      <c r="HZV56" s="257"/>
      <c r="HZW56" s="240"/>
      <c r="HZZ56" s="49"/>
      <c r="IAA56" s="240"/>
      <c r="IAB56" s="240"/>
      <c r="IAC56" s="240"/>
      <c r="IAD56" s="257"/>
      <c r="IAE56" s="240"/>
      <c r="IAF56" s="257"/>
      <c r="IAG56" s="240"/>
      <c r="IAJ56" s="49"/>
      <c r="IAK56" s="240"/>
      <c r="IAL56" s="240"/>
      <c r="IAM56" s="240"/>
      <c r="IAN56" s="257"/>
      <c r="IAO56" s="240"/>
      <c r="IAP56" s="257"/>
      <c r="IAQ56" s="240"/>
      <c r="IAT56" s="49"/>
      <c r="IAU56" s="240"/>
      <c r="IAV56" s="240"/>
      <c r="IAW56" s="240"/>
      <c r="IAX56" s="257"/>
      <c r="IAY56" s="240"/>
      <c r="IAZ56" s="257"/>
      <c r="IBA56" s="240"/>
      <c r="IBD56" s="49"/>
      <c r="IBE56" s="240"/>
      <c r="IBF56" s="240"/>
      <c r="IBG56" s="240"/>
      <c r="IBH56" s="257"/>
      <c r="IBI56" s="240"/>
      <c r="IBJ56" s="257"/>
      <c r="IBK56" s="240"/>
      <c r="IBN56" s="49"/>
      <c r="IBO56" s="240"/>
      <c r="IBP56" s="240"/>
      <c r="IBQ56" s="240"/>
      <c r="IBR56" s="257"/>
      <c r="IBS56" s="240"/>
      <c r="IBT56" s="257"/>
      <c r="IBU56" s="240"/>
      <c r="IBX56" s="49"/>
      <c r="IBY56" s="240"/>
      <c r="IBZ56" s="240"/>
      <c r="ICA56" s="240"/>
      <c r="ICB56" s="257"/>
      <c r="ICC56" s="240"/>
      <c r="ICD56" s="257"/>
      <c r="ICE56" s="240"/>
      <c r="ICH56" s="49"/>
      <c r="ICI56" s="240"/>
      <c r="ICJ56" s="240"/>
      <c r="ICK56" s="240"/>
      <c r="ICL56" s="257"/>
      <c r="ICM56" s="240"/>
      <c r="ICN56" s="257"/>
      <c r="ICO56" s="240"/>
      <c r="ICR56" s="49"/>
      <c r="ICS56" s="240"/>
      <c r="ICT56" s="240"/>
      <c r="ICU56" s="240"/>
      <c r="ICV56" s="257"/>
      <c r="ICW56" s="240"/>
      <c r="ICX56" s="257"/>
      <c r="ICY56" s="240"/>
      <c r="IDB56" s="49"/>
      <c r="IDC56" s="240"/>
      <c r="IDD56" s="240"/>
      <c r="IDE56" s="240"/>
      <c r="IDF56" s="257"/>
      <c r="IDG56" s="240"/>
      <c r="IDH56" s="257"/>
      <c r="IDI56" s="240"/>
      <c r="IDL56" s="49"/>
      <c r="IDM56" s="240"/>
      <c r="IDN56" s="240"/>
      <c r="IDO56" s="240"/>
      <c r="IDP56" s="257"/>
      <c r="IDQ56" s="240"/>
      <c r="IDR56" s="257"/>
      <c r="IDS56" s="240"/>
      <c r="IDV56" s="49"/>
      <c r="IDW56" s="240"/>
      <c r="IDX56" s="240"/>
      <c r="IDY56" s="240"/>
      <c r="IDZ56" s="257"/>
      <c r="IEA56" s="240"/>
      <c r="IEB56" s="257"/>
      <c r="IEC56" s="240"/>
      <c r="IEF56" s="49"/>
      <c r="IEG56" s="240"/>
      <c r="IEH56" s="240"/>
      <c r="IEI56" s="240"/>
      <c r="IEJ56" s="257"/>
      <c r="IEK56" s="240"/>
      <c r="IEL56" s="257"/>
      <c r="IEM56" s="240"/>
      <c r="IEP56" s="49"/>
      <c r="IEQ56" s="240"/>
      <c r="IER56" s="240"/>
      <c r="IES56" s="240"/>
      <c r="IET56" s="257"/>
      <c r="IEU56" s="240"/>
      <c r="IEV56" s="257"/>
      <c r="IEW56" s="240"/>
      <c r="IEZ56" s="49"/>
      <c r="IFA56" s="240"/>
      <c r="IFB56" s="240"/>
      <c r="IFC56" s="240"/>
      <c r="IFD56" s="257"/>
      <c r="IFE56" s="240"/>
      <c r="IFF56" s="257"/>
      <c r="IFG56" s="240"/>
      <c r="IFJ56" s="49"/>
      <c r="IFK56" s="240"/>
      <c r="IFL56" s="240"/>
      <c r="IFM56" s="240"/>
      <c r="IFN56" s="257"/>
      <c r="IFO56" s="240"/>
      <c r="IFP56" s="257"/>
      <c r="IFQ56" s="240"/>
      <c r="IFT56" s="49"/>
      <c r="IFU56" s="240"/>
      <c r="IFV56" s="240"/>
      <c r="IFW56" s="240"/>
      <c r="IFX56" s="257"/>
      <c r="IFY56" s="240"/>
      <c r="IFZ56" s="257"/>
      <c r="IGA56" s="240"/>
      <c r="IGD56" s="49"/>
      <c r="IGE56" s="240"/>
      <c r="IGF56" s="240"/>
      <c r="IGG56" s="240"/>
      <c r="IGH56" s="257"/>
      <c r="IGI56" s="240"/>
      <c r="IGJ56" s="257"/>
      <c r="IGK56" s="240"/>
      <c r="IGN56" s="49"/>
      <c r="IGO56" s="240"/>
      <c r="IGP56" s="240"/>
      <c r="IGQ56" s="240"/>
      <c r="IGR56" s="257"/>
      <c r="IGS56" s="240"/>
      <c r="IGT56" s="257"/>
      <c r="IGU56" s="240"/>
      <c r="IGX56" s="49"/>
      <c r="IGY56" s="240"/>
      <c r="IGZ56" s="240"/>
      <c r="IHA56" s="240"/>
      <c r="IHB56" s="257"/>
      <c r="IHC56" s="240"/>
      <c r="IHD56" s="257"/>
      <c r="IHE56" s="240"/>
      <c r="IHH56" s="49"/>
      <c r="IHI56" s="240"/>
      <c r="IHJ56" s="240"/>
      <c r="IHK56" s="240"/>
      <c r="IHL56" s="257"/>
      <c r="IHM56" s="240"/>
      <c r="IHN56" s="257"/>
      <c r="IHO56" s="240"/>
      <c r="IHR56" s="49"/>
      <c r="IHS56" s="240"/>
      <c r="IHT56" s="240"/>
      <c r="IHU56" s="240"/>
      <c r="IHV56" s="257"/>
      <c r="IHW56" s="240"/>
      <c r="IHX56" s="257"/>
      <c r="IHY56" s="240"/>
      <c r="IIB56" s="49"/>
      <c r="IIC56" s="240"/>
      <c r="IID56" s="240"/>
      <c r="IIE56" s="240"/>
      <c r="IIF56" s="257"/>
      <c r="IIG56" s="240"/>
      <c r="IIH56" s="257"/>
      <c r="III56" s="240"/>
      <c r="IIL56" s="49"/>
      <c r="IIM56" s="240"/>
      <c r="IIN56" s="240"/>
      <c r="IIO56" s="240"/>
      <c r="IIP56" s="257"/>
      <c r="IIQ56" s="240"/>
      <c r="IIR56" s="257"/>
      <c r="IIS56" s="240"/>
      <c r="IIV56" s="49"/>
      <c r="IIW56" s="240"/>
      <c r="IIX56" s="240"/>
      <c r="IIY56" s="240"/>
      <c r="IIZ56" s="257"/>
      <c r="IJA56" s="240"/>
      <c r="IJB56" s="257"/>
      <c r="IJC56" s="240"/>
      <c r="IJF56" s="49"/>
      <c r="IJG56" s="240"/>
      <c r="IJH56" s="240"/>
      <c r="IJI56" s="240"/>
      <c r="IJJ56" s="257"/>
      <c r="IJK56" s="240"/>
      <c r="IJL56" s="257"/>
      <c r="IJM56" s="240"/>
      <c r="IJP56" s="49"/>
      <c r="IJQ56" s="240"/>
      <c r="IJR56" s="240"/>
      <c r="IJS56" s="240"/>
      <c r="IJT56" s="257"/>
      <c r="IJU56" s="240"/>
      <c r="IJV56" s="257"/>
      <c r="IJW56" s="240"/>
      <c r="IJZ56" s="49"/>
      <c r="IKA56" s="240"/>
      <c r="IKB56" s="240"/>
      <c r="IKC56" s="240"/>
      <c r="IKD56" s="257"/>
      <c r="IKE56" s="240"/>
      <c r="IKF56" s="257"/>
      <c r="IKG56" s="240"/>
      <c r="IKJ56" s="49"/>
      <c r="IKK56" s="240"/>
      <c r="IKL56" s="240"/>
      <c r="IKM56" s="240"/>
      <c r="IKN56" s="257"/>
      <c r="IKO56" s="240"/>
      <c r="IKP56" s="257"/>
      <c r="IKQ56" s="240"/>
      <c r="IKT56" s="49"/>
      <c r="IKU56" s="240"/>
      <c r="IKV56" s="240"/>
      <c r="IKW56" s="240"/>
      <c r="IKX56" s="257"/>
      <c r="IKY56" s="240"/>
      <c r="IKZ56" s="257"/>
      <c r="ILA56" s="240"/>
      <c r="ILD56" s="49"/>
      <c r="ILE56" s="240"/>
      <c r="ILF56" s="240"/>
      <c r="ILG56" s="240"/>
      <c r="ILH56" s="257"/>
      <c r="ILI56" s="240"/>
      <c r="ILJ56" s="257"/>
      <c r="ILK56" s="240"/>
      <c r="ILN56" s="49"/>
      <c r="ILO56" s="240"/>
      <c r="ILP56" s="240"/>
      <c r="ILQ56" s="240"/>
      <c r="ILR56" s="257"/>
      <c r="ILS56" s="240"/>
      <c r="ILT56" s="257"/>
      <c r="ILU56" s="240"/>
      <c r="ILX56" s="49"/>
      <c r="ILY56" s="240"/>
      <c r="ILZ56" s="240"/>
      <c r="IMA56" s="240"/>
      <c r="IMB56" s="257"/>
      <c r="IMC56" s="240"/>
      <c r="IMD56" s="257"/>
      <c r="IME56" s="240"/>
      <c r="IMH56" s="49"/>
      <c r="IMI56" s="240"/>
      <c r="IMJ56" s="240"/>
      <c r="IMK56" s="240"/>
      <c r="IML56" s="257"/>
      <c r="IMM56" s="240"/>
      <c r="IMN56" s="257"/>
      <c r="IMO56" s="240"/>
      <c r="IMR56" s="49"/>
      <c r="IMS56" s="240"/>
      <c r="IMT56" s="240"/>
      <c r="IMU56" s="240"/>
      <c r="IMV56" s="257"/>
      <c r="IMW56" s="240"/>
      <c r="IMX56" s="257"/>
      <c r="IMY56" s="240"/>
      <c r="INB56" s="49"/>
      <c r="INC56" s="240"/>
      <c r="IND56" s="240"/>
      <c r="INE56" s="240"/>
      <c r="INF56" s="257"/>
      <c r="ING56" s="240"/>
      <c r="INH56" s="257"/>
      <c r="INI56" s="240"/>
      <c r="INL56" s="49"/>
      <c r="INM56" s="240"/>
      <c r="INN56" s="240"/>
      <c r="INO56" s="240"/>
      <c r="INP56" s="257"/>
      <c r="INQ56" s="240"/>
      <c r="INR56" s="257"/>
      <c r="INS56" s="240"/>
      <c r="INV56" s="49"/>
      <c r="INW56" s="240"/>
      <c r="INX56" s="240"/>
      <c r="INY56" s="240"/>
      <c r="INZ56" s="257"/>
      <c r="IOA56" s="240"/>
      <c r="IOB56" s="257"/>
      <c r="IOC56" s="240"/>
      <c r="IOF56" s="49"/>
      <c r="IOG56" s="240"/>
      <c r="IOH56" s="240"/>
      <c r="IOI56" s="240"/>
      <c r="IOJ56" s="257"/>
      <c r="IOK56" s="240"/>
      <c r="IOL56" s="257"/>
      <c r="IOM56" s="240"/>
      <c r="IOP56" s="49"/>
      <c r="IOQ56" s="240"/>
      <c r="IOR56" s="240"/>
      <c r="IOS56" s="240"/>
      <c r="IOT56" s="257"/>
      <c r="IOU56" s="240"/>
      <c r="IOV56" s="257"/>
      <c r="IOW56" s="240"/>
      <c r="IOZ56" s="49"/>
      <c r="IPA56" s="240"/>
      <c r="IPB56" s="240"/>
      <c r="IPC56" s="240"/>
      <c r="IPD56" s="257"/>
      <c r="IPE56" s="240"/>
      <c r="IPF56" s="257"/>
      <c r="IPG56" s="240"/>
      <c r="IPJ56" s="49"/>
      <c r="IPK56" s="240"/>
      <c r="IPL56" s="240"/>
      <c r="IPM56" s="240"/>
      <c r="IPN56" s="257"/>
      <c r="IPO56" s="240"/>
      <c r="IPP56" s="257"/>
      <c r="IPQ56" s="240"/>
      <c r="IPT56" s="49"/>
      <c r="IPU56" s="240"/>
      <c r="IPV56" s="240"/>
      <c r="IPW56" s="240"/>
      <c r="IPX56" s="257"/>
      <c r="IPY56" s="240"/>
      <c r="IPZ56" s="257"/>
      <c r="IQA56" s="240"/>
      <c r="IQD56" s="49"/>
      <c r="IQE56" s="240"/>
      <c r="IQF56" s="240"/>
      <c r="IQG56" s="240"/>
      <c r="IQH56" s="257"/>
      <c r="IQI56" s="240"/>
      <c r="IQJ56" s="257"/>
      <c r="IQK56" s="240"/>
      <c r="IQN56" s="49"/>
      <c r="IQO56" s="240"/>
      <c r="IQP56" s="240"/>
      <c r="IQQ56" s="240"/>
      <c r="IQR56" s="257"/>
      <c r="IQS56" s="240"/>
      <c r="IQT56" s="257"/>
      <c r="IQU56" s="240"/>
      <c r="IQX56" s="49"/>
      <c r="IQY56" s="240"/>
      <c r="IQZ56" s="240"/>
      <c r="IRA56" s="240"/>
      <c r="IRB56" s="257"/>
      <c r="IRC56" s="240"/>
      <c r="IRD56" s="257"/>
      <c r="IRE56" s="240"/>
      <c r="IRH56" s="49"/>
      <c r="IRI56" s="240"/>
      <c r="IRJ56" s="240"/>
      <c r="IRK56" s="240"/>
      <c r="IRL56" s="257"/>
      <c r="IRM56" s="240"/>
      <c r="IRN56" s="257"/>
      <c r="IRO56" s="240"/>
      <c r="IRR56" s="49"/>
      <c r="IRS56" s="240"/>
      <c r="IRT56" s="240"/>
      <c r="IRU56" s="240"/>
      <c r="IRV56" s="257"/>
      <c r="IRW56" s="240"/>
      <c r="IRX56" s="257"/>
      <c r="IRY56" s="240"/>
      <c r="ISB56" s="49"/>
      <c r="ISC56" s="240"/>
      <c r="ISD56" s="240"/>
      <c r="ISE56" s="240"/>
      <c r="ISF56" s="257"/>
      <c r="ISG56" s="240"/>
      <c r="ISH56" s="257"/>
      <c r="ISI56" s="240"/>
      <c r="ISL56" s="49"/>
      <c r="ISM56" s="240"/>
      <c r="ISN56" s="240"/>
      <c r="ISO56" s="240"/>
      <c r="ISP56" s="257"/>
      <c r="ISQ56" s="240"/>
      <c r="ISR56" s="257"/>
      <c r="ISS56" s="240"/>
      <c r="ISV56" s="49"/>
      <c r="ISW56" s="240"/>
      <c r="ISX56" s="240"/>
      <c r="ISY56" s="240"/>
      <c r="ISZ56" s="257"/>
      <c r="ITA56" s="240"/>
      <c r="ITB56" s="257"/>
      <c r="ITC56" s="240"/>
      <c r="ITF56" s="49"/>
      <c r="ITG56" s="240"/>
      <c r="ITH56" s="240"/>
      <c r="ITI56" s="240"/>
      <c r="ITJ56" s="257"/>
      <c r="ITK56" s="240"/>
      <c r="ITL56" s="257"/>
      <c r="ITM56" s="240"/>
      <c r="ITP56" s="49"/>
      <c r="ITQ56" s="240"/>
      <c r="ITR56" s="240"/>
      <c r="ITS56" s="240"/>
      <c r="ITT56" s="257"/>
      <c r="ITU56" s="240"/>
      <c r="ITV56" s="257"/>
      <c r="ITW56" s="240"/>
      <c r="ITZ56" s="49"/>
      <c r="IUA56" s="240"/>
      <c r="IUB56" s="240"/>
      <c r="IUC56" s="240"/>
      <c r="IUD56" s="257"/>
      <c r="IUE56" s="240"/>
      <c r="IUF56" s="257"/>
      <c r="IUG56" s="240"/>
      <c r="IUJ56" s="49"/>
      <c r="IUK56" s="240"/>
      <c r="IUL56" s="240"/>
      <c r="IUM56" s="240"/>
      <c r="IUN56" s="257"/>
      <c r="IUO56" s="240"/>
      <c r="IUP56" s="257"/>
      <c r="IUQ56" s="240"/>
      <c r="IUT56" s="49"/>
      <c r="IUU56" s="240"/>
      <c r="IUV56" s="240"/>
      <c r="IUW56" s="240"/>
      <c r="IUX56" s="257"/>
      <c r="IUY56" s="240"/>
      <c r="IUZ56" s="257"/>
      <c r="IVA56" s="240"/>
      <c r="IVD56" s="49"/>
      <c r="IVE56" s="240"/>
      <c r="IVF56" s="240"/>
      <c r="IVG56" s="240"/>
      <c r="IVH56" s="257"/>
      <c r="IVI56" s="240"/>
      <c r="IVJ56" s="257"/>
      <c r="IVK56" s="240"/>
      <c r="IVN56" s="49"/>
      <c r="IVO56" s="240"/>
      <c r="IVP56" s="240"/>
      <c r="IVQ56" s="240"/>
      <c r="IVR56" s="257"/>
      <c r="IVS56" s="240"/>
      <c r="IVT56" s="257"/>
      <c r="IVU56" s="240"/>
      <c r="IVX56" s="49"/>
      <c r="IVY56" s="240"/>
      <c r="IVZ56" s="240"/>
      <c r="IWA56" s="240"/>
      <c r="IWB56" s="257"/>
      <c r="IWC56" s="240"/>
      <c r="IWD56" s="257"/>
      <c r="IWE56" s="240"/>
      <c r="IWH56" s="49"/>
      <c r="IWI56" s="240"/>
      <c r="IWJ56" s="240"/>
      <c r="IWK56" s="240"/>
      <c r="IWL56" s="257"/>
      <c r="IWM56" s="240"/>
      <c r="IWN56" s="257"/>
      <c r="IWO56" s="240"/>
      <c r="IWR56" s="49"/>
      <c r="IWS56" s="240"/>
      <c r="IWT56" s="240"/>
      <c r="IWU56" s="240"/>
      <c r="IWV56" s="257"/>
      <c r="IWW56" s="240"/>
      <c r="IWX56" s="257"/>
      <c r="IWY56" s="240"/>
      <c r="IXB56" s="49"/>
      <c r="IXC56" s="240"/>
      <c r="IXD56" s="240"/>
      <c r="IXE56" s="240"/>
      <c r="IXF56" s="257"/>
      <c r="IXG56" s="240"/>
      <c r="IXH56" s="257"/>
      <c r="IXI56" s="240"/>
      <c r="IXL56" s="49"/>
      <c r="IXM56" s="240"/>
      <c r="IXN56" s="240"/>
      <c r="IXO56" s="240"/>
      <c r="IXP56" s="257"/>
      <c r="IXQ56" s="240"/>
      <c r="IXR56" s="257"/>
      <c r="IXS56" s="240"/>
      <c r="IXV56" s="49"/>
      <c r="IXW56" s="240"/>
      <c r="IXX56" s="240"/>
      <c r="IXY56" s="240"/>
      <c r="IXZ56" s="257"/>
      <c r="IYA56" s="240"/>
      <c r="IYB56" s="257"/>
      <c r="IYC56" s="240"/>
      <c r="IYF56" s="49"/>
      <c r="IYG56" s="240"/>
      <c r="IYH56" s="240"/>
      <c r="IYI56" s="240"/>
      <c r="IYJ56" s="257"/>
      <c r="IYK56" s="240"/>
      <c r="IYL56" s="257"/>
      <c r="IYM56" s="240"/>
      <c r="IYP56" s="49"/>
      <c r="IYQ56" s="240"/>
      <c r="IYR56" s="240"/>
      <c r="IYS56" s="240"/>
      <c r="IYT56" s="257"/>
      <c r="IYU56" s="240"/>
      <c r="IYV56" s="257"/>
      <c r="IYW56" s="240"/>
      <c r="IYZ56" s="49"/>
      <c r="IZA56" s="240"/>
      <c r="IZB56" s="240"/>
      <c r="IZC56" s="240"/>
      <c r="IZD56" s="257"/>
      <c r="IZE56" s="240"/>
      <c r="IZF56" s="257"/>
      <c r="IZG56" s="240"/>
      <c r="IZJ56" s="49"/>
      <c r="IZK56" s="240"/>
      <c r="IZL56" s="240"/>
      <c r="IZM56" s="240"/>
      <c r="IZN56" s="257"/>
      <c r="IZO56" s="240"/>
      <c r="IZP56" s="257"/>
      <c r="IZQ56" s="240"/>
      <c r="IZT56" s="49"/>
      <c r="IZU56" s="240"/>
      <c r="IZV56" s="240"/>
      <c r="IZW56" s="240"/>
      <c r="IZX56" s="257"/>
      <c r="IZY56" s="240"/>
      <c r="IZZ56" s="257"/>
      <c r="JAA56" s="240"/>
      <c r="JAD56" s="49"/>
      <c r="JAE56" s="240"/>
      <c r="JAF56" s="240"/>
      <c r="JAG56" s="240"/>
      <c r="JAH56" s="257"/>
      <c r="JAI56" s="240"/>
      <c r="JAJ56" s="257"/>
      <c r="JAK56" s="240"/>
      <c r="JAN56" s="49"/>
      <c r="JAO56" s="240"/>
      <c r="JAP56" s="240"/>
      <c r="JAQ56" s="240"/>
      <c r="JAR56" s="257"/>
      <c r="JAS56" s="240"/>
      <c r="JAT56" s="257"/>
      <c r="JAU56" s="240"/>
      <c r="JAX56" s="49"/>
      <c r="JAY56" s="240"/>
      <c r="JAZ56" s="240"/>
      <c r="JBA56" s="240"/>
      <c r="JBB56" s="257"/>
      <c r="JBC56" s="240"/>
      <c r="JBD56" s="257"/>
      <c r="JBE56" s="240"/>
      <c r="JBH56" s="49"/>
      <c r="JBI56" s="240"/>
      <c r="JBJ56" s="240"/>
      <c r="JBK56" s="240"/>
      <c r="JBL56" s="257"/>
      <c r="JBM56" s="240"/>
      <c r="JBN56" s="257"/>
      <c r="JBO56" s="240"/>
      <c r="JBR56" s="49"/>
      <c r="JBS56" s="240"/>
      <c r="JBT56" s="240"/>
      <c r="JBU56" s="240"/>
      <c r="JBV56" s="257"/>
      <c r="JBW56" s="240"/>
      <c r="JBX56" s="257"/>
      <c r="JBY56" s="240"/>
      <c r="JCB56" s="49"/>
      <c r="JCC56" s="240"/>
      <c r="JCD56" s="240"/>
      <c r="JCE56" s="240"/>
      <c r="JCF56" s="257"/>
      <c r="JCG56" s="240"/>
      <c r="JCH56" s="257"/>
      <c r="JCI56" s="240"/>
      <c r="JCL56" s="49"/>
      <c r="JCM56" s="240"/>
      <c r="JCN56" s="240"/>
      <c r="JCO56" s="240"/>
      <c r="JCP56" s="257"/>
      <c r="JCQ56" s="240"/>
      <c r="JCR56" s="257"/>
      <c r="JCS56" s="240"/>
      <c r="JCV56" s="49"/>
      <c r="JCW56" s="240"/>
      <c r="JCX56" s="240"/>
      <c r="JCY56" s="240"/>
      <c r="JCZ56" s="257"/>
      <c r="JDA56" s="240"/>
      <c r="JDB56" s="257"/>
      <c r="JDC56" s="240"/>
      <c r="JDF56" s="49"/>
      <c r="JDG56" s="240"/>
      <c r="JDH56" s="240"/>
      <c r="JDI56" s="240"/>
      <c r="JDJ56" s="257"/>
      <c r="JDK56" s="240"/>
      <c r="JDL56" s="257"/>
      <c r="JDM56" s="240"/>
      <c r="JDP56" s="49"/>
      <c r="JDQ56" s="240"/>
      <c r="JDR56" s="240"/>
      <c r="JDS56" s="240"/>
      <c r="JDT56" s="257"/>
      <c r="JDU56" s="240"/>
      <c r="JDV56" s="257"/>
      <c r="JDW56" s="240"/>
      <c r="JDZ56" s="49"/>
      <c r="JEA56" s="240"/>
      <c r="JEB56" s="240"/>
      <c r="JEC56" s="240"/>
      <c r="JED56" s="257"/>
      <c r="JEE56" s="240"/>
      <c r="JEF56" s="257"/>
      <c r="JEG56" s="240"/>
      <c r="JEJ56" s="49"/>
      <c r="JEK56" s="240"/>
      <c r="JEL56" s="240"/>
      <c r="JEM56" s="240"/>
      <c r="JEN56" s="257"/>
      <c r="JEO56" s="240"/>
      <c r="JEP56" s="257"/>
      <c r="JEQ56" s="240"/>
      <c r="JET56" s="49"/>
      <c r="JEU56" s="240"/>
      <c r="JEV56" s="240"/>
      <c r="JEW56" s="240"/>
      <c r="JEX56" s="257"/>
      <c r="JEY56" s="240"/>
      <c r="JEZ56" s="257"/>
      <c r="JFA56" s="240"/>
      <c r="JFD56" s="49"/>
      <c r="JFE56" s="240"/>
      <c r="JFF56" s="240"/>
      <c r="JFG56" s="240"/>
      <c r="JFH56" s="257"/>
      <c r="JFI56" s="240"/>
      <c r="JFJ56" s="257"/>
      <c r="JFK56" s="240"/>
      <c r="JFN56" s="49"/>
      <c r="JFO56" s="240"/>
      <c r="JFP56" s="240"/>
      <c r="JFQ56" s="240"/>
      <c r="JFR56" s="257"/>
      <c r="JFS56" s="240"/>
      <c r="JFT56" s="257"/>
      <c r="JFU56" s="240"/>
      <c r="JFX56" s="49"/>
      <c r="JFY56" s="240"/>
      <c r="JFZ56" s="240"/>
      <c r="JGA56" s="240"/>
      <c r="JGB56" s="257"/>
      <c r="JGC56" s="240"/>
      <c r="JGD56" s="257"/>
      <c r="JGE56" s="240"/>
      <c r="JGH56" s="49"/>
      <c r="JGI56" s="240"/>
      <c r="JGJ56" s="240"/>
      <c r="JGK56" s="240"/>
      <c r="JGL56" s="257"/>
      <c r="JGM56" s="240"/>
      <c r="JGN56" s="257"/>
      <c r="JGO56" s="240"/>
      <c r="JGR56" s="49"/>
      <c r="JGS56" s="240"/>
      <c r="JGT56" s="240"/>
      <c r="JGU56" s="240"/>
      <c r="JGV56" s="257"/>
      <c r="JGW56" s="240"/>
      <c r="JGX56" s="257"/>
      <c r="JGY56" s="240"/>
      <c r="JHB56" s="49"/>
      <c r="JHC56" s="240"/>
      <c r="JHD56" s="240"/>
      <c r="JHE56" s="240"/>
      <c r="JHF56" s="257"/>
      <c r="JHG56" s="240"/>
      <c r="JHH56" s="257"/>
      <c r="JHI56" s="240"/>
      <c r="JHL56" s="49"/>
      <c r="JHM56" s="240"/>
      <c r="JHN56" s="240"/>
      <c r="JHO56" s="240"/>
      <c r="JHP56" s="257"/>
      <c r="JHQ56" s="240"/>
      <c r="JHR56" s="257"/>
      <c r="JHS56" s="240"/>
      <c r="JHV56" s="49"/>
      <c r="JHW56" s="240"/>
      <c r="JHX56" s="240"/>
      <c r="JHY56" s="240"/>
      <c r="JHZ56" s="257"/>
      <c r="JIA56" s="240"/>
      <c r="JIB56" s="257"/>
      <c r="JIC56" s="240"/>
      <c r="JIF56" s="49"/>
      <c r="JIG56" s="240"/>
      <c r="JIH56" s="240"/>
      <c r="JII56" s="240"/>
      <c r="JIJ56" s="257"/>
      <c r="JIK56" s="240"/>
      <c r="JIL56" s="257"/>
      <c r="JIM56" s="240"/>
      <c r="JIP56" s="49"/>
      <c r="JIQ56" s="240"/>
      <c r="JIR56" s="240"/>
      <c r="JIS56" s="240"/>
      <c r="JIT56" s="257"/>
      <c r="JIU56" s="240"/>
      <c r="JIV56" s="257"/>
      <c r="JIW56" s="240"/>
      <c r="JIZ56" s="49"/>
      <c r="JJA56" s="240"/>
      <c r="JJB56" s="240"/>
      <c r="JJC56" s="240"/>
      <c r="JJD56" s="257"/>
      <c r="JJE56" s="240"/>
      <c r="JJF56" s="257"/>
      <c r="JJG56" s="240"/>
      <c r="JJJ56" s="49"/>
      <c r="JJK56" s="240"/>
      <c r="JJL56" s="240"/>
      <c r="JJM56" s="240"/>
      <c r="JJN56" s="257"/>
      <c r="JJO56" s="240"/>
      <c r="JJP56" s="257"/>
      <c r="JJQ56" s="240"/>
      <c r="JJT56" s="49"/>
      <c r="JJU56" s="240"/>
      <c r="JJV56" s="240"/>
      <c r="JJW56" s="240"/>
      <c r="JJX56" s="257"/>
      <c r="JJY56" s="240"/>
      <c r="JJZ56" s="257"/>
      <c r="JKA56" s="240"/>
      <c r="JKD56" s="49"/>
      <c r="JKE56" s="240"/>
      <c r="JKF56" s="240"/>
      <c r="JKG56" s="240"/>
      <c r="JKH56" s="257"/>
      <c r="JKI56" s="240"/>
      <c r="JKJ56" s="257"/>
      <c r="JKK56" s="240"/>
      <c r="JKN56" s="49"/>
      <c r="JKO56" s="240"/>
      <c r="JKP56" s="240"/>
      <c r="JKQ56" s="240"/>
      <c r="JKR56" s="257"/>
      <c r="JKS56" s="240"/>
      <c r="JKT56" s="257"/>
      <c r="JKU56" s="240"/>
      <c r="JKX56" s="49"/>
      <c r="JKY56" s="240"/>
      <c r="JKZ56" s="240"/>
      <c r="JLA56" s="240"/>
      <c r="JLB56" s="257"/>
      <c r="JLC56" s="240"/>
      <c r="JLD56" s="257"/>
      <c r="JLE56" s="240"/>
      <c r="JLH56" s="49"/>
      <c r="JLI56" s="240"/>
      <c r="JLJ56" s="240"/>
      <c r="JLK56" s="240"/>
      <c r="JLL56" s="257"/>
      <c r="JLM56" s="240"/>
      <c r="JLN56" s="257"/>
      <c r="JLO56" s="240"/>
      <c r="JLR56" s="49"/>
      <c r="JLS56" s="240"/>
      <c r="JLT56" s="240"/>
      <c r="JLU56" s="240"/>
      <c r="JLV56" s="257"/>
      <c r="JLW56" s="240"/>
      <c r="JLX56" s="257"/>
      <c r="JLY56" s="240"/>
      <c r="JMB56" s="49"/>
      <c r="JMC56" s="240"/>
      <c r="JMD56" s="240"/>
      <c r="JME56" s="240"/>
      <c r="JMF56" s="257"/>
      <c r="JMG56" s="240"/>
      <c r="JMH56" s="257"/>
      <c r="JMI56" s="240"/>
      <c r="JML56" s="49"/>
      <c r="JMM56" s="240"/>
      <c r="JMN56" s="240"/>
      <c r="JMO56" s="240"/>
      <c r="JMP56" s="257"/>
      <c r="JMQ56" s="240"/>
      <c r="JMR56" s="257"/>
      <c r="JMS56" s="240"/>
      <c r="JMV56" s="49"/>
      <c r="JMW56" s="240"/>
      <c r="JMX56" s="240"/>
      <c r="JMY56" s="240"/>
      <c r="JMZ56" s="257"/>
      <c r="JNA56" s="240"/>
      <c r="JNB56" s="257"/>
      <c r="JNC56" s="240"/>
      <c r="JNF56" s="49"/>
      <c r="JNG56" s="240"/>
      <c r="JNH56" s="240"/>
      <c r="JNI56" s="240"/>
      <c r="JNJ56" s="257"/>
      <c r="JNK56" s="240"/>
      <c r="JNL56" s="257"/>
      <c r="JNM56" s="240"/>
      <c r="JNP56" s="49"/>
      <c r="JNQ56" s="240"/>
      <c r="JNR56" s="240"/>
      <c r="JNS56" s="240"/>
      <c r="JNT56" s="257"/>
      <c r="JNU56" s="240"/>
      <c r="JNV56" s="257"/>
      <c r="JNW56" s="240"/>
      <c r="JNZ56" s="49"/>
      <c r="JOA56" s="240"/>
      <c r="JOB56" s="240"/>
      <c r="JOC56" s="240"/>
      <c r="JOD56" s="257"/>
      <c r="JOE56" s="240"/>
      <c r="JOF56" s="257"/>
      <c r="JOG56" s="240"/>
      <c r="JOJ56" s="49"/>
      <c r="JOK56" s="240"/>
      <c r="JOL56" s="240"/>
      <c r="JOM56" s="240"/>
      <c r="JON56" s="257"/>
      <c r="JOO56" s="240"/>
      <c r="JOP56" s="257"/>
      <c r="JOQ56" s="240"/>
      <c r="JOT56" s="49"/>
      <c r="JOU56" s="240"/>
      <c r="JOV56" s="240"/>
      <c r="JOW56" s="240"/>
      <c r="JOX56" s="257"/>
      <c r="JOY56" s="240"/>
      <c r="JOZ56" s="257"/>
      <c r="JPA56" s="240"/>
      <c r="JPD56" s="49"/>
      <c r="JPE56" s="240"/>
      <c r="JPF56" s="240"/>
      <c r="JPG56" s="240"/>
      <c r="JPH56" s="257"/>
      <c r="JPI56" s="240"/>
      <c r="JPJ56" s="257"/>
      <c r="JPK56" s="240"/>
      <c r="JPN56" s="49"/>
      <c r="JPO56" s="240"/>
      <c r="JPP56" s="240"/>
      <c r="JPQ56" s="240"/>
      <c r="JPR56" s="257"/>
      <c r="JPS56" s="240"/>
      <c r="JPT56" s="257"/>
      <c r="JPU56" s="240"/>
      <c r="JPX56" s="49"/>
      <c r="JPY56" s="240"/>
      <c r="JPZ56" s="240"/>
      <c r="JQA56" s="240"/>
      <c r="JQB56" s="257"/>
      <c r="JQC56" s="240"/>
      <c r="JQD56" s="257"/>
      <c r="JQE56" s="240"/>
      <c r="JQH56" s="49"/>
      <c r="JQI56" s="240"/>
      <c r="JQJ56" s="240"/>
      <c r="JQK56" s="240"/>
      <c r="JQL56" s="257"/>
      <c r="JQM56" s="240"/>
      <c r="JQN56" s="257"/>
      <c r="JQO56" s="240"/>
      <c r="JQR56" s="49"/>
      <c r="JQS56" s="240"/>
      <c r="JQT56" s="240"/>
      <c r="JQU56" s="240"/>
      <c r="JQV56" s="257"/>
      <c r="JQW56" s="240"/>
      <c r="JQX56" s="257"/>
      <c r="JQY56" s="240"/>
      <c r="JRB56" s="49"/>
      <c r="JRC56" s="240"/>
      <c r="JRD56" s="240"/>
      <c r="JRE56" s="240"/>
      <c r="JRF56" s="257"/>
      <c r="JRG56" s="240"/>
      <c r="JRH56" s="257"/>
      <c r="JRI56" s="240"/>
      <c r="JRL56" s="49"/>
      <c r="JRM56" s="240"/>
      <c r="JRN56" s="240"/>
      <c r="JRO56" s="240"/>
      <c r="JRP56" s="257"/>
      <c r="JRQ56" s="240"/>
      <c r="JRR56" s="257"/>
      <c r="JRS56" s="240"/>
      <c r="JRV56" s="49"/>
      <c r="JRW56" s="240"/>
      <c r="JRX56" s="240"/>
      <c r="JRY56" s="240"/>
      <c r="JRZ56" s="257"/>
      <c r="JSA56" s="240"/>
      <c r="JSB56" s="257"/>
      <c r="JSC56" s="240"/>
      <c r="JSF56" s="49"/>
      <c r="JSG56" s="240"/>
      <c r="JSH56" s="240"/>
      <c r="JSI56" s="240"/>
      <c r="JSJ56" s="257"/>
      <c r="JSK56" s="240"/>
      <c r="JSL56" s="257"/>
      <c r="JSM56" s="240"/>
      <c r="JSP56" s="49"/>
      <c r="JSQ56" s="240"/>
      <c r="JSR56" s="240"/>
      <c r="JSS56" s="240"/>
      <c r="JST56" s="257"/>
      <c r="JSU56" s="240"/>
      <c r="JSV56" s="257"/>
      <c r="JSW56" s="240"/>
      <c r="JSZ56" s="49"/>
      <c r="JTA56" s="240"/>
      <c r="JTB56" s="240"/>
      <c r="JTC56" s="240"/>
      <c r="JTD56" s="257"/>
      <c r="JTE56" s="240"/>
      <c r="JTF56" s="257"/>
      <c r="JTG56" s="240"/>
      <c r="JTJ56" s="49"/>
      <c r="JTK56" s="240"/>
      <c r="JTL56" s="240"/>
      <c r="JTM56" s="240"/>
      <c r="JTN56" s="257"/>
      <c r="JTO56" s="240"/>
      <c r="JTP56" s="257"/>
      <c r="JTQ56" s="240"/>
      <c r="JTT56" s="49"/>
      <c r="JTU56" s="240"/>
      <c r="JTV56" s="240"/>
      <c r="JTW56" s="240"/>
      <c r="JTX56" s="257"/>
      <c r="JTY56" s="240"/>
      <c r="JTZ56" s="257"/>
      <c r="JUA56" s="240"/>
      <c r="JUD56" s="49"/>
      <c r="JUE56" s="240"/>
      <c r="JUF56" s="240"/>
      <c r="JUG56" s="240"/>
      <c r="JUH56" s="257"/>
      <c r="JUI56" s="240"/>
      <c r="JUJ56" s="257"/>
      <c r="JUK56" s="240"/>
      <c r="JUN56" s="49"/>
      <c r="JUO56" s="240"/>
      <c r="JUP56" s="240"/>
      <c r="JUQ56" s="240"/>
      <c r="JUR56" s="257"/>
      <c r="JUS56" s="240"/>
      <c r="JUT56" s="257"/>
      <c r="JUU56" s="240"/>
      <c r="JUX56" s="49"/>
      <c r="JUY56" s="240"/>
      <c r="JUZ56" s="240"/>
      <c r="JVA56" s="240"/>
      <c r="JVB56" s="257"/>
      <c r="JVC56" s="240"/>
      <c r="JVD56" s="257"/>
      <c r="JVE56" s="240"/>
      <c r="JVH56" s="49"/>
      <c r="JVI56" s="240"/>
      <c r="JVJ56" s="240"/>
      <c r="JVK56" s="240"/>
      <c r="JVL56" s="257"/>
      <c r="JVM56" s="240"/>
      <c r="JVN56" s="257"/>
      <c r="JVO56" s="240"/>
      <c r="JVR56" s="49"/>
      <c r="JVS56" s="240"/>
      <c r="JVT56" s="240"/>
      <c r="JVU56" s="240"/>
      <c r="JVV56" s="257"/>
      <c r="JVW56" s="240"/>
      <c r="JVX56" s="257"/>
      <c r="JVY56" s="240"/>
      <c r="JWB56" s="49"/>
      <c r="JWC56" s="240"/>
      <c r="JWD56" s="240"/>
      <c r="JWE56" s="240"/>
      <c r="JWF56" s="257"/>
      <c r="JWG56" s="240"/>
      <c r="JWH56" s="257"/>
      <c r="JWI56" s="240"/>
      <c r="JWL56" s="49"/>
      <c r="JWM56" s="240"/>
      <c r="JWN56" s="240"/>
      <c r="JWO56" s="240"/>
      <c r="JWP56" s="257"/>
      <c r="JWQ56" s="240"/>
      <c r="JWR56" s="257"/>
      <c r="JWS56" s="240"/>
      <c r="JWV56" s="49"/>
      <c r="JWW56" s="240"/>
      <c r="JWX56" s="240"/>
      <c r="JWY56" s="240"/>
      <c r="JWZ56" s="257"/>
      <c r="JXA56" s="240"/>
      <c r="JXB56" s="257"/>
      <c r="JXC56" s="240"/>
      <c r="JXF56" s="49"/>
      <c r="JXG56" s="240"/>
      <c r="JXH56" s="240"/>
      <c r="JXI56" s="240"/>
      <c r="JXJ56" s="257"/>
      <c r="JXK56" s="240"/>
      <c r="JXL56" s="257"/>
      <c r="JXM56" s="240"/>
      <c r="JXP56" s="49"/>
      <c r="JXQ56" s="240"/>
      <c r="JXR56" s="240"/>
      <c r="JXS56" s="240"/>
      <c r="JXT56" s="257"/>
      <c r="JXU56" s="240"/>
      <c r="JXV56" s="257"/>
      <c r="JXW56" s="240"/>
      <c r="JXZ56" s="49"/>
      <c r="JYA56" s="240"/>
      <c r="JYB56" s="240"/>
      <c r="JYC56" s="240"/>
      <c r="JYD56" s="257"/>
      <c r="JYE56" s="240"/>
      <c r="JYF56" s="257"/>
      <c r="JYG56" s="240"/>
      <c r="JYJ56" s="49"/>
      <c r="JYK56" s="240"/>
      <c r="JYL56" s="240"/>
      <c r="JYM56" s="240"/>
      <c r="JYN56" s="257"/>
      <c r="JYO56" s="240"/>
      <c r="JYP56" s="257"/>
      <c r="JYQ56" s="240"/>
      <c r="JYT56" s="49"/>
      <c r="JYU56" s="240"/>
      <c r="JYV56" s="240"/>
      <c r="JYW56" s="240"/>
      <c r="JYX56" s="257"/>
      <c r="JYY56" s="240"/>
      <c r="JYZ56" s="257"/>
      <c r="JZA56" s="240"/>
      <c r="JZD56" s="49"/>
      <c r="JZE56" s="240"/>
      <c r="JZF56" s="240"/>
      <c r="JZG56" s="240"/>
      <c r="JZH56" s="257"/>
      <c r="JZI56" s="240"/>
      <c r="JZJ56" s="257"/>
      <c r="JZK56" s="240"/>
      <c r="JZN56" s="49"/>
      <c r="JZO56" s="240"/>
      <c r="JZP56" s="240"/>
      <c r="JZQ56" s="240"/>
      <c r="JZR56" s="257"/>
      <c r="JZS56" s="240"/>
      <c r="JZT56" s="257"/>
      <c r="JZU56" s="240"/>
      <c r="JZX56" s="49"/>
      <c r="JZY56" s="240"/>
      <c r="JZZ56" s="240"/>
      <c r="KAA56" s="240"/>
      <c r="KAB56" s="257"/>
      <c r="KAC56" s="240"/>
      <c r="KAD56" s="257"/>
      <c r="KAE56" s="240"/>
      <c r="KAH56" s="49"/>
      <c r="KAI56" s="240"/>
      <c r="KAJ56" s="240"/>
      <c r="KAK56" s="240"/>
      <c r="KAL56" s="257"/>
      <c r="KAM56" s="240"/>
      <c r="KAN56" s="257"/>
      <c r="KAO56" s="240"/>
      <c r="KAR56" s="49"/>
      <c r="KAS56" s="240"/>
      <c r="KAT56" s="240"/>
      <c r="KAU56" s="240"/>
      <c r="KAV56" s="257"/>
      <c r="KAW56" s="240"/>
      <c r="KAX56" s="257"/>
      <c r="KAY56" s="240"/>
      <c r="KBB56" s="49"/>
      <c r="KBC56" s="240"/>
      <c r="KBD56" s="240"/>
      <c r="KBE56" s="240"/>
      <c r="KBF56" s="257"/>
      <c r="KBG56" s="240"/>
      <c r="KBH56" s="257"/>
      <c r="KBI56" s="240"/>
      <c r="KBL56" s="49"/>
      <c r="KBM56" s="240"/>
      <c r="KBN56" s="240"/>
      <c r="KBO56" s="240"/>
      <c r="KBP56" s="257"/>
      <c r="KBQ56" s="240"/>
      <c r="KBR56" s="257"/>
      <c r="KBS56" s="240"/>
      <c r="KBV56" s="49"/>
      <c r="KBW56" s="240"/>
      <c r="KBX56" s="240"/>
      <c r="KBY56" s="240"/>
      <c r="KBZ56" s="257"/>
      <c r="KCA56" s="240"/>
      <c r="KCB56" s="257"/>
      <c r="KCC56" s="240"/>
      <c r="KCF56" s="49"/>
      <c r="KCG56" s="240"/>
      <c r="KCH56" s="240"/>
      <c r="KCI56" s="240"/>
      <c r="KCJ56" s="257"/>
      <c r="KCK56" s="240"/>
      <c r="KCL56" s="257"/>
      <c r="KCM56" s="240"/>
      <c r="KCP56" s="49"/>
      <c r="KCQ56" s="240"/>
      <c r="KCR56" s="240"/>
      <c r="KCS56" s="240"/>
      <c r="KCT56" s="257"/>
      <c r="KCU56" s="240"/>
      <c r="KCV56" s="257"/>
      <c r="KCW56" s="240"/>
      <c r="KCZ56" s="49"/>
      <c r="KDA56" s="240"/>
      <c r="KDB56" s="240"/>
      <c r="KDC56" s="240"/>
      <c r="KDD56" s="257"/>
      <c r="KDE56" s="240"/>
      <c r="KDF56" s="257"/>
      <c r="KDG56" s="240"/>
      <c r="KDJ56" s="49"/>
      <c r="KDK56" s="240"/>
      <c r="KDL56" s="240"/>
      <c r="KDM56" s="240"/>
      <c r="KDN56" s="257"/>
      <c r="KDO56" s="240"/>
      <c r="KDP56" s="257"/>
      <c r="KDQ56" s="240"/>
      <c r="KDT56" s="49"/>
      <c r="KDU56" s="240"/>
      <c r="KDV56" s="240"/>
      <c r="KDW56" s="240"/>
      <c r="KDX56" s="257"/>
      <c r="KDY56" s="240"/>
      <c r="KDZ56" s="257"/>
      <c r="KEA56" s="240"/>
      <c r="KED56" s="49"/>
      <c r="KEE56" s="240"/>
      <c r="KEF56" s="240"/>
      <c r="KEG56" s="240"/>
      <c r="KEH56" s="257"/>
      <c r="KEI56" s="240"/>
      <c r="KEJ56" s="257"/>
      <c r="KEK56" s="240"/>
      <c r="KEN56" s="49"/>
      <c r="KEO56" s="240"/>
      <c r="KEP56" s="240"/>
      <c r="KEQ56" s="240"/>
      <c r="KER56" s="257"/>
      <c r="KES56" s="240"/>
      <c r="KET56" s="257"/>
      <c r="KEU56" s="240"/>
      <c r="KEX56" s="49"/>
      <c r="KEY56" s="240"/>
      <c r="KEZ56" s="240"/>
      <c r="KFA56" s="240"/>
      <c r="KFB56" s="257"/>
      <c r="KFC56" s="240"/>
      <c r="KFD56" s="257"/>
      <c r="KFE56" s="240"/>
      <c r="KFH56" s="49"/>
      <c r="KFI56" s="240"/>
      <c r="KFJ56" s="240"/>
      <c r="KFK56" s="240"/>
      <c r="KFL56" s="257"/>
      <c r="KFM56" s="240"/>
      <c r="KFN56" s="257"/>
      <c r="KFO56" s="240"/>
      <c r="KFR56" s="49"/>
      <c r="KFS56" s="240"/>
      <c r="KFT56" s="240"/>
      <c r="KFU56" s="240"/>
      <c r="KFV56" s="257"/>
      <c r="KFW56" s="240"/>
      <c r="KFX56" s="257"/>
      <c r="KFY56" s="240"/>
      <c r="KGB56" s="49"/>
      <c r="KGC56" s="240"/>
      <c r="KGD56" s="240"/>
      <c r="KGE56" s="240"/>
      <c r="KGF56" s="257"/>
      <c r="KGG56" s="240"/>
      <c r="KGH56" s="257"/>
      <c r="KGI56" s="240"/>
      <c r="KGL56" s="49"/>
      <c r="KGM56" s="240"/>
      <c r="KGN56" s="240"/>
      <c r="KGO56" s="240"/>
      <c r="KGP56" s="257"/>
      <c r="KGQ56" s="240"/>
      <c r="KGR56" s="257"/>
      <c r="KGS56" s="240"/>
      <c r="KGV56" s="49"/>
      <c r="KGW56" s="240"/>
      <c r="KGX56" s="240"/>
      <c r="KGY56" s="240"/>
      <c r="KGZ56" s="257"/>
      <c r="KHA56" s="240"/>
      <c r="KHB56" s="257"/>
      <c r="KHC56" s="240"/>
      <c r="KHF56" s="49"/>
      <c r="KHG56" s="240"/>
      <c r="KHH56" s="240"/>
      <c r="KHI56" s="240"/>
      <c r="KHJ56" s="257"/>
      <c r="KHK56" s="240"/>
      <c r="KHL56" s="257"/>
      <c r="KHM56" s="240"/>
      <c r="KHP56" s="49"/>
      <c r="KHQ56" s="240"/>
      <c r="KHR56" s="240"/>
      <c r="KHS56" s="240"/>
      <c r="KHT56" s="257"/>
      <c r="KHU56" s="240"/>
      <c r="KHV56" s="257"/>
      <c r="KHW56" s="240"/>
      <c r="KHZ56" s="49"/>
      <c r="KIA56" s="240"/>
      <c r="KIB56" s="240"/>
      <c r="KIC56" s="240"/>
      <c r="KID56" s="257"/>
      <c r="KIE56" s="240"/>
      <c r="KIF56" s="257"/>
      <c r="KIG56" s="240"/>
      <c r="KIJ56" s="49"/>
      <c r="KIK56" s="240"/>
      <c r="KIL56" s="240"/>
      <c r="KIM56" s="240"/>
      <c r="KIN56" s="257"/>
      <c r="KIO56" s="240"/>
      <c r="KIP56" s="257"/>
      <c r="KIQ56" s="240"/>
      <c r="KIT56" s="49"/>
      <c r="KIU56" s="240"/>
      <c r="KIV56" s="240"/>
      <c r="KIW56" s="240"/>
      <c r="KIX56" s="257"/>
      <c r="KIY56" s="240"/>
      <c r="KIZ56" s="257"/>
      <c r="KJA56" s="240"/>
      <c r="KJD56" s="49"/>
      <c r="KJE56" s="240"/>
      <c r="KJF56" s="240"/>
      <c r="KJG56" s="240"/>
      <c r="KJH56" s="257"/>
      <c r="KJI56" s="240"/>
      <c r="KJJ56" s="257"/>
      <c r="KJK56" s="240"/>
      <c r="KJN56" s="49"/>
      <c r="KJO56" s="240"/>
      <c r="KJP56" s="240"/>
      <c r="KJQ56" s="240"/>
      <c r="KJR56" s="257"/>
      <c r="KJS56" s="240"/>
      <c r="KJT56" s="257"/>
      <c r="KJU56" s="240"/>
      <c r="KJX56" s="49"/>
      <c r="KJY56" s="240"/>
      <c r="KJZ56" s="240"/>
      <c r="KKA56" s="240"/>
      <c r="KKB56" s="257"/>
      <c r="KKC56" s="240"/>
      <c r="KKD56" s="257"/>
      <c r="KKE56" s="240"/>
      <c r="KKH56" s="49"/>
      <c r="KKI56" s="240"/>
      <c r="KKJ56" s="240"/>
      <c r="KKK56" s="240"/>
      <c r="KKL56" s="257"/>
      <c r="KKM56" s="240"/>
      <c r="KKN56" s="257"/>
      <c r="KKO56" s="240"/>
      <c r="KKR56" s="49"/>
      <c r="KKS56" s="240"/>
      <c r="KKT56" s="240"/>
      <c r="KKU56" s="240"/>
      <c r="KKV56" s="257"/>
      <c r="KKW56" s="240"/>
      <c r="KKX56" s="257"/>
      <c r="KKY56" s="240"/>
      <c r="KLB56" s="49"/>
      <c r="KLC56" s="240"/>
      <c r="KLD56" s="240"/>
      <c r="KLE56" s="240"/>
      <c r="KLF56" s="257"/>
      <c r="KLG56" s="240"/>
      <c r="KLH56" s="257"/>
      <c r="KLI56" s="240"/>
      <c r="KLL56" s="49"/>
      <c r="KLM56" s="240"/>
      <c r="KLN56" s="240"/>
      <c r="KLO56" s="240"/>
      <c r="KLP56" s="257"/>
      <c r="KLQ56" s="240"/>
      <c r="KLR56" s="257"/>
      <c r="KLS56" s="240"/>
      <c r="KLV56" s="49"/>
      <c r="KLW56" s="240"/>
      <c r="KLX56" s="240"/>
      <c r="KLY56" s="240"/>
      <c r="KLZ56" s="257"/>
      <c r="KMA56" s="240"/>
      <c r="KMB56" s="257"/>
      <c r="KMC56" s="240"/>
      <c r="KMF56" s="49"/>
      <c r="KMG56" s="240"/>
      <c r="KMH56" s="240"/>
      <c r="KMI56" s="240"/>
      <c r="KMJ56" s="257"/>
      <c r="KMK56" s="240"/>
      <c r="KML56" s="257"/>
      <c r="KMM56" s="240"/>
      <c r="KMP56" s="49"/>
      <c r="KMQ56" s="240"/>
      <c r="KMR56" s="240"/>
      <c r="KMS56" s="240"/>
      <c r="KMT56" s="257"/>
      <c r="KMU56" s="240"/>
      <c r="KMV56" s="257"/>
      <c r="KMW56" s="240"/>
      <c r="KMZ56" s="49"/>
      <c r="KNA56" s="240"/>
      <c r="KNB56" s="240"/>
      <c r="KNC56" s="240"/>
      <c r="KND56" s="257"/>
      <c r="KNE56" s="240"/>
      <c r="KNF56" s="257"/>
      <c r="KNG56" s="240"/>
      <c r="KNJ56" s="49"/>
      <c r="KNK56" s="240"/>
      <c r="KNL56" s="240"/>
      <c r="KNM56" s="240"/>
      <c r="KNN56" s="257"/>
      <c r="KNO56" s="240"/>
      <c r="KNP56" s="257"/>
      <c r="KNQ56" s="240"/>
      <c r="KNT56" s="49"/>
      <c r="KNU56" s="240"/>
      <c r="KNV56" s="240"/>
      <c r="KNW56" s="240"/>
      <c r="KNX56" s="257"/>
      <c r="KNY56" s="240"/>
      <c r="KNZ56" s="257"/>
      <c r="KOA56" s="240"/>
      <c r="KOD56" s="49"/>
      <c r="KOE56" s="240"/>
      <c r="KOF56" s="240"/>
      <c r="KOG56" s="240"/>
      <c r="KOH56" s="257"/>
      <c r="KOI56" s="240"/>
      <c r="KOJ56" s="257"/>
      <c r="KOK56" s="240"/>
      <c r="KON56" s="49"/>
      <c r="KOO56" s="240"/>
      <c r="KOP56" s="240"/>
      <c r="KOQ56" s="240"/>
      <c r="KOR56" s="257"/>
      <c r="KOS56" s="240"/>
      <c r="KOT56" s="257"/>
      <c r="KOU56" s="240"/>
      <c r="KOX56" s="49"/>
      <c r="KOY56" s="240"/>
      <c r="KOZ56" s="240"/>
      <c r="KPA56" s="240"/>
      <c r="KPB56" s="257"/>
      <c r="KPC56" s="240"/>
      <c r="KPD56" s="257"/>
      <c r="KPE56" s="240"/>
      <c r="KPH56" s="49"/>
      <c r="KPI56" s="240"/>
      <c r="KPJ56" s="240"/>
      <c r="KPK56" s="240"/>
      <c r="KPL56" s="257"/>
      <c r="KPM56" s="240"/>
      <c r="KPN56" s="257"/>
      <c r="KPO56" s="240"/>
      <c r="KPR56" s="49"/>
      <c r="KPS56" s="240"/>
      <c r="KPT56" s="240"/>
      <c r="KPU56" s="240"/>
      <c r="KPV56" s="257"/>
      <c r="KPW56" s="240"/>
      <c r="KPX56" s="257"/>
      <c r="KPY56" s="240"/>
      <c r="KQB56" s="49"/>
      <c r="KQC56" s="240"/>
      <c r="KQD56" s="240"/>
      <c r="KQE56" s="240"/>
      <c r="KQF56" s="257"/>
      <c r="KQG56" s="240"/>
      <c r="KQH56" s="257"/>
      <c r="KQI56" s="240"/>
      <c r="KQL56" s="49"/>
      <c r="KQM56" s="240"/>
      <c r="KQN56" s="240"/>
      <c r="KQO56" s="240"/>
      <c r="KQP56" s="257"/>
      <c r="KQQ56" s="240"/>
      <c r="KQR56" s="257"/>
      <c r="KQS56" s="240"/>
      <c r="KQV56" s="49"/>
      <c r="KQW56" s="240"/>
      <c r="KQX56" s="240"/>
      <c r="KQY56" s="240"/>
      <c r="KQZ56" s="257"/>
      <c r="KRA56" s="240"/>
      <c r="KRB56" s="257"/>
      <c r="KRC56" s="240"/>
      <c r="KRF56" s="49"/>
      <c r="KRG56" s="240"/>
      <c r="KRH56" s="240"/>
      <c r="KRI56" s="240"/>
      <c r="KRJ56" s="257"/>
      <c r="KRK56" s="240"/>
      <c r="KRL56" s="257"/>
      <c r="KRM56" s="240"/>
      <c r="KRP56" s="49"/>
      <c r="KRQ56" s="240"/>
      <c r="KRR56" s="240"/>
      <c r="KRS56" s="240"/>
      <c r="KRT56" s="257"/>
      <c r="KRU56" s="240"/>
      <c r="KRV56" s="257"/>
      <c r="KRW56" s="240"/>
      <c r="KRZ56" s="49"/>
      <c r="KSA56" s="240"/>
      <c r="KSB56" s="240"/>
      <c r="KSC56" s="240"/>
      <c r="KSD56" s="257"/>
      <c r="KSE56" s="240"/>
      <c r="KSF56" s="257"/>
      <c r="KSG56" s="240"/>
      <c r="KSJ56" s="49"/>
      <c r="KSK56" s="240"/>
      <c r="KSL56" s="240"/>
      <c r="KSM56" s="240"/>
      <c r="KSN56" s="257"/>
      <c r="KSO56" s="240"/>
      <c r="KSP56" s="257"/>
      <c r="KSQ56" s="240"/>
      <c r="KST56" s="49"/>
      <c r="KSU56" s="240"/>
      <c r="KSV56" s="240"/>
      <c r="KSW56" s="240"/>
      <c r="KSX56" s="257"/>
      <c r="KSY56" s="240"/>
      <c r="KSZ56" s="257"/>
      <c r="KTA56" s="240"/>
      <c r="KTD56" s="49"/>
      <c r="KTE56" s="240"/>
      <c r="KTF56" s="240"/>
      <c r="KTG56" s="240"/>
      <c r="KTH56" s="257"/>
      <c r="KTI56" s="240"/>
      <c r="KTJ56" s="257"/>
      <c r="KTK56" s="240"/>
      <c r="KTN56" s="49"/>
      <c r="KTO56" s="240"/>
      <c r="KTP56" s="240"/>
      <c r="KTQ56" s="240"/>
      <c r="KTR56" s="257"/>
      <c r="KTS56" s="240"/>
      <c r="KTT56" s="257"/>
      <c r="KTU56" s="240"/>
      <c r="KTX56" s="49"/>
      <c r="KTY56" s="240"/>
      <c r="KTZ56" s="240"/>
      <c r="KUA56" s="240"/>
      <c r="KUB56" s="257"/>
      <c r="KUC56" s="240"/>
      <c r="KUD56" s="257"/>
      <c r="KUE56" s="240"/>
      <c r="KUH56" s="49"/>
      <c r="KUI56" s="240"/>
      <c r="KUJ56" s="240"/>
      <c r="KUK56" s="240"/>
      <c r="KUL56" s="257"/>
      <c r="KUM56" s="240"/>
      <c r="KUN56" s="257"/>
      <c r="KUO56" s="240"/>
      <c r="KUR56" s="49"/>
      <c r="KUS56" s="240"/>
      <c r="KUT56" s="240"/>
      <c r="KUU56" s="240"/>
      <c r="KUV56" s="257"/>
      <c r="KUW56" s="240"/>
      <c r="KUX56" s="257"/>
      <c r="KUY56" s="240"/>
      <c r="KVB56" s="49"/>
      <c r="KVC56" s="240"/>
      <c r="KVD56" s="240"/>
      <c r="KVE56" s="240"/>
      <c r="KVF56" s="257"/>
      <c r="KVG56" s="240"/>
      <c r="KVH56" s="257"/>
      <c r="KVI56" s="240"/>
      <c r="KVL56" s="49"/>
      <c r="KVM56" s="240"/>
      <c r="KVN56" s="240"/>
      <c r="KVO56" s="240"/>
      <c r="KVP56" s="257"/>
      <c r="KVQ56" s="240"/>
      <c r="KVR56" s="257"/>
      <c r="KVS56" s="240"/>
      <c r="KVV56" s="49"/>
      <c r="KVW56" s="240"/>
      <c r="KVX56" s="240"/>
      <c r="KVY56" s="240"/>
      <c r="KVZ56" s="257"/>
      <c r="KWA56" s="240"/>
      <c r="KWB56" s="257"/>
      <c r="KWC56" s="240"/>
      <c r="KWF56" s="49"/>
      <c r="KWG56" s="240"/>
      <c r="KWH56" s="240"/>
      <c r="KWI56" s="240"/>
      <c r="KWJ56" s="257"/>
      <c r="KWK56" s="240"/>
      <c r="KWL56" s="257"/>
      <c r="KWM56" s="240"/>
      <c r="KWP56" s="49"/>
      <c r="KWQ56" s="240"/>
      <c r="KWR56" s="240"/>
      <c r="KWS56" s="240"/>
      <c r="KWT56" s="257"/>
      <c r="KWU56" s="240"/>
      <c r="KWV56" s="257"/>
      <c r="KWW56" s="240"/>
      <c r="KWZ56" s="49"/>
      <c r="KXA56" s="240"/>
      <c r="KXB56" s="240"/>
      <c r="KXC56" s="240"/>
      <c r="KXD56" s="257"/>
      <c r="KXE56" s="240"/>
      <c r="KXF56" s="257"/>
      <c r="KXG56" s="240"/>
      <c r="KXJ56" s="49"/>
      <c r="KXK56" s="240"/>
      <c r="KXL56" s="240"/>
      <c r="KXM56" s="240"/>
      <c r="KXN56" s="257"/>
      <c r="KXO56" s="240"/>
      <c r="KXP56" s="257"/>
      <c r="KXQ56" s="240"/>
      <c r="KXT56" s="49"/>
      <c r="KXU56" s="240"/>
      <c r="KXV56" s="240"/>
      <c r="KXW56" s="240"/>
      <c r="KXX56" s="257"/>
      <c r="KXY56" s="240"/>
      <c r="KXZ56" s="257"/>
      <c r="KYA56" s="240"/>
      <c r="KYD56" s="49"/>
      <c r="KYE56" s="240"/>
      <c r="KYF56" s="240"/>
      <c r="KYG56" s="240"/>
      <c r="KYH56" s="257"/>
      <c r="KYI56" s="240"/>
      <c r="KYJ56" s="257"/>
      <c r="KYK56" s="240"/>
      <c r="KYN56" s="49"/>
      <c r="KYO56" s="240"/>
      <c r="KYP56" s="240"/>
      <c r="KYQ56" s="240"/>
      <c r="KYR56" s="257"/>
      <c r="KYS56" s="240"/>
      <c r="KYT56" s="257"/>
      <c r="KYU56" s="240"/>
      <c r="KYX56" s="49"/>
      <c r="KYY56" s="240"/>
      <c r="KYZ56" s="240"/>
      <c r="KZA56" s="240"/>
      <c r="KZB56" s="257"/>
      <c r="KZC56" s="240"/>
      <c r="KZD56" s="257"/>
      <c r="KZE56" s="240"/>
      <c r="KZH56" s="49"/>
      <c r="KZI56" s="240"/>
      <c r="KZJ56" s="240"/>
      <c r="KZK56" s="240"/>
      <c r="KZL56" s="257"/>
      <c r="KZM56" s="240"/>
      <c r="KZN56" s="257"/>
      <c r="KZO56" s="240"/>
      <c r="KZR56" s="49"/>
      <c r="KZS56" s="240"/>
      <c r="KZT56" s="240"/>
      <c r="KZU56" s="240"/>
      <c r="KZV56" s="257"/>
      <c r="KZW56" s="240"/>
      <c r="KZX56" s="257"/>
      <c r="KZY56" s="240"/>
      <c r="LAB56" s="49"/>
      <c r="LAC56" s="240"/>
      <c r="LAD56" s="240"/>
      <c r="LAE56" s="240"/>
      <c r="LAF56" s="257"/>
      <c r="LAG56" s="240"/>
      <c r="LAH56" s="257"/>
      <c r="LAI56" s="240"/>
      <c r="LAL56" s="49"/>
      <c r="LAM56" s="240"/>
      <c r="LAN56" s="240"/>
      <c r="LAO56" s="240"/>
      <c r="LAP56" s="257"/>
      <c r="LAQ56" s="240"/>
      <c r="LAR56" s="257"/>
      <c r="LAS56" s="240"/>
      <c r="LAV56" s="49"/>
      <c r="LAW56" s="240"/>
      <c r="LAX56" s="240"/>
      <c r="LAY56" s="240"/>
      <c r="LAZ56" s="257"/>
      <c r="LBA56" s="240"/>
      <c r="LBB56" s="257"/>
      <c r="LBC56" s="240"/>
      <c r="LBF56" s="49"/>
      <c r="LBG56" s="240"/>
      <c r="LBH56" s="240"/>
      <c r="LBI56" s="240"/>
      <c r="LBJ56" s="257"/>
      <c r="LBK56" s="240"/>
      <c r="LBL56" s="257"/>
      <c r="LBM56" s="240"/>
      <c r="LBP56" s="49"/>
      <c r="LBQ56" s="240"/>
      <c r="LBR56" s="240"/>
      <c r="LBS56" s="240"/>
      <c r="LBT56" s="257"/>
      <c r="LBU56" s="240"/>
      <c r="LBV56" s="257"/>
      <c r="LBW56" s="240"/>
      <c r="LBZ56" s="49"/>
      <c r="LCA56" s="240"/>
      <c r="LCB56" s="240"/>
      <c r="LCC56" s="240"/>
      <c r="LCD56" s="257"/>
      <c r="LCE56" s="240"/>
      <c r="LCF56" s="257"/>
      <c r="LCG56" s="240"/>
      <c r="LCJ56" s="49"/>
      <c r="LCK56" s="240"/>
      <c r="LCL56" s="240"/>
      <c r="LCM56" s="240"/>
      <c r="LCN56" s="257"/>
      <c r="LCO56" s="240"/>
      <c r="LCP56" s="257"/>
      <c r="LCQ56" s="240"/>
      <c r="LCT56" s="49"/>
      <c r="LCU56" s="240"/>
      <c r="LCV56" s="240"/>
      <c r="LCW56" s="240"/>
      <c r="LCX56" s="257"/>
      <c r="LCY56" s="240"/>
      <c r="LCZ56" s="257"/>
      <c r="LDA56" s="240"/>
      <c r="LDD56" s="49"/>
      <c r="LDE56" s="240"/>
      <c r="LDF56" s="240"/>
      <c r="LDG56" s="240"/>
      <c r="LDH56" s="257"/>
      <c r="LDI56" s="240"/>
      <c r="LDJ56" s="257"/>
      <c r="LDK56" s="240"/>
      <c r="LDN56" s="49"/>
      <c r="LDO56" s="240"/>
      <c r="LDP56" s="240"/>
      <c r="LDQ56" s="240"/>
      <c r="LDR56" s="257"/>
      <c r="LDS56" s="240"/>
      <c r="LDT56" s="257"/>
      <c r="LDU56" s="240"/>
      <c r="LDX56" s="49"/>
      <c r="LDY56" s="240"/>
      <c r="LDZ56" s="240"/>
      <c r="LEA56" s="240"/>
      <c r="LEB56" s="257"/>
      <c r="LEC56" s="240"/>
      <c r="LED56" s="257"/>
      <c r="LEE56" s="240"/>
      <c r="LEH56" s="49"/>
      <c r="LEI56" s="240"/>
      <c r="LEJ56" s="240"/>
      <c r="LEK56" s="240"/>
      <c r="LEL56" s="257"/>
      <c r="LEM56" s="240"/>
      <c r="LEN56" s="257"/>
      <c r="LEO56" s="240"/>
      <c r="LER56" s="49"/>
      <c r="LES56" s="240"/>
      <c r="LET56" s="240"/>
      <c r="LEU56" s="240"/>
      <c r="LEV56" s="257"/>
      <c r="LEW56" s="240"/>
      <c r="LEX56" s="257"/>
      <c r="LEY56" s="240"/>
      <c r="LFB56" s="49"/>
      <c r="LFC56" s="240"/>
      <c r="LFD56" s="240"/>
      <c r="LFE56" s="240"/>
      <c r="LFF56" s="257"/>
      <c r="LFG56" s="240"/>
      <c r="LFH56" s="257"/>
      <c r="LFI56" s="240"/>
      <c r="LFL56" s="49"/>
      <c r="LFM56" s="240"/>
      <c r="LFN56" s="240"/>
      <c r="LFO56" s="240"/>
      <c r="LFP56" s="257"/>
      <c r="LFQ56" s="240"/>
      <c r="LFR56" s="257"/>
      <c r="LFS56" s="240"/>
      <c r="LFV56" s="49"/>
      <c r="LFW56" s="240"/>
      <c r="LFX56" s="240"/>
      <c r="LFY56" s="240"/>
      <c r="LFZ56" s="257"/>
      <c r="LGA56" s="240"/>
      <c r="LGB56" s="257"/>
      <c r="LGC56" s="240"/>
      <c r="LGF56" s="49"/>
      <c r="LGG56" s="240"/>
      <c r="LGH56" s="240"/>
      <c r="LGI56" s="240"/>
      <c r="LGJ56" s="257"/>
      <c r="LGK56" s="240"/>
      <c r="LGL56" s="257"/>
      <c r="LGM56" s="240"/>
      <c r="LGP56" s="49"/>
      <c r="LGQ56" s="240"/>
      <c r="LGR56" s="240"/>
      <c r="LGS56" s="240"/>
      <c r="LGT56" s="257"/>
      <c r="LGU56" s="240"/>
      <c r="LGV56" s="257"/>
      <c r="LGW56" s="240"/>
      <c r="LGZ56" s="49"/>
      <c r="LHA56" s="240"/>
      <c r="LHB56" s="240"/>
      <c r="LHC56" s="240"/>
      <c r="LHD56" s="257"/>
      <c r="LHE56" s="240"/>
      <c r="LHF56" s="257"/>
      <c r="LHG56" s="240"/>
      <c r="LHJ56" s="49"/>
      <c r="LHK56" s="240"/>
      <c r="LHL56" s="240"/>
      <c r="LHM56" s="240"/>
      <c r="LHN56" s="257"/>
      <c r="LHO56" s="240"/>
      <c r="LHP56" s="257"/>
      <c r="LHQ56" s="240"/>
      <c r="LHT56" s="49"/>
      <c r="LHU56" s="240"/>
      <c r="LHV56" s="240"/>
      <c r="LHW56" s="240"/>
      <c r="LHX56" s="257"/>
      <c r="LHY56" s="240"/>
      <c r="LHZ56" s="257"/>
      <c r="LIA56" s="240"/>
      <c r="LID56" s="49"/>
      <c r="LIE56" s="240"/>
      <c r="LIF56" s="240"/>
      <c r="LIG56" s="240"/>
      <c r="LIH56" s="257"/>
      <c r="LII56" s="240"/>
      <c r="LIJ56" s="257"/>
      <c r="LIK56" s="240"/>
      <c r="LIN56" s="49"/>
      <c r="LIO56" s="240"/>
      <c r="LIP56" s="240"/>
      <c r="LIQ56" s="240"/>
      <c r="LIR56" s="257"/>
      <c r="LIS56" s="240"/>
      <c r="LIT56" s="257"/>
      <c r="LIU56" s="240"/>
      <c r="LIX56" s="49"/>
      <c r="LIY56" s="240"/>
      <c r="LIZ56" s="240"/>
      <c r="LJA56" s="240"/>
      <c r="LJB56" s="257"/>
      <c r="LJC56" s="240"/>
      <c r="LJD56" s="257"/>
      <c r="LJE56" s="240"/>
      <c r="LJH56" s="49"/>
      <c r="LJI56" s="240"/>
      <c r="LJJ56" s="240"/>
      <c r="LJK56" s="240"/>
      <c r="LJL56" s="257"/>
      <c r="LJM56" s="240"/>
      <c r="LJN56" s="257"/>
      <c r="LJO56" s="240"/>
      <c r="LJR56" s="49"/>
      <c r="LJS56" s="240"/>
      <c r="LJT56" s="240"/>
      <c r="LJU56" s="240"/>
      <c r="LJV56" s="257"/>
      <c r="LJW56" s="240"/>
      <c r="LJX56" s="257"/>
      <c r="LJY56" s="240"/>
      <c r="LKB56" s="49"/>
      <c r="LKC56" s="240"/>
      <c r="LKD56" s="240"/>
      <c r="LKE56" s="240"/>
      <c r="LKF56" s="257"/>
      <c r="LKG56" s="240"/>
      <c r="LKH56" s="257"/>
      <c r="LKI56" s="240"/>
      <c r="LKL56" s="49"/>
      <c r="LKM56" s="240"/>
      <c r="LKN56" s="240"/>
      <c r="LKO56" s="240"/>
      <c r="LKP56" s="257"/>
      <c r="LKQ56" s="240"/>
      <c r="LKR56" s="257"/>
      <c r="LKS56" s="240"/>
      <c r="LKV56" s="49"/>
      <c r="LKW56" s="240"/>
      <c r="LKX56" s="240"/>
      <c r="LKY56" s="240"/>
      <c r="LKZ56" s="257"/>
      <c r="LLA56" s="240"/>
      <c r="LLB56" s="257"/>
      <c r="LLC56" s="240"/>
      <c r="LLF56" s="49"/>
      <c r="LLG56" s="240"/>
      <c r="LLH56" s="240"/>
      <c r="LLI56" s="240"/>
      <c r="LLJ56" s="257"/>
      <c r="LLK56" s="240"/>
      <c r="LLL56" s="257"/>
      <c r="LLM56" s="240"/>
      <c r="LLP56" s="49"/>
      <c r="LLQ56" s="240"/>
      <c r="LLR56" s="240"/>
      <c r="LLS56" s="240"/>
      <c r="LLT56" s="257"/>
      <c r="LLU56" s="240"/>
      <c r="LLV56" s="257"/>
      <c r="LLW56" s="240"/>
      <c r="LLZ56" s="49"/>
      <c r="LMA56" s="240"/>
      <c r="LMB56" s="240"/>
      <c r="LMC56" s="240"/>
      <c r="LMD56" s="257"/>
      <c r="LME56" s="240"/>
      <c r="LMF56" s="257"/>
      <c r="LMG56" s="240"/>
      <c r="LMJ56" s="49"/>
      <c r="LMK56" s="240"/>
      <c r="LML56" s="240"/>
      <c r="LMM56" s="240"/>
      <c r="LMN56" s="257"/>
      <c r="LMO56" s="240"/>
      <c r="LMP56" s="257"/>
      <c r="LMQ56" s="240"/>
      <c r="LMT56" s="49"/>
      <c r="LMU56" s="240"/>
      <c r="LMV56" s="240"/>
      <c r="LMW56" s="240"/>
      <c r="LMX56" s="257"/>
      <c r="LMY56" s="240"/>
      <c r="LMZ56" s="257"/>
      <c r="LNA56" s="240"/>
      <c r="LND56" s="49"/>
      <c r="LNE56" s="240"/>
      <c r="LNF56" s="240"/>
      <c r="LNG56" s="240"/>
      <c r="LNH56" s="257"/>
      <c r="LNI56" s="240"/>
      <c r="LNJ56" s="257"/>
      <c r="LNK56" s="240"/>
      <c r="LNN56" s="49"/>
      <c r="LNO56" s="240"/>
      <c r="LNP56" s="240"/>
      <c r="LNQ56" s="240"/>
      <c r="LNR56" s="257"/>
      <c r="LNS56" s="240"/>
      <c r="LNT56" s="257"/>
      <c r="LNU56" s="240"/>
      <c r="LNX56" s="49"/>
      <c r="LNY56" s="240"/>
      <c r="LNZ56" s="240"/>
      <c r="LOA56" s="240"/>
      <c r="LOB56" s="257"/>
      <c r="LOC56" s="240"/>
      <c r="LOD56" s="257"/>
      <c r="LOE56" s="240"/>
      <c r="LOH56" s="49"/>
      <c r="LOI56" s="240"/>
      <c r="LOJ56" s="240"/>
      <c r="LOK56" s="240"/>
      <c r="LOL56" s="257"/>
      <c r="LOM56" s="240"/>
      <c r="LON56" s="257"/>
      <c r="LOO56" s="240"/>
      <c r="LOR56" s="49"/>
      <c r="LOS56" s="240"/>
      <c r="LOT56" s="240"/>
      <c r="LOU56" s="240"/>
      <c r="LOV56" s="257"/>
      <c r="LOW56" s="240"/>
      <c r="LOX56" s="257"/>
      <c r="LOY56" s="240"/>
      <c r="LPB56" s="49"/>
      <c r="LPC56" s="240"/>
      <c r="LPD56" s="240"/>
      <c r="LPE56" s="240"/>
      <c r="LPF56" s="257"/>
      <c r="LPG56" s="240"/>
      <c r="LPH56" s="257"/>
      <c r="LPI56" s="240"/>
      <c r="LPL56" s="49"/>
      <c r="LPM56" s="240"/>
      <c r="LPN56" s="240"/>
      <c r="LPO56" s="240"/>
      <c r="LPP56" s="257"/>
      <c r="LPQ56" s="240"/>
      <c r="LPR56" s="257"/>
      <c r="LPS56" s="240"/>
      <c r="LPV56" s="49"/>
      <c r="LPW56" s="240"/>
      <c r="LPX56" s="240"/>
      <c r="LPY56" s="240"/>
      <c r="LPZ56" s="257"/>
      <c r="LQA56" s="240"/>
      <c r="LQB56" s="257"/>
      <c r="LQC56" s="240"/>
      <c r="LQF56" s="49"/>
      <c r="LQG56" s="240"/>
      <c r="LQH56" s="240"/>
      <c r="LQI56" s="240"/>
      <c r="LQJ56" s="257"/>
      <c r="LQK56" s="240"/>
      <c r="LQL56" s="257"/>
      <c r="LQM56" s="240"/>
      <c r="LQP56" s="49"/>
      <c r="LQQ56" s="240"/>
      <c r="LQR56" s="240"/>
      <c r="LQS56" s="240"/>
      <c r="LQT56" s="257"/>
      <c r="LQU56" s="240"/>
      <c r="LQV56" s="257"/>
      <c r="LQW56" s="240"/>
      <c r="LQZ56" s="49"/>
      <c r="LRA56" s="240"/>
      <c r="LRB56" s="240"/>
      <c r="LRC56" s="240"/>
      <c r="LRD56" s="257"/>
      <c r="LRE56" s="240"/>
      <c r="LRF56" s="257"/>
      <c r="LRG56" s="240"/>
      <c r="LRJ56" s="49"/>
      <c r="LRK56" s="240"/>
      <c r="LRL56" s="240"/>
      <c r="LRM56" s="240"/>
      <c r="LRN56" s="257"/>
      <c r="LRO56" s="240"/>
      <c r="LRP56" s="257"/>
      <c r="LRQ56" s="240"/>
      <c r="LRT56" s="49"/>
      <c r="LRU56" s="240"/>
      <c r="LRV56" s="240"/>
      <c r="LRW56" s="240"/>
      <c r="LRX56" s="257"/>
      <c r="LRY56" s="240"/>
      <c r="LRZ56" s="257"/>
      <c r="LSA56" s="240"/>
      <c r="LSD56" s="49"/>
      <c r="LSE56" s="240"/>
      <c r="LSF56" s="240"/>
      <c r="LSG56" s="240"/>
      <c r="LSH56" s="257"/>
      <c r="LSI56" s="240"/>
      <c r="LSJ56" s="257"/>
      <c r="LSK56" s="240"/>
      <c r="LSN56" s="49"/>
      <c r="LSO56" s="240"/>
      <c r="LSP56" s="240"/>
      <c r="LSQ56" s="240"/>
      <c r="LSR56" s="257"/>
      <c r="LSS56" s="240"/>
      <c r="LST56" s="257"/>
      <c r="LSU56" s="240"/>
      <c r="LSX56" s="49"/>
      <c r="LSY56" s="240"/>
      <c r="LSZ56" s="240"/>
      <c r="LTA56" s="240"/>
      <c r="LTB56" s="257"/>
      <c r="LTC56" s="240"/>
      <c r="LTD56" s="257"/>
      <c r="LTE56" s="240"/>
      <c r="LTH56" s="49"/>
      <c r="LTI56" s="240"/>
      <c r="LTJ56" s="240"/>
      <c r="LTK56" s="240"/>
      <c r="LTL56" s="257"/>
      <c r="LTM56" s="240"/>
      <c r="LTN56" s="257"/>
      <c r="LTO56" s="240"/>
      <c r="LTR56" s="49"/>
      <c r="LTS56" s="240"/>
      <c r="LTT56" s="240"/>
      <c r="LTU56" s="240"/>
      <c r="LTV56" s="257"/>
      <c r="LTW56" s="240"/>
      <c r="LTX56" s="257"/>
      <c r="LTY56" s="240"/>
      <c r="LUB56" s="49"/>
      <c r="LUC56" s="240"/>
      <c r="LUD56" s="240"/>
      <c r="LUE56" s="240"/>
      <c r="LUF56" s="257"/>
      <c r="LUG56" s="240"/>
      <c r="LUH56" s="257"/>
      <c r="LUI56" s="240"/>
      <c r="LUL56" s="49"/>
      <c r="LUM56" s="240"/>
      <c r="LUN56" s="240"/>
      <c r="LUO56" s="240"/>
      <c r="LUP56" s="257"/>
      <c r="LUQ56" s="240"/>
      <c r="LUR56" s="257"/>
      <c r="LUS56" s="240"/>
      <c r="LUV56" s="49"/>
      <c r="LUW56" s="240"/>
      <c r="LUX56" s="240"/>
      <c r="LUY56" s="240"/>
      <c r="LUZ56" s="257"/>
      <c r="LVA56" s="240"/>
      <c r="LVB56" s="257"/>
      <c r="LVC56" s="240"/>
      <c r="LVF56" s="49"/>
      <c r="LVG56" s="240"/>
      <c r="LVH56" s="240"/>
      <c r="LVI56" s="240"/>
      <c r="LVJ56" s="257"/>
      <c r="LVK56" s="240"/>
      <c r="LVL56" s="257"/>
      <c r="LVM56" s="240"/>
      <c r="LVP56" s="49"/>
      <c r="LVQ56" s="240"/>
      <c r="LVR56" s="240"/>
      <c r="LVS56" s="240"/>
      <c r="LVT56" s="257"/>
      <c r="LVU56" s="240"/>
      <c r="LVV56" s="257"/>
      <c r="LVW56" s="240"/>
      <c r="LVZ56" s="49"/>
      <c r="LWA56" s="240"/>
      <c r="LWB56" s="240"/>
      <c r="LWC56" s="240"/>
      <c r="LWD56" s="257"/>
      <c r="LWE56" s="240"/>
      <c r="LWF56" s="257"/>
      <c r="LWG56" s="240"/>
      <c r="LWJ56" s="49"/>
      <c r="LWK56" s="240"/>
      <c r="LWL56" s="240"/>
      <c r="LWM56" s="240"/>
      <c r="LWN56" s="257"/>
      <c r="LWO56" s="240"/>
      <c r="LWP56" s="257"/>
      <c r="LWQ56" s="240"/>
      <c r="LWT56" s="49"/>
      <c r="LWU56" s="240"/>
      <c r="LWV56" s="240"/>
      <c r="LWW56" s="240"/>
      <c r="LWX56" s="257"/>
      <c r="LWY56" s="240"/>
      <c r="LWZ56" s="257"/>
      <c r="LXA56" s="240"/>
      <c r="LXD56" s="49"/>
      <c r="LXE56" s="240"/>
      <c r="LXF56" s="240"/>
      <c r="LXG56" s="240"/>
      <c r="LXH56" s="257"/>
      <c r="LXI56" s="240"/>
      <c r="LXJ56" s="257"/>
      <c r="LXK56" s="240"/>
      <c r="LXN56" s="49"/>
      <c r="LXO56" s="240"/>
      <c r="LXP56" s="240"/>
      <c r="LXQ56" s="240"/>
      <c r="LXR56" s="257"/>
      <c r="LXS56" s="240"/>
      <c r="LXT56" s="257"/>
      <c r="LXU56" s="240"/>
      <c r="LXX56" s="49"/>
      <c r="LXY56" s="240"/>
      <c r="LXZ56" s="240"/>
      <c r="LYA56" s="240"/>
      <c r="LYB56" s="257"/>
      <c r="LYC56" s="240"/>
      <c r="LYD56" s="257"/>
      <c r="LYE56" s="240"/>
      <c r="LYH56" s="49"/>
      <c r="LYI56" s="240"/>
      <c r="LYJ56" s="240"/>
      <c r="LYK56" s="240"/>
      <c r="LYL56" s="257"/>
      <c r="LYM56" s="240"/>
      <c r="LYN56" s="257"/>
      <c r="LYO56" s="240"/>
      <c r="LYR56" s="49"/>
      <c r="LYS56" s="240"/>
      <c r="LYT56" s="240"/>
      <c r="LYU56" s="240"/>
      <c r="LYV56" s="257"/>
      <c r="LYW56" s="240"/>
      <c r="LYX56" s="257"/>
      <c r="LYY56" s="240"/>
      <c r="LZB56" s="49"/>
      <c r="LZC56" s="240"/>
      <c r="LZD56" s="240"/>
      <c r="LZE56" s="240"/>
      <c r="LZF56" s="257"/>
      <c r="LZG56" s="240"/>
      <c r="LZH56" s="257"/>
      <c r="LZI56" s="240"/>
      <c r="LZL56" s="49"/>
      <c r="LZM56" s="240"/>
      <c r="LZN56" s="240"/>
      <c r="LZO56" s="240"/>
      <c r="LZP56" s="257"/>
      <c r="LZQ56" s="240"/>
      <c r="LZR56" s="257"/>
      <c r="LZS56" s="240"/>
      <c r="LZV56" s="49"/>
      <c r="LZW56" s="240"/>
      <c r="LZX56" s="240"/>
      <c r="LZY56" s="240"/>
      <c r="LZZ56" s="257"/>
      <c r="MAA56" s="240"/>
      <c r="MAB56" s="257"/>
      <c r="MAC56" s="240"/>
      <c r="MAF56" s="49"/>
      <c r="MAG56" s="240"/>
      <c r="MAH56" s="240"/>
      <c r="MAI56" s="240"/>
      <c r="MAJ56" s="257"/>
      <c r="MAK56" s="240"/>
      <c r="MAL56" s="257"/>
      <c r="MAM56" s="240"/>
      <c r="MAP56" s="49"/>
      <c r="MAQ56" s="240"/>
      <c r="MAR56" s="240"/>
      <c r="MAS56" s="240"/>
      <c r="MAT56" s="257"/>
      <c r="MAU56" s="240"/>
      <c r="MAV56" s="257"/>
      <c r="MAW56" s="240"/>
      <c r="MAZ56" s="49"/>
      <c r="MBA56" s="240"/>
      <c r="MBB56" s="240"/>
      <c r="MBC56" s="240"/>
      <c r="MBD56" s="257"/>
      <c r="MBE56" s="240"/>
      <c r="MBF56" s="257"/>
      <c r="MBG56" s="240"/>
      <c r="MBJ56" s="49"/>
      <c r="MBK56" s="240"/>
      <c r="MBL56" s="240"/>
      <c r="MBM56" s="240"/>
      <c r="MBN56" s="257"/>
      <c r="MBO56" s="240"/>
      <c r="MBP56" s="257"/>
      <c r="MBQ56" s="240"/>
      <c r="MBT56" s="49"/>
      <c r="MBU56" s="240"/>
      <c r="MBV56" s="240"/>
      <c r="MBW56" s="240"/>
      <c r="MBX56" s="257"/>
      <c r="MBY56" s="240"/>
      <c r="MBZ56" s="257"/>
      <c r="MCA56" s="240"/>
      <c r="MCD56" s="49"/>
      <c r="MCE56" s="240"/>
      <c r="MCF56" s="240"/>
      <c r="MCG56" s="240"/>
      <c r="MCH56" s="257"/>
      <c r="MCI56" s="240"/>
      <c r="MCJ56" s="257"/>
      <c r="MCK56" s="240"/>
      <c r="MCN56" s="49"/>
      <c r="MCO56" s="240"/>
      <c r="MCP56" s="240"/>
      <c r="MCQ56" s="240"/>
      <c r="MCR56" s="257"/>
      <c r="MCS56" s="240"/>
      <c r="MCT56" s="257"/>
      <c r="MCU56" s="240"/>
      <c r="MCX56" s="49"/>
      <c r="MCY56" s="240"/>
      <c r="MCZ56" s="240"/>
      <c r="MDA56" s="240"/>
      <c r="MDB56" s="257"/>
      <c r="MDC56" s="240"/>
      <c r="MDD56" s="257"/>
      <c r="MDE56" s="240"/>
      <c r="MDH56" s="49"/>
      <c r="MDI56" s="240"/>
      <c r="MDJ56" s="240"/>
      <c r="MDK56" s="240"/>
      <c r="MDL56" s="257"/>
      <c r="MDM56" s="240"/>
      <c r="MDN56" s="257"/>
      <c r="MDO56" s="240"/>
      <c r="MDR56" s="49"/>
      <c r="MDS56" s="240"/>
      <c r="MDT56" s="240"/>
      <c r="MDU56" s="240"/>
      <c r="MDV56" s="257"/>
      <c r="MDW56" s="240"/>
      <c r="MDX56" s="257"/>
      <c r="MDY56" s="240"/>
      <c r="MEB56" s="49"/>
      <c r="MEC56" s="240"/>
      <c r="MED56" s="240"/>
      <c r="MEE56" s="240"/>
      <c r="MEF56" s="257"/>
      <c r="MEG56" s="240"/>
      <c r="MEH56" s="257"/>
      <c r="MEI56" s="240"/>
      <c r="MEL56" s="49"/>
      <c r="MEM56" s="240"/>
      <c r="MEN56" s="240"/>
      <c r="MEO56" s="240"/>
      <c r="MEP56" s="257"/>
      <c r="MEQ56" s="240"/>
      <c r="MER56" s="257"/>
      <c r="MES56" s="240"/>
      <c r="MEV56" s="49"/>
      <c r="MEW56" s="240"/>
      <c r="MEX56" s="240"/>
      <c r="MEY56" s="240"/>
      <c r="MEZ56" s="257"/>
      <c r="MFA56" s="240"/>
      <c r="MFB56" s="257"/>
      <c r="MFC56" s="240"/>
      <c r="MFF56" s="49"/>
      <c r="MFG56" s="240"/>
      <c r="MFH56" s="240"/>
      <c r="MFI56" s="240"/>
      <c r="MFJ56" s="257"/>
      <c r="MFK56" s="240"/>
      <c r="MFL56" s="257"/>
      <c r="MFM56" s="240"/>
      <c r="MFP56" s="49"/>
      <c r="MFQ56" s="240"/>
      <c r="MFR56" s="240"/>
      <c r="MFS56" s="240"/>
      <c r="MFT56" s="257"/>
      <c r="MFU56" s="240"/>
      <c r="MFV56" s="257"/>
      <c r="MFW56" s="240"/>
      <c r="MFZ56" s="49"/>
      <c r="MGA56" s="240"/>
      <c r="MGB56" s="240"/>
      <c r="MGC56" s="240"/>
      <c r="MGD56" s="257"/>
      <c r="MGE56" s="240"/>
      <c r="MGF56" s="257"/>
      <c r="MGG56" s="240"/>
      <c r="MGJ56" s="49"/>
      <c r="MGK56" s="240"/>
      <c r="MGL56" s="240"/>
      <c r="MGM56" s="240"/>
      <c r="MGN56" s="257"/>
      <c r="MGO56" s="240"/>
      <c r="MGP56" s="257"/>
      <c r="MGQ56" s="240"/>
      <c r="MGT56" s="49"/>
      <c r="MGU56" s="240"/>
      <c r="MGV56" s="240"/>
      <c r="MGW56" s="240"/>
      <c r="MGX56" s="257"/>
      <c r="MGY56" s="240"/>
      <c r="MGZ56" s="257"/>
      <c r="MHA56" s="240"/>
      <c r="MHD56" s="49"/>
      <c r="MHE56" s="240"/>
      <c r="MHF56" s="240"/>
      <c r="MHG56" s="240"/>
      <c r="MHH56" s="257"/>
      <c r="MHI56" s="240"/>
      <c r="MHJ56" s="257"/>
      <c r="MHK56" s="240"/>
      <c r="MHN56" s="49"/>
      <c r="MHO56" s="240"/>
      <c r="MHP56" s="240"/>
      <c r="MHQ56" s="240"/>
      <c r="MHR56" s="257"/>
      <c r="MHS56" s="240"/>
      <c r="MHT56" s="257"/>
      <c r="MHU56" s="240"/>
      <c r="MHX56" s="49"/>
      <c r="MHY56" s="240"/>
      <c r="MHZ56" s="240"/>
      <c r="MIA56" s="240"/>
      <c r="MIB56" s="257"/>
      <c r="MIC56" s="240"/>
      <c r="MID56" s="257"/>
      <c r="MIE56" s="240"/>
      <c r="MIH56" s="49"/>
      <c r="MII56" s="240"/>
      <c r="MIJ56" s="240"/>
      <c r="MIK56" s="240"/>
      <c r="MIL56" s="257"/>
      <c r="MIM56" s="240"/>
      <c r="MIN56" s="257"/>
      <c r="MIO56" s="240"/>
      <c r="MIR56" s="49"/>
      <c r="MIS56" s="240"/>
      <c r="MIT56" s="240"/>
      <c r="MIU56" s="240"/>
      <c r="MIV56" s="257"/>
      <c r="MIW56" s="240"/>
      <c r="MIX56" s="257"/>
      <c r="MIY56" s="240"/>
      <c r="MJB56" s="49"/>
      <c r="MJC56" s="240"/>
      <c r="MJD56" s="240"/>
      <c r="MJE56" s="240"/>
      <c r="MJF56" s="257"/>
      <c r="MJG56" s="240"/>
      <c r="MJH56" s="257"/>
      <c r="MJI56" s="240"/>
      <c r="MJL56" s="49"/>
      <c r="MJM56" s="240"/>
      <c r="MJN56" s="240"/>
      <c r="MJO56" s="240"/>
      <c r="MJP56" s="257"/>
      <c r="MJQ56" s="240"/>
      <c r="MJR56" s="257"/>
      <c r="MJS56" s="240"/>
      <c r="MJV56" s="49"/>
      <c r="MJW56" s="240"/>
      <c r="MJX56" s="240"/>
      <c r="MJY56" s="240"/>
      <c r="MJZ56" s="257"/>
      <c r="MKA56" s="240"/>
      <c r="MKB56" s="257"/>
      <c r="MKC56" s="240"/>
      <c r="MKF56" s="49"/>
      <c r="MKG56" s="240"/>
      <c r="MKH56" s="240"/>
      <c r="MKI56" s="240"/>
      <c r="MKJ56" s="257"/>
      <c r="MKK56" s="240"/>
      <c r="MKL56" s="257"/>
      <c r="MKM56" s="240"/>
      <c r="MKP56" s="49"/>
      <c r="MKQ56" s="240"/>
      <c r="MKR56" s="240"/>
      <c r="MKS56" s="240"/>
      <c r="MKT56" s="257"/>
      <c r="MKU56" s="240"/>
      <c r="MKV56" s="257"/>
      <c r="MKW56" s="240"/>
      <c r="MKZ56" s="49"/>
      <c r="MLA56" s="240"/>
      <c r="MLB56" s="240"/>
      <c r="MLC56" s="240"/>
      <c r="MLD56" s="257"/>
      <c r="MLE56" s="240"/>
      <c r="MLF56" s="257"/>
      <c r="MLG56" s="240"/>
      <c r="MLJ56" s="49"/>
      <c r="MLK56" s="240"/>
      <c r="MLL56" s="240"/>
      <c r="MLM56" s="240"/>
      <c r="MLN56" s="257"/>
      <c r="MLO56" s="240"/>
      <c r="MLP56" s="257"/>
      <c r="MLQ56" s="240"/>
      <c r="MLT56" s="49"/>
      <c r="MLU56" s="240"/>
      <c r="MLV56" s="240"/>
      <c r="MLW56" s="240"/>
      <c r="MLX56" s="257"/>
      <c r="MLY56" s="240"/>
      <c r="MLZ56" s="257"/>
      <c r="MMA56" s="240"/>
      <c r="MMD56" s="49"/>
      <c r="MME56" s="240"/>
      <c r="MMF56" s="240"/>
      <c r="MMG56" s="240"/>
      <c r="MMH56" s="257"/>
      <c r="MMI56" s="240"/>
      <c r="MMJ56" s="257"/>
      <c r="MMK56" s="240"/>
      <c r="MMN56" s="49"/>
      <c r="MMO56" s="240"/>
      <c r="MMP56" s="240"/>
      <c r="MMQ56" s="240"/>
      <c r="MMR56" s="257"/>
      <c r="MMS56" s="240"/>
      <c r="MMT56" s="257"/>
      <c r="MMU56" s="240"/>
      <c r="MMX56" s="49"/>
      <c r="MMY56" s="240"/>
      <c r="MMZ56" s="240"/>
      <c r="MNA56" s="240"/>
      <c r="MNB56" s="257"/>
      <c r="MNC56" s="240"/>
      <c r="MND56" s="257"/>
      <c r="MNE56" s="240"/>
      <c r="MNH56" s="49"/>
      <c r="MNI56" s="240"/>
      <c r="MNJ56" s="240"/>
      <c r="MNK56" s="240"/>
      <c r="MNL56" s="257"/>
      <c r="MNM56" s="240"/>
      <c r="MNN56" s="257"/>
      <c r="MNO56" s="240"/>
      <c r="MNR56" s="49"/>
      <c r="MNS56" s="240"/>
      <c r="MNT56" s="240"/>
      <c r="MNU56" s="240"/>
      <c r="MNV56" s="257"/>
      <c r="MNW56" s="240"/>
      <c r="MNX56" s="257"/>
      <c r="MNY56" s="240"/>
      <c r="MOB56" s="49"/>
      <c r="MOC56" s="240"/>
      <c r="MOD56" s="240"/>
      <c r="MOE56" s="240"/>
      <c r="MOF56" s="257"/>
      <c r="MOG56" s="240"/>
      <c r="MOH56" s="257"/>
      <c r="MOI56" s="240"/>
      <c r="MOL56" s="49"/>
      <c r="MOM56" s="240"/>
      <c r="MON56" s="240"/>
      <c r="MOO56" s="240"/>
      <c r="MOP56" s="257"/>
      <c r="MOQ56" s="240"/>
      <c r="MOR56" s="257"/>
      <c r="MOS56" s="240"/>
      <c r="MOV56" s="49"/>
      <c r="MOW56" s="240"/>
      <c r="MOX56" s="240"/>
      <c r="MOY56" s="240"/>
      <c r="MOZ56" s="257"/>
      <c r="MPA56" s="240"/>
      <c r="MPB56" s="257"/>
      <c r="MPC56" s="240"/>
      <c r="MPF56" s="49"/>
      <c r="MPG56" s="240"/>
      <c r="MPH56" s="240"/>
      <c r="MPI56" s="240"/>
      <c r="MPJ56" s="257"/>
      <c r="MPK56" s="240"/>
      <c r="MPL56" s="257"/>
      <c r="MPM56" s="240"/>
      <c r="MPP56" s="49"/>
      <c r="MPQ56" s="240"/>
      <c r="MPR56" s="240"/>
      <c r="MPS56" s="240"/>
      <c r="MPT56" s="257"/>
      <c r="MPU56" s="240"/>
      <c r="MPV56" s="257"/>
      <c r="MPW56" s="240"/>
      <c r="MPZ56" s="49"/>
      <c r="MQA56" s="240"/>
      <c r="MQB56" s="240"/>
      <c r="MQC56" s="240"/>
      <c r="MQD56" s="257"/>
      <c r="MQE56" s="240"/>
      <c r="MQF56" s="257"/>
      <c r="MQG56" s="240"/>
      <c r="MQJ56" s="49"/>
      <c r="MQK56" s="240"/>
      <c r="MQL56" s="240"/>
      <c r="MQM56" s="240"/>
      <c r="MQN56" s="257"/>
      <c r="MQO56" s="240"/>
      <c r="MQP56" s="257"/>
      <c r="MQQ56" s="240"/>
      <c r="MQT56" s="49"/>
      <c r="MQU56" s="240"/>
      <c r="MQV56" s="240"/>
      <c r="MQW56" s="240"/>
      <c r="MQX56" s="257"/>
      <c r="MQY56" s="240"/>
      <c r="MQZ56" s="257"/>
      <c r="MRA56" s="240"/>
      <c r="MRD56" s="49"/>
      <c r="MRE56" s="240"/>
      <c r="MRF56" s="240"/>
      <c r="MRG56" s="240"/>
      <c r="MRH56" s="257"/>
      <c r="MRI56" s="240"/>
      <c r="MRJ56" s="257"/>
      <c r="MRK56" s="240"/>
      <c r="MRN56" s="49"/>
      <c r="MRO56" s="240"/>
      <c r="MRP56" s="240"/>
      <c r="MRQ56" s="240"/>
      <c r="MRR56" s="257"/>
      <c r="MRS56" s="240"/>
      <c r="MRT56" s="257"/>
      <c r="MRU56" s="240"/>
      <c r="MRX56" s="49"/>
      <c r="MRY56" s="240"/>
      <c r="MRZ56" s="240"/>
      <c r="MSA56" s="240"/>
      <c r="MSB56" s="257"/>
      <c r="MSC56" s="240"/>
      <c r="MSD56" s="257"/>
      <c r="MSE56" s="240"/>
      <c r="MSH56" s="49"/>
      <c r="MSI56" s="240"/>
      <c r="MSJ56" s="240"/>
      <c r="MSK56" s="240"/>
      <c r="MSL56" s="257"/>
      <c r="MSM56" s="240"/>
      <c r="MSN56" s="257"/>
      <c r="MSO56" s="240"/>
      <c r="MSR56" s="49"/>
      <c r="MSS56" s="240"/>
      <c r="MST56" s="240"/>
      <c r="MSU56" s="240"/>
      <c r="MSV56" s="257"/>
      <c r="MSW56" s="240"/>
      <c r="MSX56" s="257"/>
      <c r="MSY56" s="240"/>
      <c r="MTB56" s="49"/>
      <c r="MTC56" s="240"/>
      <c r="MTD56" s="240"/>
      <c r="MTE56" s="240"/>
      <c r="MTF56" s="257"/>
      <c r="MTG56" s="240"/>
      <c r="MTH56" s="257"/>
      <c r="MTI56" s="240"/>
      <c r="MTL56" s="49"/>
      <c r="MTM56" s="240"/>
      <c r="MTN56" s="240"/>
      <c r="MTO56" s="240"/>
      <c r="MTP56" s="257"/>
      <c r="MTQ56" s="240"/>
      <c r="MTR56" s="257"/>
      <c r="MTS56" s="240"/>
      <c r="MTV56" s="49"/>
      <c r="MTW56" s="240"/>
      <c r="MTX56" s="240"/>
      <c r="MTY56" s="240"/>
      <c r="MTZ56" s="257"/>
      <c r="MUA56" s="240"/>
      <c r="MUB56" s="257"/>
      <c r="MUC56" s="240"/>
      <c r="MUF56" s="49"/>
      <c r="MUG56" s="240"/>
      <c r="MUH56" s="240"/>
      <c r="MUI56" s="240"/>
      <c r="MUJ56" s="257"/>
      <c r="MUK56" s="240"/>
      <c r="MUL56" s="257"/>
      <c r="MUM56" s="240"/>
      <c r="MUP56" s="49"/>
      <c r="MUQ56" s="240"/>
      <c r="MUR56" s="240"/>
      <c r="MUS56" s="240"/>
      <c r="MUT56" s="257"/>
      <c r="MUU56" s="240"/>
      <c r="MUV56" s="257"/>
      <c r="MUW56" s="240"/>
      <c r="MUZ56" s="49"/>
      <c r="MVA56" s="240"/>
      <c r="MVB56" s="240"/>
      <c r="MVC56" s="240"/>
      <c r="MVD56" s="257"/>
      <c r="MVE56" s="240"/>
      <c r="MVF56" s="257"/>
      <c r="MVG56" s="240"/>
      <c r="MVJ56" s="49"/>
      <c r="MVK56" s="240"/>
      <c r="MVL56" s="240"/>
      <c r="MVM56" s="240"/>
      <c r="MVN56" s="257"/>
      <c r="MVO56" s="240"/>
      <c r="MVP56" s="257"/>
      <c r="MVQ56" s="240"/>
      <c r="MVT56" s="49"/>
      <c r="MVU56" s="240"/>
      <c r="MVV56" s="240"/>
      <c r="MVW56" s="240"/>
      <c r="MVX56" s="257"/>
      <c r="MVY56" s="240"/>
      <c r="MVZ56" s="257"/>
      <c r="MWA56" s="240"/>
      <c r="MWD56" s="49"/>
      <c r="MWE56" s="240"/>
      <c r="MWF56" s="240"/>
      <c r="MWG56" s="240"/>
      <c r="MWH56" s="257"/>
      <c r="MWI56" s="240"/>
      <c r="MWJ56" s="257"/>
      <c r="MWK56" s="240"/>
      <c r="MWN56" s="49"/>
      <c r="MWO56" s="240"/>
      <c r="MWP56" s="240"/>
      <c r="MWQ56" s="240"/>
      <c r="MWR56" s="257"/>
      <c r="MWS56" s="240"/>
      <c r="MWT56" s="257"/>
      <c r="MWU56" s="240"/>
      <c r="MWX56" s="49"/>
      <c r="MWY56" s="240"/>
      <c r="MWZ56" s="240"/>
      <c r="MXA56" s="240"/>
      <c r="MXB56" s="257"/>
      <c r="MXC56" s="240"/>
      <c r="MXD56" s="257"/>
      <c r="MXE56" s="240"/>
      <c r="MXH56" s="49"/>
      <c r="MXI56" s="240"/>
      <c r="MXJ56" s="240"/>
      <c r="MXK56" s="240"/>
      <c r="MXL56" s="257"/>
      <c r="MXM56" s="240"/>
      <c r="MXN56" s="257"/>
      <c r="MXO56" s="240"/>
      <c r="MXR56" s="49"/>
      <c r="MXS56" s="240"/>
      <c r="MXT56" s="240"/>
      <c r="MXU56" s="240"/>
      <c r="MXV56" s="257"/>
      <c r="MXW56" s="240"/>
      <c r="MXX56" s="257"/>
      <c r="MXY56" s="240"/>
      <c r="MYB56" s="49"/>
      <c r="MYC56" s="240"/>
      <c r="MYD56" s="240"/>
      <c r="MYE56" s="240"/>
      <c r="MYF56" s="257"/>
      <c r="MYG56" s="240"/>
      <c r="MYH56" s="257"/>
      <c r="MYI56" s="240"/>
      <c r="MYL56" s="49"/>
      <c r="MYM56" s="240"/>
      <c r="MYN56" s="240"/>
      <c r="MYO56" s="240"/>
      <c r="MYP56" s="257"/>
      <c r="MYQ56" s="240"/>
      <c r="MYR56" s="257"/>
      <c r="MYS56" s="240"/>
      <c r="MYV56" s="49"/>
      <c r="MYW56" s="240"/>
      <c r="MYX56" s="240"/>
      <c r="MYY56" s="240"/>
      <c r="MYZ56" s="257"/>
      <c r="MZA56" s="240"/>
      <c r="MZB56" s="257"/>
      <c r="MZC56" s="240"/>
      <c r="MZF56" s="49"/>
      <c r="MZG56" s="240"/>
      <c r="MZH56" s="240"/>
      <c r="MZI56" s="240"/>
      <c r="MZJ56" s="257"/>
      <c r="MZK56" s="240"/>
      <c r="MZL56" s="257"/>
      <c r="MZM56" s="240"/>
      <c r="MZP56" s="49"/>
      <c r="MZQ56" s="240"/>
      <c r="MZR56" s="240"/>
      <c r="MZS56" s="240"/>
      <c r="MZT56" s="257"/>
      <c r="MZU56" s="240"/>
      <c r="MZV56" s="257"/>
      <c r="MZW56" s="240"/>
      <c r="MZZ56" s="49"/>
      <c r="NAA56" s="240"/>
      <c r="NAB56" s="240"/>
      <c r="NAC56" s="240"/>
      <c r="NAD56" s="257"/>
      <c r="NAE56" s="240"/>
      <c r="NAF56" s="257"/>
      <c r="NAG56" s="240"/>
      <c r="NAJ56" s="49"/>
      <c r="NAK56" s="240"/>
      <c r="NAL56" s="240"/>
      <c r="NAM56" s="240"/>
      <c r="NAN56" s="257"/>
      <c r="NAO56" s="240"/>
      <c r="NAP56" s="257"/>
      <c r="NAQ56" s="240"/>
      <c r="NAT56" s="49"/>
      <c r="NAU56" s="240"/>
      <c r="NAV56" s="240"/>
      <c r="NAW56" s="240"/>
      <c r="NAX56" s="257"/>
      <c r="NAY56" s="240"/>
      <c r="NAZ56" s="257"/>
      <c r="NBA56" s="240"/>
      <c r="NBD56" s="49"/>
      <c r="NBE56" s="240"/>
      <c r="NBF56" s="240"/>
      <c r="NBG56" s="240"/>
      <c r="NBH56" s="257"/>
      <c r="NBI56" s="240"/>
      <c r="NBJ56" s="257"/>
      <c r="NBK56" s="240"/>
      <c r="NBN56" s="49"/>
      <c r="NBO56" s="240"/>
      <c r="NBP56" s="240"/>
      <c r="NBQ56" s="240"/>
      <c r="NBR56" s="257"/>
      <c r="NBS56" s="240"/>
      <c r="NBT56" s="257"/>
      <c r="NBU56" s="240"/>
      <c r="NBX56" s="49"/>
      <c r="NBY56" s="240"/>
      <c r="NBZ56" s="240"/>
      <c r="NCA56" s="240"/>
      <c r="NCB56" s="257"/>
      <c r="NCC56" s="240"/>
      <c r="NCD56" s="257"/>
      <c r="NCE56" s="240"/>
      <c r="NCH56" s="49"/>
      <c r="NCI56" s="240"/>
      <c r="NCJ56" s="240"/>
      <c r="NCK56" s="240"/>
      <c r="NCL56" s="257"/>
      <c r="NCM56" s="240"/>
      <c r="NCN56" s="257"/>
      <c r="NCO56" s="240"/>
      <c r="NCR56" s="49"/>
      <c r="NCS56" s="240"/>
      <c r="NCT56" s="240"/>
      <c r="NCU56" s="240"/>
      <c r="NCV56" s="257"/>
      <c r="NCW56" s="240"/>
      <c r="NCX56" s="257"/>
      <c r="NCY56" s="240"/>
      <c r="NDB56" s="49"/>
      <c r="NDC56" s="240"/>
      <c r="NDD56" s="240"/>
      <c r="NDE56" s="240"/>
      <c r="NDF56" s="257"/>
      <c r="NDG56" s="240"/>
      <c r="NDH56" s="257"/>
      <c r="NDI56" s="240"/>
      <c r="NDL56" s="49"/>
      <c r="NDM56" s="240"/>
      <c r="NDN56" s="240"/>
      <c r="NDO56" s="240"/>
      <c r="NDP56" s="257"/>
      <c r="NDQ56" s="240"/>
      <c r="NDR56" s="257"/>
      <c r="NDS56" s="240"/>
      <c r="NDV56" s="49"/>
      <c r="NDW56" s="240"/>
      <c r="NDX56" s="240"/>
      <c r="NDY56" s="240"/>
      <c r="NDZ56" s="257"/>
      <c r="NEA56" s="240"/>
      <c r="NEB56" s="257"/>
      <c r="NEC56" s="240"/>
      <c r="NEF56" s="49"/>
      <c r="NEG56" s="240"/>
      <c r="NEH56" s="240"/>
      <c r="NEI56" s="240"/>
      <c r="NEJ56" s="257"/>
      <c r="NEK56" s="240"/>
      <c r="NEL56" s="257"/>
      <c r="NEM56" s="240"/>
      <c r="NEP56" s="49"/>
      <c r="NEQ56" s="240"/>
      <c r="NER56" s="240"/>
      <c r="NES56" s="240"/>
      <c r="NET56" s="257"/>
      <c r="NEU56" s="240"/>
      <c r="NEV56" s="257"/>
      <c r="NEW56" s="240"/>
      <c r="NEZ56" s="49"/>
      <c r="NFA56" s="240"/>
      <c r="NFB56" s="240"/>
      <c r="NFC56" s="240"/>
      <c r="NFD56" s="257"/>
      <c r="NFE56" s="240"/>
      <c r="NFF56" s="257"/>
      <c r="NFG56" s="240"/>
      <c r="NFJ56" s="49"/>
      <c r="NFK56" s="240"/>
      <c r="NFL56" s="240"/>
      <c r="NFM56" s="240"/>
      <c r="NFN56" s="257"/>
      <c r="NFO56" s="240"/>
      <c r="NFP56" s="257"/>
      <c r="NFQ56" s="240"/>
      <c r="NFT56" s="49"/>
      <c r="NFU56" s="240"/>
      <c r="NFV56" s="240"/>
      <c r="NFW56" s="240"/>
      <c r="NFX56" s="257"/>
      <c r="NFY56" s="240"/>
      <c r="NFZ56" s="257"/>
      <c r="NGA56" s="240"/>
      <c r="NGD56" s="49"/>
      <c r="NGE56" s="240"/>
      <c r="NGF56" s="240"/>
      <c r="NGG56" s="240"/>
      <c r="NGH56" s="257"/>
      <c r="NGI56" s="240"/>
      <c r="NGJ56" s="257"/>
      <c r="NGK56" s="240"/>
      <c r="NGN56" s="49"/>
      <c r="NGO56" s="240"/>
      <c r="NGP56" s="240"/>
      <c r="NGQ56" s="240"/>
      <c r="NGR56" s="257"/>
      <c r="NGS56" s="240"/>
      <c r="NGT56" s="257"/>
      <c r="NGU56" s="240"/>
      <c r="NGX56" s="49"/>
      <c r="NGY56" s="240"/>
      <c r="NGZ56" s="240"/>
      <c r="NHA56" s="240"/>
      <c r="NHB56" s="257"/>
      <c r="NHC56" s="240"/>
      <c r="NHD56" s="257"/>
      <c r="NHE56" s="240"/>
      <c r="NHH56" s="49"/>
      <c r="NHI56" s="240"/>
      <c r="NHJ56" s="240"/>
      <c r="NHK56" s="240"/>
      <c r="NHL56" s="257"/>
      <c r="NHM56" s="240"/>
      <c r="NHN56" s="257"/>
      <c r="NHO56" s="240"/>
      <c r="NHR56" s="49"/>
      <c r="NHS56" s="240"/>
      <c r="NHT56" s="240"/>
      <c r="NHU56" s="240"/>
      <c r="NHV56" s="257"/>
      <c r="NHW56" s="240"/>
      <c r="NHX56" s="257"/>
      <c r="NHY56" s="240"/>
      <c r="NIB56" s="49"/>
      <c r="NIC56" s="240"/>
      <c r="NID56" s="240"/>
      <c r="NIE56" s="240"/>
      <c r="NIF56" s="257"/>
      <c r="NIG56" s="240"/>
      <c r="NIH56" s="257"/>
      <c r="NII56" s="240"/>
      <c r="NIL56" s="49"/>
      <c r="NIM56" s="240"/>
      <c r="NIN56" s="240"/>
      <c r="NIO56" s="240"/>
      <c r="NIP56" s="257"/>
      <c r="NIQ56" s="240"/>
      <c r="NIR56" s="257"/>
      <c r="NIS56" s="240"/>
      <c r="NIV56" s="49"/>
      <c r="NIW56" s="240"/>
      <c r="NIX56" s="240"/>
      <c r="NIY56" s="240"/>
      <c r="NIZ56" s="257"/>
      <c r="NJA56" s="240"/>
      <c r="NJB56" s="257"/>
      <c r="NJC56" s="240"/>
      <c r="NJF56" s="49"/>
      <c r="NJG56" s="240"/>
      <c r="NJH56" s="240"/>
      <c r="NJI56" s="240"/>
      <c r="NJJ56" s="257"/>
      <c r="NJK56" s="240"/>
      <c r="NJL56" s="257"/>
      <c r="NJM56" s="240"/>
      <c r="NJP56" s="49"/>
      <c r="NJQ56" s="240"/>
      <c r="NJR56" s="240"/>
      <c r="NJS56" s="240"/>
      <c r="NJT56" s="257"/>
      <c r="NJU56" s="240"/>
      <c r="NJV56" s="257"/>
      <c r="NJW56" s="240"/>
      <c r="NJZ56" s="49"/>
      <c r="NKA56" s="240"/>
      <c r="NKB56" s="240"/>
      <c r="NKC56" s="240"/>
      <c r="NKD56" s="257"/>
      <c r="NKE56" s="240"/>
      <c r="NKF56" s="257"/>
      <c r="NKG56" s="240"/>
      <c r="NKJ56" s="49"/>
      <c r="NKK56" s="240"/>
      <c r="NKL56" s="240"/>
      <c r="NKM56" s="240"/>
      <c r="NKN56" s="257"/>
      <c r="NKO56" s="240"/>
      <c r="NKP56" s="257"/>
      <c r="NKQ56" s="240"/>
      <c r="NKT56" s="49"/>
      <c r="NKU56" s="240"/>
      <c r="NKV56" s="240"/>
      <c r="NKW56" s="240"/>
      <c r="NKX56" s="257"/>
      <c r="NKY56" s="240"/>
      <c r="NKZ56" s="257"/>
      <c r="NLA56" s="240"/>
      <c r="NLD56" s="49"/>
      <c r="NLE56" s="240"/>
      <c r="NLF56" s="240"/>
      <c r="NLG56" s="240"/>
      <c r="NLH56" s="257"/>
      <c r="NLI56" s="240"/>
      <c r="NLJ56" s="257"/>
      <c r="NLK56" s="240"/>
      <c r="NLN56" s="49"/>
      <c r="NLO56" s="240"/>
      <c r="NLP56" s="240"/>
      <c r="NLQ56" s="240"/>
      <c r="NLR56" s="257"/>
      <c r="NLS56" s="240"/>
      <c r="NLT56" s="257"/>
      <c r="NLU56" s="240"/>
      <c r="NLX56" s="49"/>
      <c r="NLY56" s="240"/>
      <c r="NLZ56" s="240"/>
      <c r="NMA56" s="240"/>
      <c r="NMB56" s="257"/>
      <c r="NMC56" s="240"/>
      <c r="NMD56" s="257"/>
      <c r="NME56" s="240"/>
      <c r="NMH56" s="49"/>
      <c r="NMI56" s="240"/>
      <c r="NMJ56" s="240"/>
      <c r="NMK56" s="240"/>
      <c r="NML56" s="257"/>
      <c r="NMM56" s="240"/>
      <c r="NMN56" s="257"/>
      <c r="NMO56" s="240"/>
      <c r="NMR56" s="49"/>
      <c r="NMS56" s="240"/>
      <c r="NMT56" s="240"/>
      <c r="NMU56" s="240"/>
      <c r="NMV56" s="257"/>
      <c r="NMW56" s="240"/>
      <c r="NMX56" s="257"/>
      <c r="NMY56" s="240"/>
      <c r="NNB56" s="49"/>
      <c r="NNC56" s="240"/>
      <c r="NND56" s="240"/>
      <c r="NNE56" s="240"/>
      <c r="NNF56" s="257"/>
      <c r="NNG56" s="240"/>
      <c r="NNH56" s="257"/>
      <c r="NNI56" s="240"/>
      <c r="NNL56" s="49"/>
      <c r="NNM56" s="240"/>
      <c r="NNN56" s="240"/>
      <c r="NNO56" s="240"/>
      <c r="NNP56" s="257"/>
      <c r="NNQ56" s="240"/>
      <c r="NNR56" s="257"/>
      <c r="NNS56" s="240"/>
      <c r="NNV56" s="49"/>
      <c r="NNW56" s="240"/>
      <c r="NNX56" s="240"/>
      <c r="NNY56" s="240"/>
      <c r="NNZ56" s="257"/>
      <c r="NOA56" s="240"/>
      <c r="NOB56" s="257"/>
      <c r="NOC56" s="240"/>
      <c r="NOF56" s="49"/>
      <c r="NOG56" s="240"/>
      <c r="NOH56" s="240"/>
      <c r="NOI56" s="240"/>
      <c r="NOJ56" s="257"/>
      <c r="NOK56" s="240"/>
      <c r="NOL56" s="257"/>
      <c r="NOM56" s="240"/>
      <c r="NOP56" s="49"/>
      <c r="NOQ56" s="240"/>
      <c r="NOR56" s="240"/>
      <c r="NOS56" s="240"/>
      <c r="NOT56" s="257"/>
      <c r="NOU56" s="240"/>
      <c r="NOV56" s="257"/>
      <c r="NOW56" s="240"/>
      <c r="NOZ56" s="49"/>
      <c r="NPA56" s="240"/>
      <c r="NPB56" s="240"/>
      <c r="NPC56" s="240"/>
      <c r="NPD56" s="257"/>
      <c r="NPE56" s="240"/>
      <c r="NPF56" s="257"/>
      <c r="NPG56" s="240"/>
      <c r="NPJ56" s="49"/>
      <c r="NPK56" s="240"/>
      <c r="NPL56" s="240"/>
      <c r="NPM56" s="240"/>
      <c r="NPN56" s="257"/>
      <c r="NPO56" s="240"/>
      <c r="NPP56" s="257"/>
      <c r="NPQ56" s="240"/>
      <c r="NPT56" s="49"/>
      <c r="NPU56" s="240"/>
      <c r="NPV56" s="240"/>
      <c r="NPW56" s="240"/>
      <c r="NPX56" s="257"/>
      <c r="NPY56" s="240"/>
      <c r="NPZ56" s="257"/>
      <c r="NQA56" s="240"/>
      <c r="NQD56" s="49"/>
      <c r="NQE56" s="240"/>
      <c r="NQF56" s="240"/>
      <c r="NQG56" s="240"/>
      <c r="NQH56" s="257"/>
      <c r="NQI56" s="240"/>
      <c r="NQJ56" s="257"/>
      <c r="NQK56" s="240"/>
      <c r="NQN56" s="49"/>
      <c r="NQO56" s="240"/>
      <c r="NQP56" s="240"/>
      <c r="NQQ56" s="240"/>
      <c r="NQR56" s="257"/>
      <c r="NQS56" s="240"/>
      <c r="NQT56" s="257"/>
      <c r="NQU56" s="240"/>
      <c r="NQX56" s="49"/>
      <c r="NQY56" s="240"/>
      <c r="NQZ56" s="240"/>
      <c r="NRA56" s="240"/>
      <c r="NRB56" s="257"/>
      <c r="NRC56" s="240"/>
      <c r="NRD56" s="257"/>
      <c r="NRE56" s="240"/>
      <c r="NRH56" s="49"/>
      <c r="NRI56" s="240"/>
      <c r="NRJ56" s="240"/>
      <c r="NRK56" s="240"/>
      <c r="NRL56" s="257"/>
      <c r="NRM56" s="240"/>
      <c r="NRN56" s="257"/>
      <c r="NRO56" s="240"/>
      <c r="NRR56" s="49"/>
      <c r="NRS56" s="240"/>
      <c r="NRT56" s="240"/>
      <c r="NRU56" s="240"/>
      <c r="NRV56" s="257"/>
      <c r="NRW56" s="240"/>
      <c r="NRX56" s="257"/>
      <c r="NRY56" s="240"/>
      <c r="NSB56" s="49"/>
      <c r="NSC56" s="240"/>
      <c r="NSD56" s="240"/>
      <c r="NSE56" s="240"/>
      <c r="NSF56" s="257"/>
      <c r="NSG56" s="240"/>
      <c r="NSH56" s="257"/>
      <c r="NSI56" s="240"/>
      <c r="NSL56" s="49"/>
      <c r="NSM56" s="240"/>
      <c r="NSN56" s="240"/>
      <c r="NSO56" s="240"/>
      <c r="NSP56" s="257"/>
      <c r="NSQ56" s="240"/>
      <c r="NSR56" s="257"/>
      <c r="NSS56" s="240"/>
      <c r="NSV56" s="49"/>
      <c r="NSW56" s="240"/>
      <c r="NSX56" s="240"/>
      <c r="NSY56" s="240"/>
      <c r="NSZ56" s="257"/>
      <c r="NTA56" s="240"/>
      <c r="NTB56" s="257"/>
      <c r="NTC56" s="240"/>
      <c r="NTF56" s="49"/>
      <c r="NTG56" s="240"/>
      <c r="NTH56" s="240"/>
      <c r="NTI56" s="240"/>
      <c r="NTJ56" s="257"/>
      <c r="NTK56" s="240"/>
      <c r="NTL56" s="257"/>
      <c r="NTM56" s="240"/>
      <c r="NTP56" s="49"/>
      <c r="NTQ56" s="240"/>
      <c r="NTR56" s="240"/>
      <c r="NTS56" s="240"/>
      <c r="NTT56" s="257"/>
      <c r="NTU56" s="240"/>
      <c r="NTV56" s="257"/>
      <c r="NTW56" s="240"/>
      <c r="NTZ56" s="49"/>
      <c r="NUA56" s="240"/>
      <c r="NUB56" s="240"/>
      <c r="NUC56" s="240"/>
      <c r="NUD56" s="257"/>
      <c r="NUE56" s="240"/>
      <c r="NUF56" s="257"/>
      <c r="NUG56" s="240"/>
      <c r="NUJ56" s="49"/>
      <c r="NUK56" s="240"/>
      <c r="NUL56" s="240"/>
      <c r="NUM56" s="240"/>
      <c r="NUN56" s="257"/>
      <c r="NUO56" s="240"/>
      <c r="NUP56" s="257"/>
      <c r="NUQ56" s="240"/>
      <c r="NUT56" s="49"/>
      <c r="NUU56" s="240"/>
      <c r="NUV56" s="240"/>
      <c r="NUW56" s="240"/>
      <c r="NUX56" s="257"/>
      <c r="NUY56" s="240"/>
      <c r="NUZ56" s="257"/>
      <c r="NVA56" s="240"/>
      <c r="NVD56" s="49"/>
      <c r="NVE56" s="240"/>
      <c r="NVF56" s="240"/>
      <c r="NVG56" s="240"/>
      <c r="NVH56" s="257"/>
      <c r="NVI56" s="240"/>
      <c r="NVJ56" s="257"/>
      <c r="NVK56" s="240"/>
      <c r="NVN56" s="49"/>
      <c r="NVO56" s="240"/>
      <c r="NVP56" s="240"/>
      <c r="NVQ56" s="240"/>
      <c r="NVR56" s="257"/>
      <c r="NVS56" s="240"/>
      <c r="NVT56" s="257"/>
      <c r="NVU56" s="240"/>
      <c r="NVX56" s="49"/>
      <c r="NVY56" s="240"/>
      <c r="NVZ56" s="240"/>
      <c r="NWA56" s="240"/>
      <c r="NWB56" s="257"/>
      <c r="NWC56" s="240"/>
      <c r="NWD56" s="257"/>
      <c r="NWE56" s="240"/>
      <c r="NWH56" s="49"/>
      <c r="NWI56" s="240"/>
      <c r="NWJ56" s="240"/>
      <c r="NWK56" s="240"/>
      <c r="NWL56" s="257"/>
      <c r="NWM56" s="240"/>
      <c r="NWN56" s="257"/>
      <c r="NWO56" s="240"/>
      <c r="NWR56" s="49"/>
      <c r="NWS56" s="240"/>
      <c r="NWT56" s="240"/>
      <c r="NWU56" s="240"/>
      <c r="NWV56" s="257"/>
      <c r="NWW56" s="240"/>
      <c r="NWX56" s="257"/>
      <c r="NWY56" s="240"/>
      <c r="NXB56" s="49"/>
      <c r="NXC56" s="240"/>
      <c r="NXD56" s="240"/>
      <c r="NXE56" s="240"/>
      <c r="NXF56" s="257"/>
      <c r="NXG56" s="240"/>
      <c r="NXH56" s="257"/>
      <c r="NXI56" s="240"/>
      <c r="NXL56" s="49"/>
      <c r="NXM56" s="240"/>
      <c r="NXN56" s="240"/>
      <c r="NXO56" s="240"/>
      <c r="NXP56" s="257"/>
      <c r="NXQ56" s="240"/>
      <c r="NXR56" s="257"/>
      <c r="NXS56" s="240"/>
      <c r="NXV56" s="49"/>
      <c r="NXW56" s="240"/>
      <c r="NXX56" s="240"/>
      <c r="NXY56" s="240"/>
      <c r="NXZ56" s="257"/>
      <c r="NYA56" s="240"/>
      <c r="NYB56" s="257"/>
      <c r="NYC56" s="240"/>
      <c r="NYF56" s="49"/>
      <c r="NYG56" s="240"/>
      <c r="NYH56" s="240"/>
      <c r="NYI56" s="240"/>
      <c r="NYJ56" s="257"/>
      <c r="NYK56" s="240"/>
      <c r="NYL56" s="257"/>
      <c r="NYM56" s="240"/>
      <c r="NYP56" s="49"/>
      <c r="NYQ56" s="240"/>
      <c r="NYR56" s="240"/>
      <c r="NYS56" s="240"/>
      <c r="NYT56" s="257"/>
      <c r="NYU56" s="240"/>
      <c r="NYV56" s="257"/>
      <c r="NYW56" s="240"/>
      <c r="NYZ56" s="49"/>
      <c r="NZA56" s="240"/>
      <c r="NZB56" s="240"/>
      <c r="NZC56" s="240"/>
      <c r="NZD56" s="257"/>
      <c r="NZE56" s="240"/>
      <c r="NZF56" s="257"/>
      <c r="NZG56" s="240"/>
      <c r="NZJ56" s="49"/>
      <c r="NZK56" s="240"/>
      <c r="NZL56" s="240"/>
      <c r="NZM56" s="240"/>
      <c r="NZN56" s="257"/>
      <c r="NZO56" s="240"/>
      <c r="NZP56" s="257"/>
      <c r="NZQ56" s="240"/>
      <c r="NZT56" s="49"/>
      <c r="NZU56" s="240"/>
      <c r="NZV56" s="240"/>
      <c r="NZW56" s="240"/>
      <c r="NZX56" s="257"/>
      <c r="NZY56" s="240"/>
      <c r="NZZ56" s="257"/>
      <c r="OAA56" s="240"/>
      <c r="OAD56" s="49"/>
      <c r="OAE56" s="240"/>
      <c r="OAF56" s="240"/>
      <c r="OAG56" s="240"/>
      <c r="OAH56" s="257"/>
      <c r="OAI56" s="240"/>
      <c r="OAJ56" s="257"/>
      <c r="OAK56" s="240"/>
      <c r="OAN56" s="49"/>
      <c r="OAO56" s="240"/>
      <c r="OAP56" s="240"/>
      <c r="OAQ56" s="240"/>
      <c r="OAR56" s="257"/>
      <c r="OAS56" s="240"/>
      <c r="OAT56" s="257"/>
      <c r="OAU56" s="240"/>
      <c r="OAX56" s="49"/>
      <c r="OAY56" s="240"/>
      <c r="OAZ56" s="240"/>
      <c r="OBA56" s="240"/>
      <c r="OBB56" s="257"/>
      <c r="OBC56" s="240"/>
      <c r="OBD56" s="257"/>
      <c r="OBE56" s="240"/>
      <c r="OBH56" s="49"/>
      <c r="OBI56" s="240"/>
      <c r="OBJ56" s="240"/>
      <c r="OBK56" s="240"/>
      <c r="OBL56" s="257"/>
      <c r="OBM56" s="240"/>
      <c r="OBN56" s="257"/>
      <c r="OBO56" s="240"/>
      <c r="OBR56" s="49"/>
      <c r="OBS56" s="240"/>
      <c r="OBT56" s="240"/>
      <c r="OBU56" s="240"/>
      <c r="OBV56" s="257"/>
      <c r="OBW56" s="240"/>
      <c r="OBX56" s="257"/>
      <c r="OBY56" s="240"/>
      <c r="OCB56" s="49"/>
      <c r="OCC56" s="240"/>
      <c r="OCD56" s="240"/>
      <c r="OCE56" s="240"/>
      <c r="OCF56" s="257"/>
      <c r="OCG56" s="240"/>
      <c r="OCH56" s="257"/>
      <c r="OCI56" s="240"/>
      <c r="OCL56" s="49"/>
      <c r="OCM56" s="240"/>
      <c r="OCN56" s="240"/>
      <c r="OCO56" s="240"/>
      <c r="OCP56" s="257"/>
      <c r="OCQ56" s="240"/>
      <c r="OCR56" s="257"/>
      <c r="OCS56" s="240"/>
      <c r="OCV56" s="49"/>
      <c r="OCW56" s="240"/>
      <c r="OCX56" s="240"/>
      <c r="OCY56" s="240"/>
      <c r="OCZ56" s="257"/>
      <c r="ODA56" s="240"/>
      <c r="ODB56" s="257"/>
      <c r="ODC56" s="240"/>
      <c r="ODF56" s="49"/>
      <c r="ODG56" s="240"/>
      <c r="ODH56" s="240"/>
      <c r="ODI56" s="240"/>
      <c r="ODJ56" s="257"/>
      <c r="ODK56" s="240"/>
      <c r="ODL56" s="257"/>
      <c r="ODM56" s="240"/>
      <c r="ODP56" s="49"/>
      <c r="ODQ56" s="240"/>
      <c r="ODR56" s="240"/>
      <c r="ODS56" s="240"/>
      <c r="ODT56" s="257"/>
      <c r="ODU56" s="240"/>
      <c r="ODV56" s="257"/>
      <c r="ODW56" s="240"/>
      <c r="ODZ56" s="49"/>
      <c r="OEA56" s="240"/>
      <c r="OEB56" s="240"/>
      <c r="OEC56" s="240"/>
      <c r="OED56" s="257"/>
      <c r="OEE56" s="240"/>
      <c r="OEF56" s="257"/>
      <c r="OEG56" s="240"/>
      <c r="OEJ56" s="49"/>
      <c r="OEK56" s="240"/>
      <c r="OEL56" s="240"/>
      <c r="OEM56" s="240"/>
      <c r="OEN56" s="257"/>
      <c r="OEO56" s="240"/>
      <c r="OEP56" s="257"/>
      <c r="OEQ56" s="240"/>
      <c r="OET56" s="49"/>
      <c r="OEU56" s="240"/>
      <c r="OEV56" s="240"/>
      <c r="OEW56" s="240"/>
      <c r="OEX56" s="257"/>
      <c r="OEY56" s="240"/>
      <c r="OEZ56" s="257"/>
      <c r="OFA56" s="240"/>
      <c r="OFD56" s="49"/>
      <c r="OFE56" s="240"/>
      <c r="OFF56" s="240"/>
      <c r="OFG56" s="240"/>
      <c r="OFH56" s="257"/>
      <c r="OFI56" s="240"/>
      <c r="OFJ56" s="257"/>
      <c r="OFK56" s="240"/>
      <c r="OFN56" s="49"/>
      <c r="OFO56" s="240"/>
      <c r="OFP56" s="240"/>
      <c r="OFQ56" s="240"/>
      <c r="OFR56" s="257"/>
      <c r="OFS56" s="240"/>
      <c r="OFT56" s="257"/>
      <c r="OFU56" s="240"/>
      <c r="OFX56" s="49"/>
      <c r="OFY56" s="240"/>
      <c r="OFZ56" s="240"/>
      <c r="OGA56" s="240"/>
      <c r="OGB56" s="257"/>
      <c r="OGC56" s="240"/>
      <c r="OGD56" s="257"/>
      <c r="OGE56" s="240"/>
      <c r="OGH56" s="49"/>
      <c r="OGI56" s="240"/>
      <c r="OGJ56" s="240"/>
      <c r="OGK56" s="240"/>
      <c r="OGL56" s="257"/>
      <c r="OGM56" s="240"/>
      <c r="OGN56" s="257"/>
      <c r="OGO56" s="240"/>
      <c r="OGR56" s="49"/>
      <c r="OGS56" s="240"/>
      <c r="OGT56" s="240"/>
      <c r="OGU56" s="240"/>
      <c r="OGV56" s="257"/>
      <c r="OGW56" s="240"/>
      <c r="OGX56" s="257"/>
      <c r="OGY56" s="240"/>
      <c r="OHB56" s="49"/>
      <c r="OHC56" s="240"/>
      <c r="OHD56" s="240"/>
      <c r="OHE56" s="240"/>
      <c r="OHF56" s="257"/>
      <c r="OHG56" s="240"/>
      <c r="OHH56" s="257"/>
      <c r="OHI56" s="240"/>
      <c r="OHL56" s="49"/>
      <c r="OHM56" s="240"/>
      <c r="OHN56" s="240"/>
      <c r="OHO56" s="240"/>
      <c r="OHP56" s="257"/>
      <c r="OHQ56" s="240"/>
      <c r="OHR56" s="257"/>
      <c r="OHS56" s="240"/>
      <c r="OHV56" s="49"/>
      <c r="OHW56" s="240"/>
      <c r="OHX56" s="240"/>
      <c r="OHY56" s="240"/>
      <c r="OHZ56" s="257"/>
      <c r="OIA56" s="240"/>
      <c r="OIB56" s="257"/>
      <c r="OIC56" s="240"/>
      <c r="OIF56" s="49"/>
      <c r="OIG56" s="240"/>
      <c r="OIH56" s="240"/>
      <c r="OII56" s="240"/>
      <c r="OIJ56" s="257"/>
      <c r="OIK56" s="240"/>
      <c r="OIL56" s="257"/>
      <c r="OIM56" s="240"/>
      <c r="OIP56" s="49"/>
      <c r="OIQ56" s="240"/>
      <c r="OIR56" s="240"/>
      <c r="OIS56" s="240"/>
      <c r="OIT56" s="257"/>
      <c r="OIU56" s="240"/>
      <c r="OIV56" s="257"/>
      <c r="OIW56" s="240"/>
      <c r="OIZ56" s="49"/>
      <c r="OJA56" s="240"/>
      <c r="OJB56" s="240"/>
      <c r="OJC56" s="240"/>
      <c r="OJD56" s="257"/>
      <c r="OJE56" s="240"/>
      <c r="OJF56" s="257"/>
      <c r="OJG56" s="240"/>
      <c r="OJJ56" s="49"/>
      <c r="OJK56" s="240"/>
      <c r="OJL56" s="240"/>
      <c r="OJM56" s="240"/>
      <c r="OJN56" s="257"/>
      <c r="OJO56" s="240"/>
      <c r="OJP56" s="257"/>
      <c r="OJQ56" s="240"/>
      <c r="OJT56" s="49"/>
      <c r="OJU56" s="240"/>
      <c r="OJV56" s="240"/>
      <c r="OJW56" s="240"/>
      <c r="OJX56" s="257"/>
      <c r="OJY56" s="240"/>
      <c r="OJZ56" s="257"/>
      <c r="OKA56" s="240"/>
      <c r="OKD56" s="49"/>
      <c r="OKE56" s="240"/>
      <c r="OKF56" s="240"/>
      <c r="OKG56" s="240"/>
      <c r="OKH56" s="257"/>
      <c r="OKI56" s="240"/>
      <c r="OKJ56" s="257"/>
      <c r="OKK56" s="240"/>
      <c r="OKN56" s="49"/>
      <c r="OKO56" s="240"/>
      <c r="OKP56" s="240"/>
      <c r="OKQ56" s="240"/>
      <c r="OKR56" s="257"/>
      <c r="OKS56" s="240"/>
      <c r="OKT56" s="257"/>
      <c r="OKU56" s="240"/>
      <c r="OKX56" s="49"/>
      <c r="OKY56" s="240"/>
      <c r="OKZ56" s="240"/>
      <c r="OLA56" s="240"/>
      <c r="OLB56" s="257"/>
      <c r="OLC56" s="240"/>
      <c r="OLD56" s="257"/>
      <c r="OLE56" s="240"/>
      <c r="OLH56" s="49"/>
      <c r="OLI56" s="240"/>
      <c r="OLJ56" s="240"/>
      <c r="OLK56" s="240"/>
      <c r="OLL56" s="257"/>
      <c r="OLM56" s="240"/>
      <c r="OLN56" s="257"/>
      <c r="OLO56" s="240"/>
      <c r="OLR56" s="49"/>
      <c r="OLS56" s="240"/>
      <c r="OLT56" s="240"/>
      <c r="OLU56" s="240"/>
      <c r="OLV56" s="257"/>
      <c r="OLW56" s="240"/>
      <c r="OLX56" s="257"/>
      <c r="OLY56" s="240"/>
      <c r="OMB56" s="49"/>
      <c r="OMC56" s="240"/>
      <c r="OMD56" s="240"/>
      <c r="OME56" s="240"/>
      <c r="OMF56" s="257"/>
      <c r="OMG56" s="240"/>
      <c r="OMH56" s="257"/>
      <c r="OMI56" s="240"/>
      <c r="OML56" s="49"/>
      <c r="OMM56" s="240"/>
      <c r="OMN56" s="240"/>
      <c r="OMO56" s="240"/>
      <c r="OMP56" s="257"/>
      <c r="OMQ56" s="240"/>
      <c r="OMR56" s="257"/>
      <c r="OMS56" s="240"/>
      <c r="OMV56" s="49"/>
      <c r="OMW56" s="240"/>
      <c r="OMX56" s="240"/>
      <c r="OMY56" s="240"/>
      <c r="OMZ56" s="257"/>
      <c r="ONA56" s="240"/>
      <c r="ONB56" s="257"/>
      <c r="ONC56" s="240"/>
      <c r="ONF56" s="49"/>
      <c r="ONG56" s="240"/>
      <c r="ONH56" s="240"/>
      <c r="ONI56" s="240"/>
      <c r="ONJ56" s="257"/>
      <c r="ONK56" s="240"/>
      <c r="ONL56" s="257"/>
      <c r="ONM56" s="240"/>
      <c r="ONP56" s="49"/>
      <c r="ONQ56" s="240"/>
      <c r="ONR56" s="240"/>
      <c r="ONS56" s="240"/>
      <c r="ONT56" s="257"/>
      <c r="ONU56" s="240"/>
      <c r="ONV56" s="257"/>
      <c r="ONW56" s="240"/>
      <c r="ONZ56" s="49"/>
      <c r="OOA56" s="240"/>
      <c r="OOB56" s="240"/>
      <c r="OOC56" s="240"/>
      <c r="OOD56" s="257"/>
      <c r="OOE56" s="240"/>
      <c r="OOF56" s="257"/>
      <c r="OOG56" s="240"/>
      <c r="OOJ56" s="49"/>
      <c r="OOK56" s="240"/>
      <c r="OOL56" s="240"/>
      <c r="OOM56" s="240"/>
      <c r="OON56" s="257"/>
      <c r="OOO56" s="240"/>
      <c r="OOP56" s="257"/>
      <c r="OOQ56" s="240"/>
      <c r="OOT56" s="49"/>
      <c r="OOU56" s="240"/>
      <c r="OOV56" s="240"/>
      <c r="OOW56" s="240"/>
      <c r="OOX56" s="257"/>
      <c r="OOY56" s="240"/>
      <c r="OOZ56" s="257"/>
      <c r="OPA56" s="240"/>
      <c r="OPD56" s="49"/>
      <c r="OPE56" s="240"/>
      <c r="OPF56" s="240"/>
      <c r="OPG56" s="240"/>
      <c r="OPH56" s="257"/>
      <c r="OPI56" s="240"/>
      <c r="OPJ56" s="257"/>
      <c r="OPK56" s="240"/>
      <c r="OPN56" s="49"/>
      <c r="OPO56" s="240"/>
      <c r="OPP56" s="240"/>
      <c r="OPQ56" s="240"/>
      <c r="OPR56" s="257"/>
      <c r="OPS56" s="240"/>
      <c r="OPT56" s="257"/>
      <c r="OPU56" s="240"/>
      <c r="OPX56" s="49"/>
      <c r="OPY56" s="240"/>
      <c r="OPZ56" s="240"/>
      <c r="OQA56" s="240"/>
      <c r="OQB56" s="257"/>
      <c r="OQC56" s="240"/>
      <c r="OQD56" s="257"/>
      <c r="OQE56" s="240"/>
      <c r="OQH56" s="49"/>
      <c r="OQI56" s="240"/>
      <c r="OQJ56" s="240"/>
      <c r="OQK56" s="240"/>
      <c r="OQL56" s="257"/>
      <c r="OQM56" s="240"/>
      <c r="OQN56" s="257"/>
      <c r="OQO56" s="240"/>
      <c r="OQR56" s="49"/>
      <c r="OQS56" s="240"/>
      <c r="OQT56" s="240"/>
      <c r="OQU56" s="240"/>
      <c r="OQV56" s="257"/>
      <c r="OQW56" s="240"/>
      <c r="OQX56" s="257"/>
      <c r="OQY56" s="240"/>
      <c r="ORB56" s="49"/>
      <c r="ORC56" s="240"/>
      <c r="ORD56" s="240"/>
      <c r="ORE56" s="240"/>
      <c r="ORF56" s="257"/>
      <c r="ORG56" s="240"/>
      <c r="ORH56" s="257"/>
      <c r="ORI56" s="240"/>
      <c r="ORL56" s="49"/>
      <c r="ORM56" s="240"/>
      <c r="ORN56" s="240"/>
      <c r="ORO56" s="240"/>
      <c r="ORP56" s="257"/>
      <c r="ORQ56" s="240"/>
      <c r="ORR56" s="257"/>
      <c r="ORS56" s="240"/>
      <c r="ORV56" s="49"/>
      <c r="ORW56" s="240"/>
      <c r="ORX56" s="240"/>
      <c r="ORY56" s="240"/>
      <c r="ORZ56" s="257"/>
      <c r="OSA56" s="240"/>
      <c r="OSB56" s="257"/>
      <c r="OSC56" s="240"/>
      <c r="OSF56" s="49"/>
      <c r="OSG56" s="240"/>
      <c r="OSH56" s="240"/>
      <c r="OSI56" s="240"/>
      <c r="OSJ56" s="257"/>
      <c r="OSK56" s="240"/>
      <c r="OSL56" s="257"/>
      <c r="OSM56" s="240"/>
      <c r="OSP56" s="49"/>
      <c r="OSQ56" s="240"/>
      <c r="OSR56" s="240"/>
      <c r="OSS56" s="240"/>
      <c r="OST56" s="257"/>
      <c r="OSU56" s="240"/>
      <c r="OSV56" s="257"/>
      <c r="OSW56" s="240"/>
      <c r="OSZ56" s="49"/>
      <c r="OTA56" s="240"/>
      <c r="OTB56" s="240"/>
      <c r="OTC56" s="240"/>
      <c r="OTD56" s="257"/>
      <c r="OTE56" s="240"/>
      <c r="OTF56" s="257"/>
      <c r="OTG56" s="240"/>
      <c r="OTJ56" s="49"/>
      <c r="OTK56" s="240"/>
      <c r="OTL56" s="240"/>
      <c r="OTM56" s="240"/>
      <c r="OTN56" s="257"/>
      <c r="OTO56" s="240"/>
      <c r="OTP56" s="257"/>
      <c r="OTQ56" s="240"/>
      <c r="OTT56" s="49"/>
      <c r="OTU56" s="240"/>
      <c r="OTV56" s="240"/>
      <c r="OTW56" s="240"/>
      <c r="OTX56" s="257"/>
      <c r="OTY56" s="240"/>
      <c r="OTZ56" s="257"/>
      <c r="OUA56" s="240"/>
      <c r="OUD56" s="49"/>
      <c r="OUE56" s="240"/>
      <c r="OUF56" s="240"/>
      <c r="OUG56" s="240"/>
      <c r="OUH56" s="257"/>
      <c r="OUI56" s="240"/>
      <c r="OUJ56" s="257"/>
      <c r="OUK56" s="240"/>
      <c r="OUN56" s="49"/>
      <c r="OUO56" s="240"/>
      <c r="OUP56" s="240"/>
      <c r="OUQ56" s="240"/>
      <c r="OUR56" s="257"/>
      <c r="OUS56" s="240"/>
      <c r="OUT56" s="257"/>
      <c r="OUU56" s="240"/>
      <c r="OUX56" s="49"/>
      <c r="OUY56" s="240"/>
      <c r="OUZ56" s="240"/>
      <c r="OVA56" s="240"/>
      <c r="OVB56" s="257"/>
      <c r="OVC56" s="240"/>
      <c r="OVD56" s="257"/>
      <c r="OVE56" s="240"/>
      <c r="OVH56" s="49"/>
      <c r="OVI56" s="240"/>
      <c r="OVJ56" s="240"/>
      <c r="OVK56" s="240"/>
      <c r="OVL56" s="257"/>
      <c r="OVM56" s="240"/>
      <c r="OVN56" s="257"/>
      <c r="OVO56" s="240"/>
      <c r="OVR56" s="49"/>
      <c r="OVS56" s="240"/>
      <c r="OVT56" s="240"/>
      <c r="OVU56" s="240"/>
      <c r="OVV56" s="257"/>
      <c r="OVW56" s="240"/>
      <c r="OVX56" s="257"/>
      <c r="OVY56" s="240"/>
      <c r="OWB56" s="49"/>
      <c r="OWC56" s="240"/>
      <c r="OWD56" s="240"/>
      <c r="OWE56" s="240"/>
      <c r="OWF56" s="257"/>
      <c r="OWG56" s="240"/>
      <c r="OWH56" s="257"/>
      <c r="OWI56" s="240"/>
      <c r="OWL56" s="49"/>
      <c r="OWM56" s="240"/>
      <c r="OWN56" s="240"/>
      <c r="OWO56" s="240"/>
      <c r="OWP56" s="257"/>
      <c r="OWQ56" s="240"/>
      <c r="OWR56" s="257"/>
      <c r="OWS56" s="240"/>
      <c r="OWV56" s="49"/>
      <c r="OWW56" s="240"/>
      <c r="OWX56" s="240"/>
      <c r="OWY56" s="240"/>
      <c r="OWZ56" s="257"/>
      <c r="OXA56" s="240"/>
      <c r="OXB56" s="257"/>
      <c r="OXC56" s="240"/>
      <c r="OXF56" s="49"/>
      <c r="OXG56" s="240"/>
      <c r="OXH56" s="240"/>
      <c r="OXI56" s="240"/>
      <c r="OXJ56" s="257"/>
      <c r="OXK56" s="240"/>
      <c r="OXL56" s="257"/>
      <c r="OXM56" s="240"/>
      <c r="OXP56" s="49"/>
      <c r="OXQ56" s="240"/>
      <c r="OXR56" s="240"/>
      <c r="OXS56" s="240"/>
      <c r="OXT56" s="257"/>
      <c r="OXU56" s="240"/>
      <c r="OXV56" s="257"/>
      <c r="OXW56" s="240"/>
      <c r="OXZ56" s="49"/>
      <c r="OYA56" s="240"/>
      <c r="OYB56" s="240"/>
      <c r="OYC56" s="240"/>
      <c r="OYD56" s="257"/>
      <c r="OYE56" s="240"/>
      <c r="OYF56" s="257"/>
      <c r="OYG56" s="240"/>
      <c r="OYJ56" s="49"/>
      <c r="OYK56" s="240"/>
      <c r="OYL56" s="240"/>
      <c r="OYM56" s="240"/>
      <c r="OYN56" s="257"/>
      <c r="OYO56" s="240"/>
      <c r="OYP56" s="257"/>
      <c r="OYQ56" s="240"/>
      <c r="OYT56" s="49"/>
      <c r="OYU56" s="240"/>
      <c r="OYV56" s="240"/>
      <c r="OYW56" s="240"/>
      <c r="OYX56" s="257"/>
      <c r="OYY56" s="240"/>
      <c r="OYZ56" s="257"/>
      <c r="OZA56" s="240"/>
      <c r="OZD56" s="49"/>
      <c r="OZE56" s="240"/>
      <c r="OZF56" s="240"/>
      <c r="OZG56" s="240"/>
      <c r="OZH56" s="257"/>
      <c r="OZI56" s="240"/>
      <c r="OZJ56" s="257"/>
      <c r="OZK56" s="240"/>
      <c r="OZN56" s="49"/>
      <c r="OZO56" s="240"/>
      <c r="OZP56" s="240"/>
      <c r="OZQ56" s="240"/>
      <c r="OZR56" s="257"/>
      <c r="OZS56" s="240"/>
      <c r="OZT56" s="257"/>
      <c r="OZU56" s="240"/>
      <c r="OZX56" s="49"/>
      <c r="OZY56" s="240"/>
      <c r="OZZ56" s="240"/>
      <c r="PAA56" s="240"/>
      <c r="PAB56" s="257"/>
      <c r="PAC56" s="240"/>
      <c r="PAD56" s="257"/>
      <c r="PAE56" s="240"/>
      <c r="PAH56" s="49"/>
      <c r="PAI56" s="240"/>
      <c r="PAJ56" s="240"/>
      <c r="PAK56" s="240"/>
      <c r="PAL56" s="257"/>
      <c r="PAM56" s="240"/>
      <c r="PAN56" s="257"/>
      <c r="PAO56" s="240"/>
      <c r="PAR56" s="49"/>
      <c r="PAS56" s="240"/>
      <c r="PAT56" s="240"/>
      <c r="PAU56" s="240"/>
      <c r="PAV56" s="257"/>
      <c r="PAW56" s="240"/>
      <c r="PAX56" s="257"/>
      <c r="PAY56" s="240"/>
      <c r="PBB56" s="49"/>
      <c r="PBC56" s="240"/>
      <c r="PBD56" s="240"/>
      <c r="PBE56" s="240"/>
      <c r="PBF56" s="257"/>
      <c r="PBG56" s="240"/>
      <c r="PBH56" s="257"/>
      <c r="PBI56" s="240"/>
      <c r="PBL56" s="49"/>
      <c r="PBM56" s="240"/>
      <c r="PBN56" s="240"/>
      <c r="PBO56" s="240"/>
      <c r="PBP56" s="257"/>
      <c r="PBQ56" s="240"/>
      <c r="PBR56" s="257"/>
      <c r="PBS56" s="240"/>
      <c r="PBV56" s="49"/>
      <c r="PBW56" s="240"/>
      <c r="PBX56" s="240"/>
      <c r="PBY56" s="240"/>
      <c r="PBZ56" s="257"/>
      <c r="PCA56" s="240"/>
      <c r="PCB56" s="257"/>
      <c r="PCC56" s="240"/>
      <c r="PCF56" s="49"/>
      <c r="PCG56" s="240"/>
      <c r="PCH56" s="240"/>
      <c r="PCI56" s="240"/>
      <c r="PCJ56" s="257"/>
      <c r="PCK56" s="240"/>
      <c r="PCL56" s="257"/>
      <c r="PCM56" s="240"/>
      <c r="PCP56" s="49"/>
      <c r="PCQ56" s="240"/>
      <c r="PCR56" s="240"/>
      <c r="PCS56" s="240"/>
      <c r="PCT56" s="257"/>
      <c r="PCU56" s="240"/>
      <c r="PCV56" s="257"/>
      <c r="PCW56" s="240"/>
      <c r="PCZ56" s="49"/>
      <c r="PDA56" s="240"/>
      <c r="PDB56" s="240"/>
      <c r="PDC56" s="240"/>
      <c r="PDD56" s="257"/>
      <c r="PDE56" s="240"/>
      <c r="PDF56" s="257"/>
      <c r="PDG56" s="240"/>
      <c r="PDJ56" s="49"/>
      <c r="PDK56" s="240"/>
      <c r="PDL56" s="240"/>
      <c r="PDM56" s="240"/>
      <c r="PDN56" s="257"/>
      <c r="PDO56" s="240"/>
      <c r="PDP56" s="257"/>
      <c r="PDQ56" s="240"/>
      <c r="PDT56" s="49"/>
      <c r="PDU56" s="240"/>
      <c r="PDV56" s="240"/>
      <c r="PDW56" s="240"/>
      <c r="PDX56" s="257"/>
      <c r="PDY56" s="240"/>
      <c r="PDZ56" s="257"/>
      <c r="PEA56" s="240"/>
      <c r="PED56" s="49"/>
      <c r="PEE56" s="240"/>
      <c r="PEF56" s="240"/>
      <c r="PEG56" s="240"/>
      <c r="PEH56" s="257"/>
      <c r="PEI56" s="240"/>
      <c r="PEJ56" s="257"/>
      <c r="PEK56" s="240"/>
      <c r="PEN56" s="49"/>
      <c r="PEO56" s="240"/>
      <c r="PEP56" s="240"/>
      <c r="PEQ56" s="240"/>
      <c r="PER56" s="257"/>
      <c r="PES56" s="240"/>
      <c r="PET56" s="257"/>
      <c r="PEU56" s="240"/>
      <c r="PEX56" s="49"/>
      <c r="PEY56" s="240"/>
      <c r="PEZ56" s="240"/>
      <c r="PFA56" s="240"/>
      <c r="PFB56" s="257"/>
      <c r="PFC56" s="240"/>
      <c r="PFD56" s="257"/>
      <c r="PFE56" s="240"/>
      <c r="PFH56" s="49"/>
      <c r="PFI56" s="240"/>
      <c r="PFJ56" s="240"/>
      <c r="PFK56" s="240"/>
      <c r="PFL56" s="257"/>
      <c r="PFM56" s="240"/>
      <c r="PFN56" s="257"/>
      <c r="PFO56" s="240"/>
      <c r="PFR56" s="49"/>
      <c r="PFS56" s="240"/>
      <c r="PFT56" s="240"/>
      <c r="PFU56" s="240"/>
      <c r="PFV56" s="257"/>
      <c r="PFW56" s="240"/>
      <c r="PFX56" s="257"/>
      <c r="PFY56" s="240"/>
      <c r="PGB56" s="49"/>
      <c r="PGC56" s="240"/>
      <c r="PGD56" s="240"/>
      <c r="PGE56" s="240"/>
      <c r="PGF56" s="257"/>
      <c r="PGG56" s="240"/>
      <c r="PGH56" s="257"/>
      <c r="PGI56" s="240"/>
      <c r="PGL56" s="49"/>
      <c r="PGM56" s="240"/>
      <c r="PGN56" s="240"/>
      <c r="PGO56" s="240"/>
      <c r="PGP56" s="257"/>
      <c r="PGQ56" s="240"/>
      <c r="PGR56" s="257"/>
      <c r="PGS56" s="240"/>
      <c r="PGV56" s="49"/>
      <c r="PGW56" s="240"/>
      <c r="PGX56" s="240"/>
      <c r="PGY56" s="240"/>
      <c r="PGZ56" s="257"/>
      <c r="PHA56" s="240"/>
      <c r="PHB56" s="257"/>
      <c r="PHC56" s="240"/>
      <c r="PHF56" s="49"/>
      <c r="PHG56" s="240"/>
      <c r="PHH56" s="240"/>
      <c r="PHI56" s="240"/>
      <c r="PHJ56" s="257"/>
      <c r="PHK56" s="240"/>
      <c r="PHL56" s="257"/>
      <c r="PHM56" s="240"/>
      <c r="PHP56" s="49"/>
      <c r="PHQ56" s="240"/>
      <c r="PHR56" s="240"/>
      <c r="PHS56" s="240"/>
      <c r="PHT56" s="257"/>
      <c r="PHU56" s="240"/>
      <c r="PHV56" s="257"/>
      <c r="PHW56" s="240"/>
      <c r="PHZ56" s="49"/>
      <c r="PIA56" s="240"/>
      <c r="PIB56" s="240"/>
      <c r="PIC56" s="240"/>
      <c r="PID56" s="257"/>
      <c r="PIE56" s="240"/>
      <c r="PIF56" s="257"/>
      <c r="PIG56" s="240"/>
      <c r="PIJ56" s="49"/>
      <c r="PIK56" s="240"/>
      <c r="PIL56" s="240"/>
      <c r="PIM56" s="240"/>
      <c r="PIN56" s="257"/>
      <c r="PIO56" s="240"/>
      <c r="PIP56" s="257"/>
      <c r="PIQ56" s="240"/>
      <c r="PIT56" s="49"/>
      <c r="PIU56" s="240"/>
      <c r="PIV56" s="240"/>
      <c r="PIW56" s="240"/>
      <c r="PIX56" s="257"/>
      <c r="PIY56" s="240"/>
      <c r="PIZ56" s="257"/>
      <c r="PJA56" s="240"/>
      <c r="PJD56" s="49"/>
      <c r="PJE56" s="240"/>
      <c r="PJF56" s="240"/>
      <c r="PJG56" s="240"/>
      <c r="PJH56" s="257"/>
      <c r="PJI56" s="240"/>
      <c r="PJJ56" s="257"/>
      <c r="PJK56" s="240"/>
      <c r="PJN56" s="49"/>
      <c r="PJO56" s="240"/>
      <c r="PJP56" s="240"/>
      <c r="PJQ56" s="240"/>
      <c r="PJR56" s="257"/>
      <c r="PJS56" s="240"/>
      <c r="PJT56" s="257"/>
      <c r="PJU56" s="240"/>
      <c r="PJX56" s="49"/>
      <c r="PJY56" s="240"/>
      <c r="PJZ56" s="240"/>
      <c r="PKA56" s="240"/>
      <c r="PKB56" s="257"/>
      <c r="PKC56" s="240"/>
      <c r="PKD56" s="257"/>
      <c r="PKE56" s="240"/>
      <c r="PKH56" s="49"/>
      <c r="PKI56" s="240"/>
      <c r="PKJ56" s="240"/>
      <c r="PKK56" s="240"/>
      <c r="PKL56" s="257"/>
      <c r="PKM56" s="240"/>
      <c r="PKN56" s="257"/>
      <c r="PKO56" s="240"/>
      <c r="PKR56" s="49"/>
      <c r="PKS56" s="240"/>
      <c r="PKT56" s="240"/>
      <c r="PKU56" s="240"/>
      <c r="PKV56" s="257"/>
      <c r="PKW56" s="240"/>
      <c r="PKX56" s="257"/>
      <c r="PKY56" s="240"/>
      <c r="PLB56" s="49"/>
      <c r="PLC56" s="240"/>
      <c r="PLD56" s="240"/>
      <c r="PLE56" s="240"/>
      <c r="PLF56" s="257"/>
      <c r="PLG56" s="240"/>
      <c r="PLH56" s="257"/>
      <c r="PLI56" s="240"/>
      <c r="PLL56" s="49"/>
      <c r="PLM56" s="240"/>
      <c r="PLN56" s="240"/>
      <c r="PLO56" s="240"/>
      <c r="PLP56" s="257"/>
      <c r="PLQ56" s="240"/>
      <c r="PLR56" s="257"/>
      <c r="PLS56" s="240"/>
      <c r="PLV56" s="49"/>
      <c r="PLW56" s="240"/>
      <c r="PLX56" s="240"/>
      <c r="PLY56" s="240"/>
      <c r="PLZ56" s="257"/>
      <c r="PMA56" s="240"/>
      <c r="PMB56" s="257"/>
      <c r="PMC56" s="240"/>
      <c r="PMF56" s="49"/>
      <c r="PMG56" s="240"/>
      <c r="PMH56" s="240"/>
      <c r="PMI56" s="240"/>
      <c r="PMJ56" s="257"/>
      <c r="PMK56" s="240"/>
      <c r="PML56" s="257"/>
      <c r="PMM56" s="240"/>
      <c r="PMP56" s="49"/>
      <c r="PMQ56" s="240"/>
      <c r="PMR56" s="240"/>
      <c r="PMS56" s="240"/>
      <c r="PMT56" s="257"/>
      <c r="PMU56" s="240"/>
      <c r="PMV56" s="257"/>
      <c r="PMW56" s="240"/>
      <c r="PMZ56" s="49"/>
      <c r="PNA56" s="240"/>
      <c r="PNB56" s="240"/>
      <c r="PNC56" s="240"/>
      <c r="PND56" s="257"/>
      <c r="PNE56" s="240"/>
      <c r="PNF56" s="257"/>
      <c r="PNG56" s="240"/>
      <c r="PNJ56" s="49"/>
      <c r="PNK56" s="240"/>
      <c r="PNL56" s="240"/>
      <c r="PNM56" s="240"/>
      <c r="PNN56" s="257"/>
      <c r="PNO56" s="240"/>
      <c r="PNP56" s="257"/>
      <c r="PNQ56" s="240"/>
      <c r="PNT56" s="49"/>
      <c r="PNU56" s="240"/>
      <c r="PNV56" s="240"/>
      <c r="PNW56" s="240"/>
      <c r="PNX56" s="257"/>
      <c r="PNY56" s="240"/>
      <c r="PNZ56" s="257"/>
      <c r="POA56" s="240"/>
      <c r="POD56" s="49"/>
      <c r="POE56" s="240"/>
      <c r="POF56" s="240"/>
      <c r="POG56" s="240"/>
      <c r="POH56" s="257"/>
      <c r="POI56" s="240"/>
      <c r="POJ56" s="257"/>
      <c r="POK56" s="240"/>
      <c r="PON56" s="49"/>
      <c r="POO56" s="240"/>
      <c r="POP56" s="240"/>
      <c r="POQ56" s="240"/>
      <c r="POR56" s="257"/>
      <c r="POS56" s="240"/>
      <c r="POT56" s="257"/>
      <c r="POU56" s="240"/>
      <c r="POX56" s="49"/>
      <c r="POY56" s="240"/>
      <c r="POZ56" s="240"/>
      <c r="PPA56" s="240"/>
      <c r="PPB56" s="257"/>
      <c r="PPC56" s="240"/>
      <c r="PPD56" s="257"/>
      <c r="PPE56" s="240"/>
      <c r="PPH56" s="49"/>
      <c r="PPI56" s="240"/>
      <c r="PPJ56" s="240"/>
      <c r="PPK56" s="240"/>
      <c r="PPL56" s="257"/>
      <c r="PPM56" s="240"/>
      <c r="PPN56" s="257"/>
      <c r="PPO56" s="240"/>
      <c r="PPR56" s="49"/>
      <c r="PPS56" s="240"/>
      <c r="PPT56" s="240"/>
      <c r="PPU56" s="240"/>
      <c r="PPV56" s="257"/>
      <c r="PPW56" s="240"/>
      <c r="PPX56" s="257"/>
      <c r="PPY56" s="240"/>
      <c r="PQB56" s="49"/>
      <c r="PQC56" s="240"/>
      <c r="PQD56" s="240"/>
      <c r="PQE56" s="240"/>
      <c r="PQF56" s="257"/>
      <c r="PQG56" s="240"/>
      <c r="PQH56" s="257"/>
      <c r="PQI56" s="240"/>
      <c r="PQL56" s="49"/>
      <c r="PQM56" s="240"/>
      <c r="PQN56" s="240"/>
      <c r="PQO56" s="240"/>
      <c r="PQP56" s="257"/>
      <c r="PQQ56" s="240"/>
      <c r="PQR56" s="257"/>
      <c r="PQS56" s="240"/>
      <c r="PQV56" s="49"/>
      <c r="PQW56" s="240"/>
      <c r="PQX56" s="240"/>
      <c r="PQY56" s="240"/>
      <c r="PQZ56" s="257"/>
      <c r="PRA56" s="240"/>
      <c r="PRB56" s="257"/>
      <c r="PRC56" s="240"/>
      <c r="PRF56" s="49"/>
      <c r="PRG56" s="240"/>
      <c r="PRH56" s="240"/>
      <c r="PRI56" s="240"/>
      <c r="PRJ56" s="257"/>
      <c r="PRK56" s="240"/>
      <c r="PRL56" s="257"/>
      <c r="PRM56" s="240"/>
      <c r="PRP56" s="49"/>
      <c r="PRQ56" s="240"/>
      <c r="PRR56" s="240"/>
      <c r="PRS56" s="240"/>
      <c r="PRT56" s="257"/>
      <c r="PRU56" s="240"/>
      <c r="PRV56" s="257"/>
      <c r="PRW56" s="240"/>
      <c r="PRZ56" s="49"/>
      <c r="PSA56" s="240"/>
      <c r="PSB56" s="240"/>
      <c r="PSC56" s="240"/>
      <c r="PSD56" s="257"/>
      <c r="PSE56" s="240"/>
      <c r="PSF56" s="257"/>
      <c r="PSG56" s="240"/>
      <c r="PSJ56" s="49"/>
      <c r="PSK56" s="240"/>
      <c r="PSL56" s="240"/>
      <c r="PSM56" s="240"/>
      <c r="PSN56" s="257"/>
      <c r="PSO56" s="240"/>
      <c r="PSP56" s="257"/>
      <c r="PSQ56" s="240"/>
      <c r="PST56" s="49"/>
      <c r="PSU56" s="240"/>
      <c r="PSV56" s="240"/>
      <c r="PSW56" s="240"/>
      <c r="PSX56" s="257"/>
      <c r="PSY56" s="240"/>
      <c r="PSZ56" s="257"/>
      <c r="PTA56" s="240"/>
      <c r="PTD56" s="49"/>
      <c r="PTE56" s="240"/>
      <c r="PTF56" s="240"/>
      <c r="PTG56" s="240"/>
      <c r="PTH56" s="257"/>
      <c r="PTI56" s="240"/>
      <c r="PTJ56" s="257"/>
      <c r="PTK56" s="240"/>
      <c r="PTN56" s="49"/>
      <c r="PTO56" s="240"/>
      <c r="PTP56" s="240"/>
      <c r="PTQ56" s="240"/>
      <c r="PTR56" s="257"/>
      <c r="PTS56" s="240"/>
      <c r="PTT56" s="257"/>
      <c r="PTU56" s="240"/>
      <c r="PTX56" s="49"/>
      <c r="PTY56" s="240"/>
      <c r="PTZ56" s="240"/>
      <c r="PUA56" s="240"/>
      <c r="PUB56" s="257"/>
      <c r="PUC56" s="240"/>
      <c r="PUD56" s="257"/>
      <c r="PUE56" s="240"/>
      <c r="PUH56" s="49"/>
      <c r="PUI56" s="240"/>
      <c r="PUJ56" s="240"/>
      <c r="PUK56" s="240"/>
      <c r="PUL56" s="257"/>
      <c r="PUM56" s="240"/>
      <c r="PUN56" s="257"/>
      <c r="PUO56" s="240"/>
      <c r="PUR56" s="49"/>
      <c r="PUS56" s="240"/>
      <c r="PUT56" s="240"/>
      <c r="PUU56" s="240"/>
      <c r="PUV56" s="257"/>
      <c r="PUW56" s="240"/>
      <c r="PUX56" s="257"/>
      <c r="PUY56" s="240"/>
      <c r="PVB56" s="49"/>
      <c r="PVC56" s="240"/>
      <c r="PVD56" s="240"/>
      <c r="PVE56" s="240"/>
      <c r="PVF56" s="257"/>
      <c r="PVG56" s="240"/>
      <c r="PVH56" s="257"/>
      <c r="PVI56" s="240"/>
      <c r="PVL56" s="49"/>
      <c r="PVM56" s="240"/>
      <c r="PVN56" s="240"/>
      <c r="PVO56" s="240"/>
      <c r="PVP56" s="257"/>
      <c r="PVQ56" s="240"/>
      <c r="PVR56" s="257"/>
      <c r="PVS56" s="240"/>
      <c r="PVV56" s="49"/>
      <c r="PVW56" s="240"/>
      <c r="PVX56" s="240"/>
      <c r="PVY56" s="240"/>
      <c r="PVZ56" s="257"/>
      <c r="PWA56" s="240"/>
      <c r="PWB56" s="257"/>
      <c r="PWC56" s="240"/>
      <c r="PWF56" s="49"/>
      <c r="PWG56" s="240"/>
      <c r="PWH56" s="240"/>
      <c r="PWI56" s="240"/>
      <c r="PWJ56" s="257"/>
      <c r="PWK56" s="240"/>
      <c r="PWL56" s="257"/>
      <c r="PWM56" s="240"/>
      <c r="PWP56" s="49"/>
      <c r="PWQ56" s="240"/>
      <c r="PWR56" s="240"/>
      <c r="PWS56" s="240"/>
      <c r="PWT56" s="257"/>
      <c r="PWU56" s="240"/>
      <c r="PWV56" s="257"/>
      <c r="PWW56" s="240"/>
      <c r="PWZ56" s="49"/>
      <c r="PXA56" s="240"/>
      <c r="PXB56" s="240"/>
      <c r="PXC56" s="240"/>
      <c r="PXD56" s="257"/>
      <c r="PXE56" s="240"/>
      <c r="PXF56" s="257"/>
      <c r="PXG56" s="240"/>
      <c r="PXJ56" s="49"/>
      <c r="PXK56" s="240"/>
      <c r="PXL56" s="240"/>
      <c r="PXM56" s="240"/>
      <c r="PXN56" s="257"/>
      <c r="PXO56" s="240"/>
      <c r="PXP56" s="257"/>
      <c r="PXQ56" s="240"/>
      <c r="PXT56" s="49"/>
      <c r="PXU56" s="240"/>
      <c r="PXV56" s="240"/>
      <c r="PXW56" s="240"/>
      <c r="PXX56" s="257"/>
      <c r="PXY56" s="240"/>
      <c r="PXZ56" s="257"/>
      <c r="PYA56" s="240"/>
      <c r="PYD56" s="49"/>
      <c r="PYE56" s="240"/>
      <c r="PYF56" s="240"/>
      <c r="PYG56" s="240"/>
      <c r="PYH56" s="257"/>
      <c r="PYI56" s="240"/>
      <c r="PYJ56" s="257"/>
      <c r="PYK56" s="240"/>
      <c r="PYN56" s="49"/>
      <c r="PYO56" s="240"/>
      <c r="PYP56" s="240"/>
      <c r="PYQ56" s="240"/>
      <c r="PYR56" s="257"/>
      <c r="PYS56" s="240"/>
      <c r="PYT56" s="257"/>
      <c r="PYU56" s="240"/>
      <c r="PYX56" s="49"/>
      <c r="PYY56" s="240"/>
      <c r="PYZ56" s="240"/>
      <c r="PZA56" s="240"/>
      <c r="PZB56" s="257"/>
      <c r="PZC56" s="240"/>
      <c r="PZD56" s="257"/>
      <c r="PZE56" s="240"/>
      <c r="PZH56" s="49"/>
      <c r="PZI56" s="240"/>
      <c r="PZJ56" s="240"/>
      <c r="PZK56" s="240"/>
      <c r="PZL56" s="257"/>
      <c r="PZM56" s="240"/>
      <c r="PZN56" s="257"/>
      <c r="PZO56" s="240"/>
      <c r="PZR56" s="49"/>
      <c r="PZS56" s="240"/>
      <c r="PZT56" s="240"/>
      <c r="PZU56" s="240"/>
      <c r="PZV56" s="257"/>
      <c r="PZW56" s="240"/>
      <c r="PZX56" s="257"/>
      <c r="PZY56" s="240"/>
      <c r="QAB56" s="49"/>
      <c r="QAC56" s="240"/>
      <c r="QAD56" s="240"/>
      <c r="QAE56" s="240"/>
      <c r="QAF56" s="257"/>
      <c r="QAG56" s="240"/>
      <c r="QAH56" s="257"/>
      <c r="QAI56" s="240"/>
      <c r="QAL56" s="49"/>
      <c r="QAM56" s="240"/>
      <c r="QAN56" s="240"/>
      <c r="QAO56" s="240"/>
      <c r="QAP56" s="257"/>
      <c r="QAQ56" s="240"/>
      <c r="QAR56" s="257"/>
      <c r="QAS56" s="240"/>
      <c r="QAV56" s="49"/>
      <c r="QAW56" s="240"/>
      <c r="QAX56" s="240"/>
      <c r="QAY56" s="240"/>
      <c r="QAZ56" s="257"/>
      <c r="QBA56" s="240"/>
      <c r="QBB56" s="257"/>
      <c r="QBC56" s="240"/>
      <c r="QBF56" s="49"/>
      <c r="QBG56" s="240"/>
      <c r="QBH56" s="240"/>
      <c r="QBI56" s="240"/>
      <c r="QBJ56" s="257"/>
      <c r="QBK56" s="240"/>
      <c r="QBL56" s="257"/>
      <c r="QBM56" s="240"/>
      <c r="QBP56" s="49"/>
      <c r="QBQ56" s="240"/>
      <c r="QBR56" s="240"/>
      <c r="QBS56" s="240"/>
      <c r="QBT56" s="257"/>
      <c r="QBU56" s="240"/>
      <c r="QBV56" s="257"/>
      <c r="QBW56" s="240"/>
      <c r="QBZ56" s="49"/>
      <c r="QCA56" s="240"/>
      <c r="QCB56" s="240"/>
      <c r="QCC56" s="240"/>
      <c r="QCD56" s="257"/>
      <c r="QCE56" s="240"/>
      <c r="QCF56" s="257"/>
      <c r="QCG56" s="240"/>
      <c r="QCJ56" s="49"/>
      <c r="QCK56" s="240"/>
      <c r="QCL56" s="240"/>
      <c r="QCM56" s="240"/>
      <c r="QCN56" s="257"/>
      <c r="QCO56" s="240"/>
      <c r="QCP56" s="257"/>
      <c r="QCQ56" s="240"/>
      <c r="QCT56" s="49"/>
      <c r="QCU56" s="240"/>
      <c r="QCV56" s="240"/>
      <c r="QCW56" s="240"/>
      <c r="QCX56" s="257"/>
      <c r="QCY56" s="240"/>
      <c r="QCZ56" s="257"/>
      <c r="QDA56" s="240"/>
      <c r="QDD56" s="49"/>
      <c r="QDE56" s="240"/>
      <c r="QDF56" s="240"/>
      <c r="QDG56" s="240"/>
      <c r="QDH56" s="257"/>
      <c r="QDI56" s="240"/>
      <c r="QDJ56" s="257"/>
      <c r="QDK56" s="240"/>
      <c r="QDN56" s="49"/>
      <c r="QDO56" s="240"/>
      <c r="QDP56" s="240"/>
      <c r="QDQ56" s="240"/>
      <c r="QDR56" s="257"/>
      <c r="QDS56" s="240"/>
      <c r="QDT56" s="257"/>
      <c r="QDU56" s="240"/>
      <c r="QDX56" s="49"/>
      <c r="QDY56" s="240"/>
      <c r="QDZ56" s="240"/>
      <c r="QEA56" s="240"/>
      <c r="QEB56" s="257"/>
      <c r="QEC56" s="240"/>
      <c r="QED56" s="257"/>
      <c r="QEE56" s="240"/>
      <c r="QEH56" s="49"/>
      <c r="QEI56" s="240"/>
      <c r="QEJ56" s="240"/>
      <c r="QEK56" s="240"/>
      <c r="QEL56" s="257"/>
      <c r="QEM56" s="240"/>
      <c r="QEN56" s="257"/>
      <c r="QEO56" s="240"/>
      <c r="QER56" s="49"/>
      <c r="QES56" s="240"/>
      <c r="QET56" s="240"/>
      <c r="QEU56" s="240"/>
      <c r="QEV56" s="257"/>
      <c r="QEW56" s="240"/>
      <c r="QEX56" s="257"/>
      <c r="QEY56" s="240"/>
      <c r="QFB56" s="49"/>
      <c r="QFC56" s="240"/>
      <c r="QFD56" s="240"/>
      <c r="QFE56" s="240"/>
      <c r="QFF56" s="257"/>
      <c r="QFG56" s="240"/>
      <c r="QFH56" s="257"/>
      <c r="QFI56" s="240"/>
      <c r="QFL56" s="49"/>
      <c r="QFM56" s="240"/>
      <c r="QFN56" s="240"/>
      <c r="QFO56" s="240"/>
      <c r="QFP56" s="257"/>
      <c r="QFQ56" s="240"/>
      <c r="QFR56" s="257"/>
      <c r="QFS56" s="240"/>
      <c r="QFV56" s="49"/>
      <c r="QFW56" s="240"/>
      <c r="QFX56" s="240"/>
      <c r="QFY56" s="240"/>
      <c r="QFZ56" s="257"/>
      <c r="QGA56" s="240"/>
      <c r="QGB56" s="257"/>
      <c r="QGC56" s="240"/>
      <c r="QGF56" s="49"/>
      <c r="QGG56" s="240"/>
      <c r="QGH56" s="240"/>
      <c r="QGI56" s="240"/>
      <c r="QGJ56" s="257"/>
      <c r="QGK56" s="240"/>
      <c r="QGL56" s="257"/>
      <c r="QGM56" s="240"/>
      <c r="QGP56" s="49"/>
      <c r="QGQ56" s="240"/>
      <c r="QGR56" s="240"/>
      <c r="QGS56" s="240"/>
      <c r="QGT56" s="257"/>
      <c r="QGU56" s="240"/>
      <c r="QGV56" s="257"/>
      <c r="QGW56" s="240"/>
      <c r="QGZ56" s="49"/>
      <c r="QHA56" s="240"/>
      <c r="QHB56" s="240"/>
      <c r="QHC56" s="240"/>
      <c r="QHD56" s="257"/>
      <c r="QHE56" s="240"/>
      <c r="QHF56" s="257"/>
      <c r="QHG56" s="240"/>
      <c r="QHJ56" s="49"/>
      <c r="QHK56" s="240"/>
      <c r="QHL56" s="240"/>
      <c r="QHM56" s="240"/>
      <c r="QHN56" s="257"/>
      <c r="QHO56" s="240"/>
      <c r="QHP56" s="257"/>
      <c r="QHQ56" s="240"/>
      <c r="QHT56" s="49"/>
      <c r="QHU56" s="240"/>
      <c r="QHV56" s="240"/>
      <c r="QHW56" s="240"/>
      <c r="QHX56" s="257"/>
      <c r="QHY56" s="240"/>
      <c r="QHZ56" s="257"/>
      <c r="QIA56" s="240"/>
      <c r="QID56" s="49"/>
      <c r="QIE56" s="240"/>
      <c r="QIF56" s="240"/>
      <c r="QIG56" s="240"/>
      <c r="QIH56" s="257"/>
      <c r="QII56" s="240"/>
      <c r="QIJ56" s="257"/>
      <c r="QIK56" s="240"/>
      <c r="QIN56" s="49"/>
      <c r="QIO56" s="240"/>
      <c r="QIP56" s="240"/>
      <c r="QIQ56" s="240"/>
      <c r="QIR56" s="257"/>
      <c r="QIS56" s="240"/>
      <c r="QIT56" s="257"/>
      <c r="QIU56" s="240"/>
      <c r="QIX56" s="49"/>
      <c r="QIY56" s="240"/>
      <c r="QIZ56" s="240"/>
      <c r="QJA56" s="240"/>
      <c r="QJB56" s="257"/>
      <c r="QJC56" s="240"/>
      <c r="QJD56" s="257"/>
      <c r="QJE56" s="240"/>
      <c r="QJH56" s="49"/>
      <c r="QJI56" s="240"/>
      <c r="QJJ56" s="240"/>
      <c r="QJK56" s="240"/>
      <c r="QJL56" s="257"/>
      <c r="QJM56" s="240"/>
      <c r="QJN56" s="257"/>
      <c r="QJO56" s="240"/>
      <c r="QJR56" s="49"/>
      <c r="QJS56" s="240"/>
      <c r="QJT56" s="240"/>
      <c r="QJU56" s="240"/>
      <c r="QJV56" s="257"/>
      <c r="QJW56" s="240"/>
      <c r="QJX56" s="257"/>
      <c r="QJY56" s="240"/>
      <c r="QKB56" s="49"/>
      <c r="QKC56" s="240"/>
      <c r="QKD56" s="240"/>
      <c r="QKE56" s="240"/>
      <c r="QKF56" s="257"/>
      <c r="QKG56" s="240"/>
      <c r="QKH56" s="257"/>
      <c r="QKI56" s="240"/>
      <c r="QKL56" s="49"/>
      <c r="QKM56" s="240"/>
      <c r="QKN56" s="240"/>
      <c r="QKO56" s="240"/>
      <c r="QKP56" s="257"/>
      <c r="QKQ56" s="240"/>
      <c r="QKR56" s="257"/>
      <c r="QKS56" s="240"/>
      <c r="QKV56" s="49"/>
      <c r="QKW56" s="240"/>
      <c r="QKX56" s="240"/>
      <c r="QKY56" s="240"/>
      <c r="QKZ56" s="257"/>
      <c r="QLA56" s="240"/>
      <c r="QLB56" s="257"/>
      <c r="QLC56" s="240"/>
      <c r="QLF56" s="49"/>
      <c r="QLG56" s="240"/>
      <c r="QLH56" s="240"/>
      <c r="QLI56" s="240"/>
      <c r="QLJ56" s="257"/>
      <c r="QLK56" s="240"/>
      <c r="QLL56" s="257"/>
      <c r="QLM56" s="240"/>
      <c r="QLP56" s="49"/>
      <c r="QLQ56" s="240"/>
      <c r="QLR56" s="240"/>
      <c r="QLS56" s="240"/>
      <c r="QLT56" s="257"/>
      <c r="QLU56" s="240"/>
      <c r="QLV56" s="257"/>
      <c r="QLW56" s="240"/>
      <c r="QLZ56" s="49"/>
      <c r="QMA56" s="240"/>
      <c r="QMB56" s="240"/>
      <c r="QMC56" s="240"/>
      <c r="QMD56" s="257"/>
      <c r="QME56" s="240"/>
      <c r="QMF56" s="257"/>
      <c r="QMG56" s="240"/>
      <c r="QMJ56" s="49"/>
      <c r="QMK56" s="240"/>
      <c r="QML56" s="240"/>
      <c r="QMM56" s="240"/>
      <c r="QMN56" s="257"/>
      <c r="QMO56" s="240"/>
      <c r="QMP56" s="257"/>
      <c r="QMQ56" s="240"/>
      <c r="QMT56" s="49"/>
      <c r="QMU56" s="240"/>
      <c r="QMV56" s="240"/>
      <c r="QMW56" s="240"/>
      <c r="QMX56" s="257"/>
      <c r="QMY56" s="240"/>
      <c r="QMZ56" s="257"/>
      <c r="QNA56" s="240"/>
      <c r="QND56" s="49"/>
      <c r="QNE56" s="240"/>
      <c r="QNF56" s="240"/>
      <c r="QNG56" s="240"/>
      <c r="QNH56" s="257"/>
      <c r="QNI56" s="240"/>
      <c r="QNJ56" s="257"/>
      <c r="QNK56" s="240"/>
      <c r="QNN56" s="49"/>
      <c r="QNO56" s="240"/>
      <c r="QNP56" s="240"/>
      <c r="QNQ56" s="240"/>
      <c r="QNR56" s="257"/>
      <c r="QNS56" s="240"/>
      <c r="QNT56" s="257"/>
      <c r="QNU56" s="240"/>
      <c r="QNX56" s="49"/>
      <c r="QNY56" s="240"/>
      <c r="QNZ56" s="240"/>
      <c r="QOA56" s="240"/>
      <c r="QOB56" s="257"/>
      <c r="QOC56" s="240"/>
      <c r="QOD56" s="257"/>
      <c r="QOE56" s="240"/>
      <c r="QOH56" s="49"/>
      <c r="QOI56" s="240"/>
      <c r="QOJ56" s="240"/>
      <c r="QOK56" s="240"/>
      <c r="QOL56" s="257"/>
      <c r="QOM56" s="240"/>
      <c r="QON56" s="257"/>
      <c r="QOO56" s="240"/>
      <c r="QOR56" s="49"/>
      <c r="QOS56" s="240"/>
      <c r="QOT56" s="240"/>
      <c r="QOU56" s="240"/>
      <c r="QOV56" s="257"/>
      <c r="QOW56" s="240"/>
      <c r="QOX56" s="257"/>
      <c r="QOY56" s="240"/>
      <c r="QPB56" s="49"/>
      <c r="QPC56" s="240"/>
      <c r="QPD56" s="240"/>
      <c r="QPE56" s="240"/>
      <c r="QPF56" s="257"/>
      <c r="QPG56" s="240"/>
      <c r="QPH56" s="257"/>
      <c r="QPI56" s="240"/>
      <c r="QPL56" s="49"/>
      <c r="QPM56" s="240"/>
      <c r="QPN56" s="240"/>
      <c r="QPO56" s="240"/>
      <c r="QPP56" s="257"/>
      <c r="QPQ56" s="240"/>
      <c r="QPR56" s="257"/>
      <c r="QPS56" s="240"/>
      <c r="QPV56" s="49"/>
      <c r="QPW56" s="240"/>
      <c r="QPX56" s="240"/>
      <c r="QPY56" s="240"/>
      <c r="QPZ56" s="257"/>
      <c r="QQA56" s="240"/>
      <c r="QQB56" s="257"/>
      <c r="QQC56" s="240"/>
      <c r="QQF56" s="49"/>
      <c r="QQG56" s="240"/>
      <c r="QQH56" s="240"/>
      <c r="QQI56" s="240"/>
      <c r="QQJ56" s="257"/>
      <c r="QQK56" s="240"/>
      <c r="QQL56" s="257"/>
      <c r="QQM56" s="240"/>
      <c r="QQP56" s="49"/>
      <c r="QQQ56" s="240"/>
      <c r="QQR56" s="240"/>
      <c r="QQS56" s="240"/>
      <c r="QQT56" s="257"/>
      <c r="QQU56" s="240"/>
      <c r="QQV56" s="257"/>
      <c r="QQW56" s="240"/>
      <c r="QQZ56" s="49"/>
      <c r="QRA56" s="240"/>
      <c r="QRB56" s="240"/>
      <c r="QRC56" s="240"/>
      <c r="QRD56" s="257"/>
      <c r="QRE56" s="240"/>
      <c r="QRF56" s="257"/>
      <c r="QRG56" s="240"/>
      <c r="QRJ56" s="49"/>
      <c r="QRK56" s="240"/>
      <c r="QRL56" s="240"/>
      <c r="QRM56" s="240"/>
      <c r="QRN56" s="257"/>
      <c r="QRO56" s="240"/>
      <c r="QRP56" s="257"/>
      <c r="QRQ56" s="240"/>
      <c r="QRT56" s="49"/>
      <c r="QRU56" s="240"/>
      <c r="QRV56" s="240"/>
      <c r="QRW56" s="240"/>
      <c r="QRX56" s="257"/>
      <c r="QRY56" s="240"/>
      <c r="QRZ56" s="257"/>
      <c r="QSA56" s="240"/>
      <c r="QSD56" s="49"/>
      <c r="QSE56" s="240"/>
      <c r="QSF56" s="240"/>
      <c r="QSG56" s="240"/>
      <c r="QSH56" s="257"/>
      <c r="QSI56" s="240"/>
      <c r="QSJ56" s="257"/>
      <c r="QSK56" s="240"/>
      <c r="QSN56" s="49"/>
      <c r="QSO56" s="240"/>
      <c r="QSP56" s="240"/>
      <c r="QSQ56" s="240"/>
      <c r="QSR56" s="257"/>
      <c r="QSS56" s="240"/>
      <c r="QST56" s="257"/>
      <c r="QSU56" s="240"/>
      <c r="QSX56" s="49"/>
      <c r="QSY56" s="240"/>
      <c r="QSZ56" s="240"/>
      <c r="QTA56" s="240"/>
      <c r="QTB56" s="257"/>
      <c r="QTC56" s="240"/>
      <c r="QTD56" s="257"/>
      <c r="QTE56" s="240"/>
      <c r="QTH56" s="49"/>
      <c r="QTI56" s="240"/>
      <c r="QTJ56" s="240"/>
      <c r="QTK56" s="240"/>
      <c r="QTL56" s="257"/>
      <c r="QTM56" s="240"/>
      <c r="QTN56" s="257"/>
      <c r="QTO56" s="240"/>
      <c r="QTR56" s="49"/>
      <c r="QTS56" s="240"/>
      <c r="QTT56" s="240"/>
      <c r="QTU56" s="240"/>
      <c r="QTV56" s="257"/>
      <c r="QTW56" s="240"/>
      <c r="QTX56" s="257"/>
      <c r="QTY56" s="240"/>
      <c r="QUB56" s="49"/>
      <c r="QUC56" s="240"/>
      <c r="QUD56" s="240"/>
      <c r="QUE56" s="240"/>
      <c r="QUF56" s="257"/>
      <c r="QUG56" s="240"/>
      <c r="QUH56" s="257"/>
      <c r="QUI56" s="240"/>
      <c r="QUL56" s="49"/>
      <c r="QUM56" s="240"/>
      <c r="QUN56" s="240"/>
      <c r="QUO56" s="240"/>
      <c r="QUP56" s="257"/>
      <c r="QUQ56" s="240"/>
      <c r="QUR56" s="257"/>
      <c r="QUS56" s="240"/>
      <c r="QUV56" s="49"/>
      <c r="QUW56" s="240"/>
      <c r="QUX56" s="240"/>
      <c r="QUY56" s="240"/>
      <c r="QUZ56" s="257"/>
      <c r="QVA56" s="240"/>
      <c r="QVB56" s="257"/>
      <c r="QVC56" s="240"/>
      <c r="QVF56" s="49"/>
      <c r="QVG56" s="240"/>
      <c r="QVH56" s="240"/>
      <c r="QVI56" s="240"/>
      <c r="QVJ56" s="257"/>
      <c r="QVK56" s="240"/>
      <c r="QVL56" s="257"/>
      <c r="QVM56" s="240"/>
      <c r="QVP56" s="49"/>
      <c r="QVQ56" s="240"/>
      <c r="QVR56" s="240"/>
      <c r="QVS56" s="240"/>
      <c r="QVT56" s="257"/>
      <c r="QVU56" s="240"/>
      <c r="QVV56" s="257"/>
      <c r="QVW56" s="240"/>
      <c r="QVZ56" s="49"/>
      <c r="QWA56" s="240"/>
      <c r="QWB56" s="240"/>
      <c r="QWC56" s="240"/>
      <c r="QWD56" s="257"/>
      <c r="QWE56" s="240"/>
      <c r="QWF56" s="257"/>
      <c r="QWG56" s="240"/>
      <c r="QWJ56" s="49"/>
      <c r="QWK56" s="240"/>
      <c r="QWL56" s="240"/>
      <c r="QWM56" s="240"/>
      <c r="QWN56" s="257"/>
      <c r="QWO56" s="240"/>
      <c r="QWP56" s="257"/>
      <c r="QWQ56" s="240"/>
      <c r="QWT56" s="49"/>
      <c r="QWU56" s="240"/>
      <c r="QWV56" s="240"/>
      <c r="QWW56" s="240"/>
      <c r="QWX56" s="257"/>
      <c r="QWY56" s="240"/>
      <c r="QWZ56" s="257"/>
      <c r="QXA56" s="240"/>
      <c r="QXD56" s="49"/>
      <c r="QXE56" s="240"/>
      <c r="QXF56" s="240"/>
      <c r="QXG56" s="240"/>
      <c r="QXH56" s="257"/>
      <c r="QXI56" s="240"/>
      <c r="QXJ56" s="257"/>
      <c r="QXK56" s="240"/>
      <c r="QXN56" s="49"/>
      <c r="QXO56" s="240"/>
      <c r="QXP56" s="240"/>
      <c r="QXQ56" s="240"/>
      <c r="QXR56" s="257"/>
      <c r="QXS56" s="240"/>
      <c r="QXT56" s="257"/>
      <c r="QXU56" s="240"/>
      <c r="QXX56" s="49"/>
      <c r="QXY56" s="240"/>
      <c r="QXZ56" s="240"/>
      <c r="QYA56" s="240"/>
      <c r="QYB56" s="257"/>
      <c r="QYC56" s="240"/>
      <c r="QYD56" s="257"/>
      <c r="QYE56" s="240"/>
      <c r="QYH56" s="49"/>
      <c r="QYI56" s="240"/>
      <c r="QYJ56" s="240"/>
      <c r="QYK56" s="240"/>
      <c r="QYL56" s="257"/>
      <c r="QYM56" s="240"/>
      <c r="QYN56" s="257"/>
      <c r="QYO56" s="240"/>
      <c r="QYR56" s="49"/>
      <c r="QYS56" s="240"/>
      <c r="QYT56" s="240"/>
      <c r="QYU56" s="240"/>
      <c r="QYV56" s="257"/>
      <c r="QYW56" s="240"/>
      <c r="QYX56" s="257"/>
      <c r="QYY56" s="240"/>
      <c r="QZB56" s="49"/>
      <c r="QZC56" s="240"/>
      <c r="QZD56" s="240"/>
      <c r="QZE56" s="240"/>
      <c r="QZF56" s="257"/>
      <c r="QZG56" s="240"/>
      <c r="QZH56" s="257"/>
      <c r="QZI56" s="240"/>
      <c r="QZL56" s="49"/>
      <c r="QZM56" s="240"/>
      <c r="QZN56" s="240"/>
      <c r="QZO56" s="240"/>
      <c r="QZP56" s="257"/>
      <c r="QZQ56" s="240"/>
      <c r="QZR56" s="257"/>
      <c r="QZS56" s="240"/>
      <c r="QZV56" s="49"/>
      <c r="QZW56" s="240"/>
      <c r="QZX56" s="240"/>
      <c r="QZY56" s="240"/>
      <c r="QZZ56" s="257"/>
      <c r="RAA56" s="240"/>
      <c r="RAB56" s="257"/>
      <c r="RAC56" s="240"/>
      <c r="RAF56" s="49"/>
      <c r="RAG56" s="240"/>
      <c r="RAH56" s="240"/>
      <c r="RAI56" s="240"/>
      <c r="RAJ56" s="257"/>
      <c r="RAK56" s="240"/>
      <c r="RAL56" s="257"/>
      <c r="RAM56" s="240"/>
      <c r="RAP56" s="49"/>
      <c r="RAQ56" s="240"/>
      <c r="RAR56" s="240"/>
      <c r="RAS56" s="240"/>
      <c r="RAT56" s="257"/>
      <c r="RAU56" s="240"/>
      <c r="RAV56" s="257"/>
      <c r="RAW56" s="240"/>
      <c r="RAZ56" s="49"/>
      <c r="RBA56" s="240"/>
      <c r="RBB56" s="240"/>
      <c r="RBC56" s="240"/>
      <c r="RBD56" s="257"/>
      <c r="RBE56" s="240"/>
      <c r="RBF56" s="257"/>
      <c r="RBG56" s="240"/>
      <c r="RBJ56" s="49"/>
      <c r="RBK56" s="240"/>
      <c r="RBL56" s="240"/>
      <c r="RBM56" s="240"/>
      <c r="RBN56" s="257"/>
      <c r="RBO56" s="240"/>
      <c r="RBP56" s="257"/>
      <c r="RBQ56" s="240"/>
      <c r="RBT56" s="49"/>
      <c r="RBU56" s="240"/>
      <c r="RBV56" s="240"/>
      <c r="RBW56" s="240"/>
      <c r="RBX56" s="257"/>
      <c r="RBY56" s="240"/>
      <c r="RBZ56" s="257"/>
      <c r="RCA56" s="240"/>
      <c r="RCD56" s="49"/>
      <c r="RCE56" s="240"/>
      <c r="RCF56" s="240"/>
      <c r="RCG56" s="240"/>
      <c r="RCH56" s="257"/>
      <c r="RCI56" s="240"/>
      <c r="RCJ56" s="257"/>
      <c r="RCK56" s="240"/>
      <c r="RCN56" s="49"/>
      <c r="RCO56" s="240"/>
      <c r="RCP56" s="240"/>
      <c r="RCQ56" s="240"/>
      <c r="RCR56" s="257"/>
      <c r="RCS56" s="240"/>
      <c r="RCT56" s="257"/>
      <c r="RCU56" s="240"/>
      <c r="RCX56" s="49"/>
      <c r="RCY56" s="240"/>
      <c r="RCZ56" s="240"/>
      <c r="RDA56" s="240"/>
      <c r="RDB56" s="257"/>
      <c r="RDC56" s="240"/>
      <c r="RDD56" s="257"/>
      <c r="RDE56" s="240"/>
      <c r="RDH56" s="49"/>
      <c r="RDI56" s="240"/>
      <c r="RDJ56" s="240"/>
      <c r="RDK56" s="240"/>
      <c r="RDL56" s="257"/>
      <c r="RDM56" s="240"/>
      <c r="RDN56" s="257"/>
      <c r="RDO56" s="240"/>
      <c r="RDR56" s="49"/>
      <c r="RDS56" s="240"/>
      <c r="RDT56" s="240"/>
      <c r="RDU56" s="240"/>
      <c r="RDV56" s="257"/>
      <c r="RDW56" s="240"/>
      <c r="RDX56" s="257"/>
      <c r="RDY56" s="240"/>
      <c r="REB56" s="49"/>
      <c r="REC56" s="240"/>
      <c r="RED56" s="240"/>
      <c r="REE56" s="240"/>
      <c r="REF56" s="257"/>
      <c r="REG56" s="240"/>
      <c r="REH56" s="257"/>
      <c r="REI56" s="240"/>
      <c r="REL56" s="49"/>
      <c r="REM56" s="240"/>
      <c r="REN56" s="240"/>
      <c r="REO56" s="240"/>
      <c r="REP56" s="257"/>
      <c r="REQ56" s="240"/>
      <c r="RER56" s="257"/>
      <c r="RES56" s="240"/>
      <c r="REV56" s="49"/>
      <c r="REW56" s="240"/>
      <c r="REX56" s="240"/>
      <c r="REY56" s="240"/>
      <c r="REZ56" s="257"/>
      <c r="RFA56" s="240"/>
      <c r="RFB56" s="257"/>
      <c r="RFC56" s="240"/>
      <c r="RFF56" s="49"/>
      <c r="RFG56" s="240"/>
      <c r="RFH56" s="240"/>
      <c r="RFI56" s="240"/>
      <c r="RFJ56" s="257"/>
      <c r="RFK56" s="240"/>
      <c r="RFL56" s="257"/>
      <c r="RFM56" s="240"/>
      <c r="RFP56" s="49"/>
      <c r="RFQ56" s="240"/>
      <c r="RFR56" s="240"/>
      <c r="RFS56" s="240"/>
      <c r="RFT56" s="257"/>
      <c r="RFU56" s="240"/>
      <c r="RFV56" s="257"/>
      <c r="RFW56" s="240"/>
      <c r="RFZ56" s="49"/>
      <c r="RGA56" s="240"/>
      <c r="RGB56" s="240"/>
      <c r="RGC56" s="240"/>
      <c r="RGD56" s="257"/>
      <c r="RGE56" s="240"/>
      <c r="RGF56" s="257"/>
      <c r="RGG56" s="240"/>
      <c r="RGJ56" s="49"/>
      <c r="RGK56" s="240"/>
      <c r="RGL56" s="240"/>
      <c r="RGM56" s="240"/>
      <c r="RGN56" s="257"/>
      <c r="RGO56" s="240"/>
      <c r="RGP56" s="257"/>
      <c r="RGQ56" s="240"/>
      <c r="RGT56" s="49"/>
      <c r="RGU56" s="240"/>
      <c r="RGV56" s="240"/>
      <c r="RGW56" s="240"/>
      <c r="RGX56" s="257"/>
      <c r="RGY56" s="240"/>
      <c r="RGZ56" s="257"/>
      <c r="RHA56" s="240"/>
      <c r="RHD56" s="49"/>
      <c r="RHE56" s="240"/>
      <c r="RHF56" s="240"/>
      <c r="RHG56" s="240"/>
      <c r="RHH56" s="257"/>
      <c r="RHI56" s="240"/>
      <c r="RHJ56" s="257"/>
      <c r="RHK56" s="240"/>
      <c r="RHN56" s="49"/>
      <c r="RHO56" s="240"/>
      <c r="RHP56" s="240"/>
      <c r="RHQ56" s="240"/>
      <c r="RHR56" s="257"/>
      <c r="RHS56" s="240"/>
      <c r="RHT56" s="257"/>
      <c r="RHU56" s="240"/>
      <c r="RHX56" s="49"/>
      <c r="RHY56" s="240"/>
      <c r="RHZ56" s="240"/>
      <c r="RIA56" s="240"/>
      <c r="RIB56" s="257"/>
      <c r="RIC56" s="240"/>
      <c r="RID56" s="257"/>
      <c r="RIE56" s="240"/>
      <c r="RIH56" s="49"/>
      <c r="RII56" s="240"/>
      <c r="RIJ56" s="240"/>
      <c r="RIK56" s="240"/>
      <c r="RIL56" s="257"/>
      <c r="RIM56" s="240"/>
      <c r="RIN56" s="257"/>
      <c r="RIO56" s="240"/>
      <c r="RIR56" s="49"/>
      <c r="RIS56" s="240"/>
      <c r="RIT56" s="240"/>
      <c r="RIU56" s="240"/>
      <c r="RIV56" s="257"/>
      <c r="RIW56" s="240"/>
      <c r="RIX56" s="257"/>
      <c r="RIY56" s="240"/>
      <c r="RJB56" s="49"/>
      <c r="RJC56" s="240"/>
      <c r="RJD56" s="240"/>
      <c r="RJE56" s="240"/>
      <c r="RJF56" s="257"/>
      <c r="RJG56" s="240"/>
      <c r="RJH56" s="257"/>
      <c r="RJI56" s="240"/>
      <c r="RJL56" s="49"/>
      <c r="RJM56" s="240"/>
      <c r="RJN56" s="240"/>
      <c r="RJO56" s="240"/>
      <c r="RJP56" s="257"/>
      <c r="RJQ56" s="240"/>
      <c r="RJR56" s="257"/>
      <c r="RJS56" s="240"/>
      <c r="RJV56" s="49"/>
      <c r="RJW56" s="240"/>
      <c r="RJX56" s="240"/>
      <c r="RJY56" s="240"/>
      <c r="RJZ56" s="257"/>
      <c r="RKA56" s="240"/>
      <c r="RKB56" s="257"/>
      <c r="RKC56" s="240"/>
      <c r="RKF56" s="49"/>
      <c r="RKG56" s="240"/>
      <c r="RKH56" s="240"/>
      <c r="RKI56" s="240"/>
      <c r="RKJ56" s="257"/>
      <c r="RKK56" s="240"/>
      <c r="RKL56" s="257"/>
      <c r="RKM56" s="240"/>
      <c r="RKP56" s="49"/>
      <c r="RKQ56" s="240"/>
      <c r="RKR56" s="240"/>
      <c r="RKS56" s="240"/>
      <c r="RKT56" s="257"/>
      <c r="RKU56" s="240"/>
      <c r="RKV56" s="257"/>
      <c r="RKW56" s="240"/>
      <c r="RKZ56" s="49"/>
      <c r="RLA56" s="240"/>
      <c r="RLB56" s="240"/>
      <c r="RLC56" s="240"/>
      <c r="RLD56" s="257"/>
      <c r="RLE56" s="240"/>
      <c r="RLF56" s="257"/>
      <c r="RLG56" s="240"/>
      <c r="RLJ56" s="49"/>
      <c r="RLK56" s="240"/>
      <c r="RLL56" s="240"/>
      <c r="RLM56" s="240"/>
      <c r="RLN56" s="257"/>
      <c r="RLO56" s="240"/>
      <c r="RLP56" s="257"/>
      <c r="RLQ56" s="240"/>
      <c r="RLT56" s="49"/>
      <c r="RLU56" s="240"/>
      <c r="RLV56" s="240"/>
      <c r="RLW56" s="240"/>
      <c r="RLX56" s="257"/>
      <c r="RLY56" s="240"/>
      <c r="RLZ56" s="257"/>
      <c r="RMA56" s="240"/>
      <c r="RMD56" s="49"/>
      <c r="RME56" s="240"/>
      <c r="RMF56" s="240"/>
      <c r="RMG56" s="240"/>
      <c r="RMH56" s="257"/>
      <c r="RMI56" s="240"/>
      <c r="RMJ56" s="257"/>
      <c r="RMK56" s="240"/>
      <c r="RMN56" s="49"/>
      <c r="RMO56" s="240"/>
      <c r="RMP56" s="240"/>
      <c r="RMQ56" s="240"/>
      <c r="RMR56" s="257"/>
      <c r="RMS56" s="240"/>
      <c r="RMT56" s="257"/>
      <c r="RMU56" s="240"/>
      <c r="RMX56" s="49"/>
      <c r="RMY56" s="240"/>
      <c r="RMZ56" s="240"/>
      <c r="RNA56" s="240"/>
      <c r="RNB56" s="257"/>
      <c r="RNC56" s="240"/>
      <c r="RND56" s="257"/>
      <c r="RNE56" s="240"/>
      <c r="RNH56" s="49"/>
      <c r="RNI56" s="240"/>
      <c r="RNJ56" s="240"/>
      <c r="RNK56" s="240"/>
      <c r="RNL56" s="257"/>
      <c r="RNM56" s="240"/>
      <c r="RNN56" s="257"/>
      <c r="RNO56" s="240"/>
      <c r="RNR56" s="49"/>
      <c r="RNS56" s="240"/>
      <c r="RNT56" s="240"/>
      <c r="RNU56" s="240"/>
      <c r="RNV56" s="257"/>
      <c r="RNW56" s="240"/>
      <c r="RNX56" s="257"/>
      <c r="RNY56" s="240"/>
      <c r="ROB56" s="49"/>
      <c r="ROC56" s="240"/>
      <c r="ROD56" s="240"/>
      <c r="ROE56" s="240"/>
      <c r="ROF56" s="257"/>
      <c r="ROG56" s="240"/>
      <c r="ROH56" s="257"/>
      <c r="ROI56" s="240"/>
      <c r="ROL56" s="49"/>
      <c r="ROM56" s="240"/>
      <c r="RON56" s="240"/>
      <c r="ROO56" s="240"/>
      <c r="ROP56" s="257"/>
      <c r="ROQ56" s="240"/>
      <c r="ROR56" s="257"/>
      <c r="ROS56" s="240"/>
      <c r="ROV56" s="49"/>
      <c r="ROW56" s="240"/>
      <c r="ROX56" s="240"/>
      <c r="ROY56" s="240"/>
      <c r="ROZ56" s="257"/>
      <c r="RPA56" s="240"/>
      <c r="RPB56" s="257"/>
      <c r="RPC56" s="240"/>
      <c r="RPF56" s="49"/>
      <c r="RPG56" s="240"/>
      <c r="RPH56" s="240"/>
      <c r="RPI56" s="240"/>
      <c r="RPJ56" s="257"/>
      <c r="RPK56" s="240"/>
      <c r="RPL56" s="257"/>
      <c r="RPM56" s="240"/>
      <c r="RPP56" s="49"/>
      <c r="RPQ56" s="240"/>
      <c r="RPR56" s="240"/>
      <c r="RPS56" s="240"/>
      <c r="RPT56" s="257"/>
      <c r="RPU56" s="240"/>
      <c r="RPV56" s="257"/>
      <c r="RPW56" s="240"/>
      <c r="RPZ56" s="49"/>
      <c r="RQA56" s="240"/>
      <c r="RQB56" s="240"/>
      <c r="RQC56" s="240"/>
      <c r="RQD56" s="257"/>
      <c r="RQE56" s="240"/>
      <c r="RQF56" s="257"/>
      <c r="RQG56" s="240"/>
      <c r="RQJ56" s="49"/>
      <c r="RQK56" s="240"/>
      <c r="RQL56" s="240"/>
      <c r="RQM56" s="240"/>
      <c r="RQN56" s="257"/>
      <c r="RQO56" s="240"/>
      <c r="RQP56" s="257"/>
      <c r="RQQ56" s="240"/>
      <c r="RQT56" s="49"/>
      <c r="RQU56" s="240"/>
      <c r="RQV56" s="240"/>
      <c r="RQW56" s="240"/>
      <c r="RQX56" s="257"/>
      <c r="RQY56" s="240"/>
      <c r="RQZ56" s="257"/>
      <c r="RRA56" s="240"/>
      <c r="RRD56" s="49"/>
      <c r="RRE56" s="240"/>
      <c r="RRF56" s="240"/>
      <c r="RRG56" s="240"/>
      <c r="RRH56" s="257"/>
      <c r="RRI56" s="240"/>
      <c r="RRJ56" s="257"/>
      <c r="RRK56" s="240"/>
      <c r="RRN56" s="49"/>
      <c r="RRO56" s="240"/>
      <c r="RRP56" s="240"/>
      <c r="RRQ56" s="240"/>
      <c r="RRR56" s="257"/>
      <c r="RRS56" s="240"/>
      <c r="RRT56" s="257"/>
      <c r="RRU56" s="240"/>
      <c r="RRX56" s="49"/>
      <c r="RRY56" s="240"/>
      <c r="RRZ56" s="240"/>
      <c r="RSA56" s="240"/>
      <c r="RSB56" s="257"/>
      <c r="RSC56" s="240"/>
      <c r="RSD56" s="257"/>
      <c r="RSE56" s="240"/>
      <c r="RSH56" s="49"/>
      <c r="RSI56" s="240"/>
      <c r="RSJ56" s="240"/>
      <c r="RSK56" s="240"/>
      <c r="RSL56" s="257"/>
      <c r="RSM56" s="240"/>
      <c r="RSN56" s="257"/>
      <c r="RSO56" s="240"/>
      <c r="RSR56" s="49"/>
      <c r="RSS56" s="240"/>
      <c r="RST56" s="240"/>
      <c r="RSU56" s="240"/>
      <c r="RSV56" s="257"/>
      <c r="RSW56" s="240"/>
      <c r="RSX56" s="257"/>
      <c r="RSY56" s="240"/>
      <c r="RTB56" s="49"/>
      <c r="RTC56" s="240"/>
      <c r="RTD56" s="240"/>
      <c r="RTE56" s="240"/>
      <c r="RTF56" s="257"/>
      <c r="RTG56" s="240"/>
      <c r="RTH56" s="257"/>
      <c r="RTI56" s="240"/>
      <c r="RTL56" s="49"/>
      <c r="RTM56" s="240"/>
      <c r="RTN56" s="240"/>
      <c r="RTO56" s="240"/>
      <c r="RTP56" s="257"/>
      <c r="RTQ56" s="240"/>
      <c r="RTR56" s="257"/>
      <c r="RTS56" s="240"/>
      <c r="RTV56" s="49"/>
      <c r="RTW56" s="240"/>
      <c r="RTX56" s="240"/>
      <c r="RTY56" s="240"/>
      <c r="RTZ56" s="257"/>
      <c r="RUA56" s="240"/>
      <c r="RUB56" s="257"/>
      <c r="RUC56" s="240"/>
      <c r="RUF56" s="49"/>
      <c r="RUG56" s="240"/>
      <c r="RUH56" s="240"/>
      <c r="RUI56" s="240"/>
      <c r="RUJ56" s="257"/>
      <c r="RUK56" s="240"/>
      <c r="RUL56" s="257"/>
      <c r="RUM56" s="240"/>
      <c r="RUP56" s="49"/>
      <c r="RUQ56" s="240"/>
      <c r="RUR56" s="240"/>
      <c r="RUS56" s="240"/>
      <c r="RUT56" s="257"/>
      <c r="RUU56" s="240"/>
      <c r="RUV56" s="257"/>
      <c r="RUW56" s="240"/>
      <c r="RUZ56" s="49"/>
      <c r="RVA56" s="240"/>
      <c r="RVB56" s="240"/>
      <c r="RVC56" s="240"/>
      <c r="RVD56" s="257"/>
      <c r="RVE56" s="240"/>
      <c r="RVF56" s="257"/>
      <c r="RVG56" s="240"/>
      <c r="RVJ56" s="49"/>
      <c r="RVK56" s="240"/>
      <c r="RVL56" s="240"/>
      <c r="RVM56" s="240"/>
      <c r="RVN56" s="257"/>
      <c r="RVO56" s="240"/>
      <c r="RVP56" s="257"/>
      <c r="RVQ56" s="240"/>
      <c r="RVT56" s="49"/>
      <c r="RVU56" s="240"/>
      <c r="RVV56" s="240"/>
      <c r="RVW56" s="240"/>
      <c r="RVX56" s="257"/>
      <c r="RVY56" s="240"/>
      <c r="RVZ56" s="257"/>
      <c r="RWA56" s="240"/>
      <c r="RWD56" s="49"/>
      <c r="RWE56" s="240"/>
      <c r="RWF56" s="240"/>
      <c r="RWG56" s="240"/>
      <c r="RWH56" s="257"/>
      <c r="RWI56" s="240"/>
      <c r="RWJ56" s="257"/>
      <c r="RWK56" s="240"/>
      <c r="RWN56" s="49"/>
      <c r="RWO56" s="240"/>
      <c r="RWP56" s="240"/>
      <c r="RWQ56" s="240"/>
      <c r="RWR56" s="257"/>
      <c r="RWS56" s="240"/>
      <c r="RWT56" s="257"/>
      <c r="RWU56" s="240"/>
      <c r="RWX56" s="49"/>
      <c r="RWY56" s="240"/>
      <c r="RWZ56" s="240"/>
      <c r="RXA56" s="240"/>
      <c r="RXB56" s="257"/>
      <c r="RXC56" s="240"/>
      <c r="RXD56" s="257"/>
      <c r="RXE56" s="240"/>
      <c r="RXH56" s="49"/>
      <c r="RXI56" s="240"/>
      <c r="RXJ56" s="240"/>
      <c r="RXK56" s="240"/>
      <c r="RXL56" s="257"/>
      <c r="RXM56" s="240"/>
      <c r="RXN56" s="257"/>
      <c r="RXO56" s="240"/>
      <c r="RXR56" s="49"/>
      <c r="RXS56" s="240"/>
      <c r="RXT56" s="240"/>
      <c r="RXU56" s="240"/>
      <c r="RXV56" s="257"/>
      <c r="RXW56" s="240"/>
      <c r="RXX56" s="257"/>
      <c r="RXY56" s="240"/>
      <c r="RYB56" s="49"/>
      <c r="RYC56" s="240"/>
      <c r="RYD56" s="240"/>
      <c r="RYE56" s="240"/>
      <c r="RYF56" s="257"/>
      <c r="RYG56" s="240"/>
      <c r="RYH56" s="257"/>
      <c r="RYI56" s="240"/>
      <c r="RYL56" s="49"/>
      <c r="RYM56" s="240"/>
      <c r="RYN56" s="240"/>
      <c r="RYO56" s="240"/>
      <c r="RYP56" s="257"/>
      <c r="RYQ56" s="240"/>
      <c r="RYR56" s="257"/>
      <c r="RYS56" s="240"/>
      <c r="RYV56" s="49"/>
      <c r="RYW56" s="240"/>
      <c r="RYX56" s="240"/>
      <c r="RYY56" s="240"/>
      <c r="RYZ56" s="257"/>
      <c r="RZA56" s="240"/>
      <c r="RZB56" s="257"/>
      <c r="RZC56" s="240"/>
      <c r="RZF56" s="49"/>
      <c r="RZG56" s="240"/>
      <c r="RZH56" s="240"/>
      <c r="RZI56" s="240"/>
      <c r="RZJ56" s="257"/>
      <c r="RZK56" s="240"/>
      <c r="RZL56" s="257"/>
      <c r="RZM56" s="240"/>
      <c r="RZP56" s="49"/>
      <c r="RZQ56" s="240"/>
      <c r="RZR56" s="240"/>
      <c r="RZS56" s="240"/>
      <c r="RZT56" s="257"/>
      <c r="RZU56" s="240"/>
      <c r="RZV56" s="257"/>
      <c r="RZW56" s="240"/>
      <c r="RZZ56" s="49"/>
      <c r="SAA56" s="240"/>
      <c r="SAB56" s="240"/>
      <c r="SAC56" s="240"/>
      <c r="SAD56" s="257"/>
      <c r="SAE56" s="240"/>
      <c r="SAF56" s="257"/>
      <c r="SAG56" s="240"/>
      <c r="SAJ56" s="49"/>
      <c r="SAK56" s="240"/>
      <c r="SAL56" s="240"/>
      <c r="SAM56" s="240"/>
      <c r="SAN56" s="257"/>
      <c r="SAO56" s="240"/>
      <c r="SAP56" s="257"/>
      <c r="SAQ56" s="240"/>
      <c r="SAT56" s="49"/>
      <c r="SAU56" s="240"/>
      <c r="SAV56" s="240"/>
      <c r="SAW56" s="240"/>
      <c r="SAX56" s="257"/>
      <c r="SAY56" s="240"/>
      <c r="SAZ56" s="257"/>
      <c r="SBA56" s="240"/>
      <c r="SBD56" s="49"/>
      <c r="SBE56" s="240"/>
      <c r="SBF56" s="240"/>
      <c r="SBG56" s="240"/>
      <c r="SBH56" s="257"/>
      <c r="SBI56" s="240"/>
      <c r="SBJ56" s="257"/>
      <c r="SBK56" s="240"/>
      <c r="SBN56" s="49"/>
      <c r="SBO56" s="240"/>
      <c r="SBP56" s="240"/>
      <c r="SBQ56" s="240"/>
      <c r="SBR56" s="257"/>
      <c r="SBS56" s="240"/>
      <c r="SBT56" s="257"/>
      <c r="SBU56" s="240"/>
      <c r="SBX56" s="49"/>
      <c r="SBY56" s="240"/>
      <c r="SBZ56" s="240"/>
      <c r="SCA56" s="240"/>
      <c r="SCB56" s="257"/>
      <c r="SCC56" s="240"/>
      <c r="SCD56" s="257"/>
      <c r="SCE56" s="240"/>
      <c r="SCH56" s="49"/>
      <c r="SCI56" s="240"/>
      <c r="SCJ56" s="240"/>
      <c r="SCK56" s="240"/>
      <c r="SCL56" s="257"/>
      <c r="SCM56" s="240"/>
      <c r="SCN56" s="257"/>
      <c r="SCO56" s="240"/>
      <c r="SCR56" s="49"/>
      <c r="SCS56" s="240"/>
      <c r="SCT56" s="240"/>
      <c r="SCU56" s="240"/>
      <c r="SCV56" s="257"/>
      <c r="SCW56" s="240"/>
      <c r="SCX56" s="257"/>
      <c r="SCY56" s="240"/>
      <c r="SDB56" s="49"/>
      <c r="SDC56" s="240"/>
      <c r="SDD56" s="240"/>
      <c r="SDE56" s="240"/>
      <c r="SDF56" s="257"/>
      <c r="SDG56" s="240"/>
      <c r="SDH56" s="257"/>
      <c r="SDI56" s="240"/>
      <c r="SDL56" s="49"/>
      <c r="SDM56" s="240"/>
      <c r="SDN56" s="240"/>
      <c r="SDO56" s="240"/>
      <c r="SDP56" s="257"/>
      <c r="SDQ56" s="240"/>
      <c r="SDR56" s="257"/>
      <c r="SDS56" s="240"/>
      <c r="SDV56" s="49"/>
      <c r="SDW56" s="240"/>
      <c r="SDX56" s="240"/>
      <c r="SDY56" s="240"/>
      <c r="SDZ56" s="257"/>
      <c r="SEA56" s="240"/>
      <c r="SEB56" s="257"/>
      <c r="SEC56" s="240"/>
      <c r="SEF56" s="49"/>
      <c r="SEG56" s="240"/>
      <c r="SEH56" s="240"/>
      <c r="SEI56" s="240"/>
      <c r="SEJ56" s="257"/>
      <c r="SEK56" s="240"/>
      <c r="SEL56" s="257"/>
      <c r="SEM56" s="240"/>
      <c r="SEP56" s="49"/>
      <c r="SEQ56" s="240"/>
      <c r="SER56" s="240"/>
      <c r="SES56" s="240"/>
      <c r="SET56" s="257"/>
      <c r="SEU56" s="240"/>
      <c r="SEV56" s="257"/>
      <c r="SEW56" s="240"/>
      <c r="SEZ56" s="49"/>
      <c r="SFA56" s="240"/>
      <c r="SFB56" s="240"/>
      <c r="SFC56" s="240"/>
      <c r="SFD56" s="257"/>
      <c r="SFE56" s="240"/>
      <c r="SFF56" s="257"/>
      <c r="SFG56" s="240"/>
      <c r="SFJ56" s="49"/>
      <c r="SFK56" s="240"/>
      <c r="SFL56" s="240"/>
      <c r="SFM56" s="240"/>
      <c r="SFN56" s="257"/>
      <c r="SFO56" s="240"/>
      <c r="SFP56" s="257"/>
      <c r="SFQ56" s="240"/>
      <c r="SFT56" s="49"/>
      <c r="SFU56" s="240"/>
      <c r="SFV56" s="240"/>
      <c r="SFW56" s="240"/>
      <c r="SFX56" s="257"/>
      <c r="SFY56" s="240"/>
      <c r="SFZ56" s="257"/>
      <c r="SGA56" s="240"/>
      <c r="SGD56" s="49"/>
      <c r="SGE56" s="240"/>
      <c r="SGF56" s="240"/>
      <c r="SGG56" s="240"/>
      <c r="SGH56" s="257"/>
      <c r="SGI56" s="240"/>
      <c r="SGJ56" s="257"/>
      <c r="SGK56" s="240"/>
      <c r="SGN56" s="49"/>
      <c r="SGO56" s="240"/>
      <c r="SGP56" s="240"/>
      <c r="SGQ56" s="240"/>
      <c r="SGR56" s="257"/>
      <c r="SGS56" s="240"/>
      <c r="SGT56" s="257"/>
      <c r="SGU56" s="240"/>
      <c r="SGX56" s="49"/>
      <c r="SGY56" s="240"/>
      <c r="SGZ56" s="240"/>
      <c r="SHA56" s="240"/>
      <c r="SHB56" s="257"/>
      <c r="SHC56" s="240"/>
      <c r="SHD56" s="257"/>
      <c r="SHE56" s="240"/>
      <c r="SHH56" s="49"/>
      <c r="SHI56" s="240"/>
      <c r="SHJ56" s="240"/>
      <c r="SHK56" s="240"/>
      <c r="SHL56" s="257"/>
      <c r="SHM56" s="240"/>
      <c r="SHN56" s="257"/>
      <c r="SHO56" s="240"/>
      <c r="SHR56" s="49"/>
      <c r="SHS56" s="240"/>
      <c r="SHT56" s="240"/>
      <c r="SHU56" s="240"/>
      <c r="SHV56" s="257"/>
      <c r="SHW56" s="240"/>
      <c r="SHX56" s="257"/>
      <c r="SHY56" s="240"/>
      <c r="SIB56" s="49"/>
      <c r="SIC56" s="240"/>
      <c r="SID56" s="240"/>
      <c r="SIE56" s="240"/>
      <c r="SIF56" s="257"/>
      <c r="SIG56" s="240"/>
      <c r="SIH56" s="257"/>
      <c r="SII56" s="240"/>
      <c r="SIL56" s="49"/>
      <c r="SIM56" s="240"/>
      <c r="SIN56" s="240"/>
      <c r="SIO56" s="240"/>
      <c r="SIP56" s="257"/>
      <c r="SIQ56" s="240"/>
      <c r="SIR56" s="257"/>
      <c r="SIS56" s="240"/>
      <c r="SIV56" s="49"/>
      <c r="SIW56" s="240"/>
      <c r="SIX56" s="240"/>
      <c r="SIY56" s="240"/>
      <c r="SIZ56" s="257"/>
      <c r="SJA56" s="240"/>
      <c r="SJB56" s="257"/>
      <c r="SJC56" s="240"/>
      <c r="SJF56" s="49"/>
      <c r="SJG56" s="240"/>
      <c r="SJH56" s="240"/>
      <c r="SJI56" s="240"/>
      <c r="SJJ56" s="257"/>
      <c r="SJK56" s="240"/>
      <c r="SJL56" s="257"/>
      <c r="SJM56" s="240"/>
      <c r="SJP56" s="49"/>
      <c r="SJQ56" s="240"/>
      <c r="SJR56" s="240"/>
      <c r="SJS56" s="240"/>
      <c r="SJT56" s="257"/>
      <c r="SJU56" s="240"/>
      <c r="SJV56" s="257"/>
      <c r="SJW56" s="240"/>
      <c r="SJZ56" s="49"/>
      <c r="SKA56" s="240"/>
      <c r="SKB56" s="240"/>
      <c r="SKC56" s="240"/>
      <c r="SKD56" s="257"/>
      <c r="SKE56" s="240"/>
      <c r="SKF56" s="257"/>
      <c r="SKG56" s="240"/>
      <c r="SKJ56" s="49"/>
      <c r="SKK56" s="240"/>
      <c r="SKL56" s="240"/>
      <c r="SKM56" s="240"/>
      <c r="SKN56" s="257"/>
      <c r="SKO56" s="240"/>
      <c r="SKP56" s="257"/>
      <c r="SKQ56" s="240"/>
      <c r="SKT56" s="49"/>
      <c r="SKU56" s="240"/>
      <c r="SKV56" s="240"/>
      <c r="SKW56" s="240"/>
      <c r="SKX56" s="257"/>
      <c r="SKY56" s="240"/>
      <c r="SKZ56" s="257"/>
      <c r="SLA56" s="240"/>
      <c r="SLD56" s="49"/>
      <c r="SLE56" s="240"/>
      <c r="SLF56" s="240"/>
      <c r="SLG56" s="240"/>
      <c r="SLH56" s="257"/>
      <c r="SLI56" s="240"/>
      <c r="SLJ56" s="257"/>
      <c r="SLK56" s="240"/>
      <c r="SLN56" s="49"/>
      <c r="SLO56" s="240"/>
      <c r="SLP56" s="240"/>
      <c r="SLQ56" s="240"/>
      <c r="SLR56" s="257"/>
      <c r="SLS56" s="240"/>
      <c r="SLT56" s="257"/>
      <c r="SLU56" s="240"/>
      <c r="SLX56" s="49"/>
      <c r="SLY56" s="240"/>
      <c r="SLZ56" s="240"/>
      <c r="SMA56" s="240"/>
      <c r="SMB56" s="257"/>
      <c r="SMC56" s="240"/>
      <c r="SMD56" s="257"/>
      <c r="SME56" s="240"/>
      <c r="SMH56" s="49"/>
      <c r="SMI56" s="240"/>
      <c r="SMJ56" s="240"/>
      <c r="SMK56" s="240"/>
      <c r="SML56" s="257"/>
      <c r="SMM56" s="240"/>
      <c r="SMN56" s="257"/>
      <c r="SMO56" s="240"/>
      <c r="SMR56" s="49"/>
      <c r="SMS56" s="240"/>
      <c r="SMT56" s="240"/>
      <c r="SMU56" s="240"/>
      <c r="SMV56" s="257"/>
      <c r="SMW56" s="240"/>
      <c r="SMX56" s="257"/>
      <c r="SMY56" s="240"/>
      <c r="SNB56" s="49"/>
      <c r="SNC56" s="240"/>
      <c r="SND56" s="240"/>
      <c r="SNE56" s="240"/>
      <c r="SNF56" s="257"/>
      <c r="SNG56" s="240"/>
      <c r="SNH56" s="257"/>
      <c r="SNI56" s="240"/>
      <c r="SNL56" s="49"/>
      <c r="SNM56" s="240"/>
      <c r="SNN56" s="240"/>
      <c r="SNO56" s="240"/>
      <c r="SNP56" s="257"/>
      <c r="SNQ56" s="240"/>
      <c r="SNR56" s="257"/>
      <c r="SNS56" s="240"/>
      <c r="SNV56" s="49"/>
      <c r="SNW56" s="240"/>
      <c r="SNX56" s="240"/>
      <c r="SNY56" s="240"/>
      <c r="SNZ56" s="257"/>
      <c r="SOA56" s="240"/>
      <c r="SOB56" s="257"/>
      <c r="SOC56" s="240"/>
      <c r="SOF56" s="49"/>
      <c r="SOG56" s="240"/>
      <c r="SOH56" s="240"/>
      <c r="SOI56" s="240"/>
      <c r="SOJ56" s="257"/>
      <c r="SOK56" s="240"/>
      <c r="SOL56" s="257"/>
      <c r="SOM56" s="240"/>
      <c r="SOP56" s="49"/>
      <c r="SOQ56" s="240"/>
      <c r="SOR56" s="240"/>
      <c r="SOS56" s="240"/>
      <c r="SOT56" s="257"/>
      <c r="SOU56" s="240"/>
      <c r="SOV56" s="257"/>
      <c r="SOW56" s="240"/>
      <c r="SOZ56" s="49"/>
      <c r="SPA56" s="240"/>
      <c r="SPB56" s="240"/>
      <c r="SPC56" s="240"/>
      <c r="SPD56" s="257"/>
      <c r="SPE56" s="240"/>
      <c r="SPF56" s="257"/>
      <c r="SPG56" s="240"/>
      <c r="SPJ56" s="49"/>
      <c r="SPK56" s="240"/>
      <c r="SPL56" s="240"/>
      <c r="SPM56" s="240"/>
      <c r="SPN56" s="257"/>
      <c r="SPO56" s="240"/>
      <c r="SPP56" s="257"/>
      <c r="SPQ56" s="240"/>
      <c r="SPT56" s="49"/>
      <c r="SPU56" s="240"/>
      <c r="SPV56" s="240"/>
      <c r="SPW56" s="240"/>
      <c r="SPX56" s="257"/>
      <c r="SPY56" s="240"/>
      <c r="SPZ56" s="257"/>
      <c r="SQA56" s="240"/>
      <c r="SQD56" s="49"/>
      <c r="SQE56" s="240"/>
      <c r="SQF56" s="240"/>
      <c r="SQG56" s="240"/>
      <c r="SQH56" s="257"/>
      <c r="SQI56" s="240"/>
      <c r="SQJ56" s="257"/>
      <c r="SQK56" s="240"/>
      <c r="SQN56" s="49"/>
      <c r="SQO56" s="240"/>
      <c r="SQP56" s="240"/>
      <c r="SQQ56" s="240"/>
      <c r="SQR56" s="257"/>
      <c r="SQS56" s="240"/>
      <c r="SQT56" s="257"/>
      <c r="SQU56" s="240"/>
      <c r="SQX56" s="49"/>
      <c r="SQY56" s="240"/>
      <c r="SQZ56" s="240"/>
      <c r="SRA56" s="240"/>
      <c r="SRB56" s="257"/>
      <c r="SRC56" s="240"/>
      <c r="SRD56" s="257"/>
      <c r="SRE56" s="240"/>
      <c r="SRH56" s="49"/>
      <c r="SRI56" s="240"/>
      <c r="SRJ56" s="240"/>
      <c r="SRK56" s="240"/>
      <c r="SRL56" s="257"/>
      <c r="SRM56" s="240"/>
      <c r="SRN56" s="257"/>
      <c r="SRO56" s="240"/>
      <c r="SRR56" s="49"/>
      <c r="SRS56" s="240"/>
      <c r="SRT56" s="240"/>
      <c r="SRU56" s="240"/>
      <c r="SRV56" s="257"/>
      <c r="SRW56" s="240"/>
      <c r="SRX56" s="257"/>
      <c r="SRY56" s="240"/>
      <c r="SSB56" s="49"/>
      <c r="SSC56" s="240"/>
      <c r="SSD56" s="240"/>
      <c r="SSE56" s="240"/>
      <c r="SSF56" s="257"/>
      <c r="SSG56" s="240"/>
      <c r="SSH56" s="257"/>
      <c r="SSI56" s="240"/>
      <c r="SSL56" s="49"/>
      <c r="SSM56" s="240"/>
      <c r="SSN56" s="240"/>
      <c r="SSO56" s="240"/>
      <c r="SSP56" s="257"/>
      <c r="SSQ56" s="240"/>
      <c r="SSR56" s="257"/>
      <c r="SSS56" s="240"/>
      <c r="SSV56" s="49"/>
      <c r="SSW56" s="240"/>
      <c r="SSX56" s="240"/>
      <c r="SSY56" s="240"/>
      <c r="SSZ56" s="257"/>
      <c r="STA56" s="240"/>
      <c r="STB56" s="257"/>
      <c r="STC56" s="240"/>
      <c r="STF56" s="49"/>
      <c r="STG56" s="240"/>
      <c r="STH56" s="240"/>
      <c r="STI56" s="240"/>
      <c r="STJ56" s="257"/>
      <c r="STK56" s="240"/>
      <c r="STL56" s="257"/>
      <c r="STM56" s="240"/>
      <c r="STP56" s="49"/>
      <c r="STQ56" s="240"/>
      <c r="STR56" s="240"/>
      <c r="STS56" s="240"/>
      <c r="STT56" s="257"/>
      <c r="STU56" s="240"/>
      <c r="STV56" s="257"/>
      <c r="STW56" s="240"/>
      <c r="STZ56" s="49"/>
      <c r="SUA56" s="240"/>
      <c r="SUB56" s="240"/>
      <c r="SUC56" s="240"/>
      <c r="SUD56" s="257"/>
      <c r="SUE56" s="240"/>
      <c r="SUF56" s="257"/>
      <c r="SUG56" s="240"/>
      <c r="SUJ56" s="49"/>
      <c r="SUK56" s="240"/>
      <c r="SUL56" s="240"/>
      <c r="SUM56" s="240"/>
      <c r="SUN56" s="257"/>
      <c r="SUO56" s="240"/>
      <c r="SUP56" s="257"/>
      <c r="SUQ56" s="240"/>
      <c r="SUT56" s="49"/>
      <c r="SUU56" s="240"/>
      <c r="SUV56" s="240"/>
      <c r="SUW56" s="240"/>
      <c r="SUX56" s="257"/>
      <c r="SUY56" s="240"/>
      <c r="SUZ56" s="257"/>
      <c r="SVA56" s="240"/>
      <c r="SVD56" s="49"/>
      <c r="SVE56" s="240"/>
      <c r="SVF56" s="240"/>
      <c r="SVG56" s="240"/>
      <c r="SVH56" s="257"/>
      <c r="SVI56" s="240"/>
      <c r="SVJ56" s="257"/>
      <c r="SVK56" s="240"/>
      <c r="SVN56" s="49"/>
      <c r="SVO56" s="240"/>
      <c r="SVP56" s="240"/>
      <c r="SVQ56" s="240"/>
      <c r="SVR56" s="257"/>
      <c r="SVS56" s="240"/>
      <c r="SVT56" s="257"/>
      <c r="SVU56" s="240"/>
      <c r="SVX56" s="49"/>
      <c r="SVY56" s="240"/>
      <c r="SVZ56" s="240"/>
      <c r="SWA56" s="240"/>
      <c r="SWB56" s="257"/>
      <c r="SWC56" s="240"/>
      <c r="SWD56" s="257"/>
      <c r="SWE56" s="240"/>
      <c r="SWH56" s="49"/>
      <c r="SWI56" s="240"/>
      <c r="SWJ56" s="240"/>
      <c r="SWK56" s="240"/>
      <c r="SWL56" s="257"/>
      <c r="SWM56" s="240"/>
      <c r="SWN56" s="257"/>
      <c r="SWO56" s="240"/>
      <c r="SWR56" s="49"/>
      <c r="SWS56" s="240"/>
      <c r="SWT56" s="240"/>
      <c r="SWU56" s="240"/>
      <c r="SWV56" s="257"/>
      <c r="SWW56" s="240"/>
      <c r="SWX56" s="257"/>
      <c r="SWY56" s="240"/>
      <c r="SXB56" s="49"/>
      <c r="SXC56" s="240"/>
      <c r="SXD56" s="240"/>
      <c r="SXE56" s="240"/>
      <c r="SXF56" s="257"/>
      <c r="SXG56" s="240"/>
      <c r="SXH56" s="257"/>
      <c r="SXI56" s="240"/>
      <c r="SXL56" s="49"/>
      <c r="SXM56" s="240"/>
      <c r="SXN56" s="240"/>
      <c r="SXO56" s="240"/>
      <c r="SXP56" s="257"/>
      <c r="SXQ56" s="240"/>
      <c r="SXR56" s="257"/>
      <c r="SXS56" s="240"/>
      <c r="SXV56" s="49"/>
      <c r="SXW56" s="240"/>
      <c r="SXX56" s="240"/>
      <c r="SXY56" s="240"/>
      <c r="SXZ56" s="257"/>
      <c r="SYA56" s="240"/>
      <c r="SYB56" s="257"/>
      <c r="SYC56" s="240"/>
      <c r="SYF56" s="49"/>
      <c r="SYG56" s="240"/>
      <c r="SYH56" s="240"/>
      <c r="SYI56" s="240"/>
      <c r="SYJ56" s="257"/>
      <c r="SYK56" s="240"/>
      <c r="SYL56" s="257"/>
      <c r="SYM56" s="240"/>
      <c r="SYP56" s="49"/>
      <c r="SYQ56" s="240"/>
      <c r="SYR56" s="240"/>
      <c r="SYS56" s="240"/>
      <c r="SYT56" s="257"/>
      <c r="SYU56" s="240"/>
      <c r="SYV56" s="257"/>
      <c r="SYW56" s="240"/>
      <c r="SYZ56" s="49"/>
      <c r="SZA56" s="240"/>
      <c r="SZB56" s="240"/>
      <c r="SZC56" s="240"/>
      <c r="SZD56" s="257"/>
      <c r="SZE56" s="240"/>
      <c r="SZF56" s="257"/>
      <c r="SZG56" s="240"/>
      <c r="SZJ56" s="49"/>
      <c r="SZK56" s="240"/>
      <c r="SZL56" s="240"/>
      <c r="SZM56" s="240"/>
      <c r="SZN56" s="257"/>
      <c r="SZO56" s="240"/>
      <c r="SZP56" s="257"/>
      <c r="SZQ56" s="240"/>
      <c r="SZT56" s="49"/>
      <c r="SZU56" s="240"/>
      <c r="SZV56" s="240"/>
      <c r="SZW56" s="240"/>
      <c r="SZX56" s="257"/>
      <c r="SZY56" s="240"/>
      <c r="SZZ56" s="257"/>
      <c r="TAA56" s="240"/>
      <c r="TAD56" s="49"/>
      <c r="TAE56" s="240"/>
      <c r="TAF56" s="240"/>
      <c r="TAG56" s="240"/>
      <c r="TAH56" s="257"/>
      <c r="TAI56" s="240"/>
      <c r="TAJ56" s="257"/>
      <c r="TAK56" s="240"/>
      <c r="TAN56" s="49"/>
      <c r="TAO56" s="240"/>
      <c r="TAP56" s="240"/>
      <c r="TAQ56" s="240"/>
      <c r="TAR56" s="257"/>
      <c r="TAS56" s="240"/>
      <c r="TAT56" s="257"/>
      <c r="TAU56" s="240"/>
      <c r="TAX56" s="49"/>
      <c r="TAY56" s="240"/>
      <c r="TAZ56" s="240"/>
      <c r="TBA56" s="240"/>
      <c r="TBB56" s="257"/>
      <c r="TBC56" s="240"/>
      <c r="TBD56" s="257"/>
      <c r="TBE56" s="240"/>
      <c r="TBH56" s="49"/>
      <c r="TBI56" s="240"/>
      <c r="TBJ56" s="240"/>
      <c r="TBK56" s="240"/>
      <c r="TBL56" s="257"/>
      <c r="TBM56" s="240"/>
      <c r="TBN56" s="257"/>
      <c r="TBO56" s="240"/>
      <c r="TBR56" s="49"/>
      <c r="TBS56" s="240"/>
      <c r="TBT56" s="240"/>
      <c r="TBU56" s="240"/>
      <c r="TBV56" s="257"/>
      <c r="TBW56" s="240"/>
      <c r="TBX56" s="257"/>
      <c r="TBY56" s="240"/>
      <c r="TCB56" s="49"/>
      <c r="TCC56" s="240"/>
      <c r="TCD56" s="240"/>
      <c r="TCE56" s="240"/>
      <c r="TCF56" s="257"/>
      <c r="TCG56" s="240"/>
      <c r="TCH56" s="257"/>
      <c r="TCI56" s="240"/>
      <c r="TCL56" s="49"/>
      <c r="TCM56" s="240"/>
      <c r="TCN56" s="240"/>
      <c r="TCO56" s="240"/>
      <c r="TCP56" s="257"/>
      <c r="TCQ56" s="240"/>
      <c r="TCR56" s="257"/>
      <c r="TCS56" s="240"/>
      <c r="TCV56" s="49"/>
      <c r="TCW56" s="240"/>
      <c r="TCX56" s="240"/>
      <c r="TCY56" s="240"/>
      <c r="TCZ56" s="257"/>
      <c r="TDA56" s="240"/>
      <c r="TDB56" s="257"/>
      <c r="TDC56" s="240"/>
      <c r="TDF56" s="49"/>
      <c r="TDG56" s="240"/>
      <c r="TDH56" s="240"/>
      <c r="TDI56" s="240"/>
      <c r="TDJ56" s="257"/>
      <c r="TDK56" s="240"/>
      <c r="TDL56" s="257"/>
      <c r="TDM56" s="240"/>
      <c r="TDP56" s="49"/>
      <c r="TDQ56" s="240"/>
      <c r="TDR56" s="240"/>
      <c r="TDS56" s="240"/>
      <c r="TDT56" s="257"/>
      <c r="TDU56" s="240"/>
      <c r="TDV56" s="257"/>
      <c r="TDW56" s="240"/>
      <c r="TDZ56" s="49"/>
      <c r="TEA56" s="240"/>
      <c r="TEB56" s="240"/>
      <c r="TEC56" s="240"/>
      <c r="TED56" s="257"/>
      <c r="TEE56" s="240"/>
      <c r="TEF56" s="257"/>
      <c r="TEG56" s="240"/>
      <c r="TEJ56" s="49"/>
      <c r="TEK56" s="240"/>
      <c r="TEL56" s="240"/>
      <c r="TEM56" s="240"/>
      <c r="TEN56" s="257"/>
      <c r="TEO56" s="240"/>
      <c r="TEP56" s="257"/>
      <c r="TEQ56" s="240"/>
      <c r="TET56" s="49"/>
      <c r="TEU56" s="240"/>
      <c r="TEV56" s="240"/>
      <c r="TEW56" s="240"/>
      <c r="TEX56" s="257"/>
      <c r="TEY56" s="240"/>
      <c r="TEZ56" s="257"/>
      <c r="TFA56" s="240"/>
      <c r="TFD56" s="49"/>
      <c r="TFE56" s="240"/>
      <c r="TFF56" s="240"/>
      <c r="TFG56" s="240"/>
      <c r="TFH56" s="257"/>
      <c r="TFI56" s="240"/>
      <c r="TFJ56" s="257"/>
      <c r="TFK56" s="240"/>
      <c r="TFN56" s="49"/>
      <c r="TFO56" s="240"/>
      <c r="TFP56" s="240"/>
      <c r="TFQ56" s="240"/>
      <c r="TFR56" s="257"/>
      <c r="TFS56" s="240"/>
      <c r="TFT56" s="257"/>
      <c r="TFU56" s="240"/>
      <c r="TFX56" s="49"/>
      <c r="TFY56" s="240"/>
      <c r="TFZ56" s="240"/>
      <c r="TGA56" s="240"/>
      <c r="TGB56" s="257"/>
      <c r="TGC56" s="240"/>
      <c r="TGD56" s="257"/>
      <c r="TGE56" s="240"/>
      <c r="TGH56" s="49"/>
      <c r="TGI56" s="240"/>
      <c r="TGJ56" s="240"/>
      <c r="TGK56" s="240"/>
      <c r="TGL56" s="257"/>
      <c r="TGM56" s="240"/>
      <c r="TGN56" s="257"/>
      <c r="TGO56" s="240"/>
      <c r="TGR56" s="49"/>
      <c r="TGS56" s="240"/>
      <c r="TGT56" s="240"/>
      <c r="TGU56" s="240"/>
      <c r="TGV56" s="257"/>
      <c r="TGW56" s="240"/>
      <c r="TGX56" s="257"/>
      <c r="TGY56" s="240"/>
      <c r="THB56" s="49"/>
      <c r="THC56" s="240"/>
      <c r="THD56" s="240"/>
      <c r="THE56" s="240"/>
      <c r="THF56" s="257"/>
      <c r="THG56" s="240"/>
      <c r="THH56" s="257"/>
      <c r="THI56" s="240"/>
      <c r="THL56" s="49"/>
      <c r="THM56" s="240"/>
      <c r="THN56" s="240"/>
      <c r="THO56" s="240"/>
      <c r="THP56" s="257"/>
      <c r="THQ56" s="240"/>
      <c r="THR56" s="257"/>
      <c r="THS56" s="240"/>
      <c r="THV56" s="49"/>
      <c r="THW56" s="240"/>
      <c r="THX56" s="240"/>
      <c r="THY56" s="240"/>
      <c r="THZ56" s="257"/>
      <c r="TIA56" s="240"/>
      <c r="TIB56" s="257"/>
      <c r="TIC56" s="240"/>
      <c r="TIF56" s="49"/>
      <c r="TIG56" s="240"/>
      <c r="TIH56" s="240"/>
      <c r="TII56" s="240"/>
      <c r="TIJ56" s="257"/>
      <c r="TIK56" s="240"/>
      <c r="TIL56" s="257"/>
      <c r="TIM56" s="240"/>
      <c r="TIP56" s="49"/>
      <c r="TIQ56" s="240"/>
      <c r="TIR56" s="240"/>
      <c r="TIS56" s="240"/>
      <c r="TIT56" s="257"/>
      <c r="TIU56" s="240"/>
      <c r="TIV56" s="257"/>
      <c r="TIW56" s="240"/>
      <c r="TIZ56" s="49"/>
      <c r="TJA56" s="240"/>
      <c r="TJB56" s="240"/>
      <c r="TJC56" s="240"/>
      <c r="TJD56" s="257"/>
      <c r="TJE56" s="240"/>
      <c r="TJF56" s="257"/>
      <c r="TJG56" s="240"/>
      <c r="TJJ56" s="49"/>
      <c r="TJK56" s="240"/>
      <c r="TJL56" s="240"/>
      <c r="TJM56" s="240"/>
      <c r="TJN56" s="257"/>
      <c r="TJO56" s="240"/>
      <c r="TJP56" s="257"/>
      <c r="TJQ56" s="240"/>
      <c r="TJT56" s="49"/>
      <c r="TJU56" s="240"/>
      <c r="TJV56" s="240"/>
      <c r="TJW56" s="240"/>
      <c r="TJX56" s="257"/>
      <c r="TJY56" s="240"/>
      <c r="TJZ56" s="257"/>
      <c r="TKA56" s="240"/>
      <c r="TKD56" s="49"/>
      <c r="TKE56" s="240"/>
      <c r="TKF56" s="240"/>
      <c r="TKG56" s="240"/>
      <c r="TKH56" s="257"/>
      <c r="TKI56" s="240"/>
      <c r="TKJ56" s="257"/>
      <c r="TKK56" s="240"/>
      <c r="TKN56" s="49"/>
      <c r="TKO56" s="240"/>
      <c r="TKP56" s="240"/>
      <c r="TKQ56" s="240"/>
      <c r="TKR56" s="257"/>
      <c r="TKS56" s="240"/>
      <c r="TKT56" s="257"/>
      <c r="TKU56" s="240"/>
      <c r="TKX56" s="49"/>
      <c r="TKY56" s="240"/>
      <c r="TKZ56" s="240"/>
      <c r="TLA56" s="240"/>
      <c r="TLB56" s="257"/>
      <c r="TLC56" s="240"/>
      <c r="TLD56" s="257"/>
      <c r="TLE56" s="240"/>
      <c r="TLH56" s="49"/>
      <c r="TLI56" s="240"/>
      <c r="TLJ56" s="240"/>
      <c r="TLK56" s="240"/>
      <c r="TLL56" s="257"/>
      <c r="TLM56" s="240"/>
      <c r="TLN56" s="257"/>
      <c r="TLO56" s="240"/>
      <c r="TLR56" s="49"/>
      <c r="TLS56" s="240"/>
      <c r="TLT56" s="240"/>
      <c r="TLU56" s="240"/>
      <c r="TLV56" s="257"/>
      <c r="TLW56" s="240"/>
      <c r="TLX56" s="257"/>
      <c r="TLY56" s="240"/>
      <c r="TMB56" s="49"/>
      <c r="TMC56" s="240"/>
      <c r="TMD56" s="240"/>
      <c r="TME56" s="240"/>
      <c r="TMF56" s="257"/>
      <c r="TMG56" s="240"/>
      <c r="TMH56" s="257"/>
      <c r="TMI56" s="240"/>
      <c r="TML56" s="49"/>
      <c r="TMM56" s="240"/>
      <c r="TMN56" s="240"/>
      <c r="TMO56" s="240"/>
      <c r="TMP56" s="257"/>
      <c r="TMQ56" s="240"/>
      <c r="TMR56" s="257"/>
      <c r="TMS56" s="240"/>
      <c r="TMV56" s="49"/>
      <c r="TMW56" s="240"/>
      <c r="TMX56" s="240"/>
      <c r="TMY56" s="240"/>
      <c r="TMZ56" s="257"/>
      <c r="TNA56" s="240"/>
      <c r="TNB56" s="257"/>
      <c r="TNC56" s="240"/>
      <c r="TNF56" s="49"/>
      <c r="TNG56" s="240"/>
      <c r="TNH56" s="240"/>
      <c r="TNI56" s="240"/>
      <c r="TNJ56" s="257"/>
      <c r="TNK56" s="240"/>
      <c r="TNL56" s="257"/>
      <c r="TNM56" s="240"/>
      <c r="TNP56" s="49"/>
      <c r="TNQ56" s="240"/>
      <c r="TNR56" s="240"/>
      <c r="TNS56" s="240"/>
      <c r="TNT56" s="257"/>
      <c r="TNU56" s="240"/>
      <c r="TNV56" s="257"/>
      <c r="TNW56" s="240"/>
      <c r="TNZ56" s="49"/>
      <c r="TOA56" s="240"/>
      <c r="TOB56" s="240"/>
      <c r="TOC56" s="240"/>
      <c r="TOD56" s="257"/>
      <c r="TOE56" s="240"/>
      <c r="TOF56" s="257"/>
      <c r="TOG56" s="240"/>
      <c r="TOJ56" s="49"/>
      <c r="TOK56" s="240"/>
      <c r="TOL56" s="240"/>
      <c r="TOM56" s="240"/>
      <c r="TON56" s="257"/>
      <c r="TOO56" s="240"/>
      <c r="TOP56" s="257"/>
      <c r="TOQ56" s="240"/>
      <c r="TOT56" s="49"/>
      <c r="TOU56" s="240"/>
      <c r="TOV56" s="240"/>
      <c r="TOW56" s="240"/>
      <c r="TOX56" s="257"/>
      <c r="TOY56" s="240"/>
      <c r="TOZ56" s="257"/>
      <c r="TPA56" s="240"/>
      <c r="TPD56" s="49"/>
      <c r="TPE56" s="240"/>
      <c r="TPF56" s="240"/>
      <c r="TPG56" s="240"/>
      <c r="TPH56" s="257"/>
      <c r="TPI56" s="240"/>
      <c r="TPJ56" s="257"/>
      <c r="TPK56" s="240"/>
      <c r="TPN56" s="49"/>
      <c r="TPO56" s="240"/>
      <c r="TPP56" s="240"/>
      <c r="TPQ56" s="240"/>
      <c r="TPR56" s="257"/>
      <c r="TPS56" s="240"/>
      <c r="TPT56" s="257"/>
      <c r="TPU56" s="240"/>
      <c r="TPX56" s="49"/>
      <c r="TPY56" s="240"/>
      <c r="TPZ56" s="240"/>
      <c r="TQA56" s="240"/>
      <c r="TQB56" s="257"/>
      <c r="TQC56" s="240"/>
      <c r="TQD56" s="257"/>
      <c r="TQE56" s="240"/>
      <c r="TQH56" s="49"/>
      <c r="TQI56" s="240"/>
      <c r="TQJ56" s="240"/>
      <c r="TQK56" s="240"/>
      <c r="TQL56" s="257"/>
      <c r="TQM56" s="240"/>
      <c r="TQN56" s="257"/>
      <c r="TQO56" s="240"/>
      <c r="TQR56" s="49"/>
      <c r="TQS56" s="240"/>
      <c r="TQT56" s="240"/>
      <c r="TQU56" s="240"/>
      <c r="TQV56" s="257"/>
      <c r="TQW56" s="240"/>
      <c r="TQX56" s="257"/>
      <c r="TQY56" s="240"/>
      <c r="TRB56" s="49"/>
      <c r="TRC56" s="240"/>
      <c r="TRD56" s="240"/>
      <c r="TRE56" s="240"/>
      <c r="TRF56" s="257"/>
      <c r="TRG56" s="240"/>
      <c r="TRH56" s="257"/>
      <c r="TRI56" s="240"/>
      <c r="TRL56" s="49"/>
      <c r="TRM56" s="240"/>
      <c r="TRN56" s="240"/>
      <c r="TRO56" s="240"/>
      <c r="TRP56" s="257"/>
      <c r="TRQ56" s="240"/>
      <c r="TRR56" s="257"/>
      <c r="TRS56" s="240"/>
      <c r="TRV56" s="49"/>
      <c r="TRW56" s="240"/>
      <c r="TRX56" s="240"/>
      <c r="TRY56" s="240"/>
      <c r="TRZ56" s="257"/>
      <c r="TSA56" s="240"/>
      <c r="TSB56" s="257"/>
      <c r="TSC56" s="240"/>
      <c r="TSF56" s="49"/>
      <c r="TSG56" s="240"/>
      <c r="TSH56" s="240"/>
      <c r="TSI56" s="240"/>
      <c r="TSJ56" s="257"/>
      <c r="TSK56" s="240"/>
      <c r="TSL56" s="257"/>
      <c r="TSM56" s="240"/>
      <c r="TSP56" s="49"/>
      <c r="TSQ56" s="240"/>
      <c r="TSR56" s="240"/>
      <c r="TSS56" s="240"/>
      <c r="TST56" s="257"/>
      <c r="TSU56" s="240"/>
      <c r="TSV56" s="257"/>
      <c r="TSW56" s="240"/>
      <c r="TSZ56" s="49"/>
      <c r="TTA56" s="240"/>
      <c r="TTB56" s="240"/>
      <c r="TTC56" s="240"/>
      <c r="TTD56" s="257"/>
      <c r="TTE56" s="240"/>
      <c r="TTF56" s="257"/>
      <c r="TTG56" s="240"/>
      <c r="TTJ56" s="49"/>
      <c r="TTK56" s="240"/>
      <c r="TTL56" s="240"/>
      <c r="TTM56" s="240"/>
      <c r="TTN56" s="257"/>
      <c r="TTO56" s="240"/>
      <c r="TTP56" s="257"/>
      <c r="TTQ56" s="240"/>
      <c r="TTT56" s="49"/>
      <c r="TTU56" s="240"/>
      <c r="TTV56" s="240"/>
      <c r="TTW56" s="240"/>
      <c r="TTX56" s="257"/>
      <c r="TTY56" s="240"/>
      <c r="TTZ56" s="257"/>
      <c r="TUA56" s="240"/>
      <c r="TUD56" s="49"/>
      <c r="TUE56" s="240"/>
      <c r="TUF56" s="240"/>
      <c r="TUG56" s="240"/>
      <c r="TUH56" s="257"/>
      <c r="TUI56" s="240"/>
      <c r="TUJ56" s="257"/>
      <c r="TUK56" s="240"/>
      <c r="TUN56" s="49"/>
      <c r="TUO56" s="240"/>
      <c r="TUP56" s="240"/>
      <c r="TUQ56" s="240"/>
      <c r="TUR56" s="257"/>
      <c r="TUS56" s="240"/>
      <c r="TUT56" s="257"/>
      <c r="TUU56" s="240"/>
      <c r="TUX56" s="49"/>
      <c r="TUY56" s="240"/>
      <c r="TUZ56" s="240"/>
      <c r="TVA56" s="240"/>
      <c r="TVB56" s="257"/>
      <c r="TVC56" s="240"/>
      <c r="TVD56" s="257"/>
      <c r="TVE56" s="240"/>
      <c r="TVH56" s="49"/>
      <c r="TVI56" s="240"/>
      <c r="TVJ56" s="240"/>
      <c r="TVK56" s="240"/>
      <c r="TVL56" s="257"/>
      <c r="TVM56" s="240"/>
      <c r="TVN56" s="257"/>
      <c r="TVO56" s="240"/>
      <c r="TVR56" s="49"/>
      <c r="TVS56" s="240"/>
      <c r="TVT56" s="240"/>
      <c r="TVU56" s="240"/>
      <c r="TVV56" s="257"/>
      <c r="TVW56" s="240"/>
      <c r="TVX56" s="257"/>
      <c r="TVY56" s="240"/>
      <c r="TWB56" s="49"/>
      <c r="TWC56" s="240"/>
      <c r="TWD56" s="240"/>
      <c r="TWE56" s="240"/>
      <c r="TWF56" s="257"/>
      <c r="TWG56" s="240"/>
      <c r="TWH56" s="257"/>
      <c r="TWI56" s="240"/>
      <c r="TWL56" s="49"/>
      <c r="TWM56" s="240"/>
      <c r="TWN56" s="240"/>
      <c r="TWO56" s="240"/>
      <c r="TWP56" s="257"/>
      <c r="TWQ56" s="240"/>
      <c r="TWR56" s="257"/>
      <c r="TWS56" s="240"/>
      <c r="TWV56" s="49"/>
      <c r="TWW56" s="240"/>
      <c r="TWX56" s="240"/>
      <c r="TWY56" s="240"/>
      <c r="TWZ56" s="257"/>
      <c r="TXA56" s="240"/>
      <c r="TXB56" s="257"/>
      <c r="TXC56" s="240"/>
      <c r="TXF56" s="49"/>
      <c r="TXG56" s="240"/>
      <c r="TXH56" s="240"/>
      <c r="TXI56" s="240"/>
      <c r="TXJ56" s="257"/>
      <c r="TXK56" s="240"/>
      <c r="TXL56" s="257"/>
      <c r="TXM56" s="240"/>
      <c r="TXP56" s="49"/>
      <c r="TXQ56" s="240"/>
      <c r="TXR56" s="240"/>
      <c r="TXS56" s="240"/>
      <c r="TXT56" s="257"/>
      <c r="TXU56" s="240"/>
      <c r="TXV56" s="257"/>
      <c r="TXW56" s="240"/>
      <c r="TXZ56" s="49"/>
      <c r="TYA56" s="240"/>
      <c r="TYB56" s="240"/>
      <c r="TYC56" s="240"/>
      <c r="TYD56" s="257"/>
      <c r="TYE56" s="240"/>
      <c r="TYF56" s="257"/>
      <c r="TYG56" s="240"/>
      <c r="TYJ56" s="49"/>
      <c r="TYK56" s="240"/>
      <c r="TYL56" s="240"/>
      <c r="TYM56" s="240"/>
      <c r="TYN56" s="257"/>
      <c r="TYO56" s="240"/>
      <c r="TYP56" s="257"/>
      <c r="TYQ56" s="240"/>
      <c r="TYT56" s="49"/>
      <c r="TYU56" s="240"/>
      <c r="TYV56" s="240"/>
      <c r="TYW56" s="240"/>
      <c r="TYX56" s="257"/>
      <c r="TYY56" s="240"/>
      <c r="TYZ56" s="257"/>
      <c r="TZA56" s="240"/>
      <c r="TZD56" s="49"/>
      <c r="TZE56" s="240"/>
      <c r="TZF56" s="240"/>
      <c r="TZG56" s="240"/>
      <c r="TZH56" s="257"/>
      <c r="TZI56" s="240"/>
      <c r="TZJ56" s="257"/>
      <c r="TZK56" s="240"/>
      <c r="TZN56" s="49"/>
      <c r="TZO56" s="240"/>
      <c r="TZP56" s="240"/>
      <c r="TZQ56" s="240"/>
      <c r="TZR56" s="257"/>
      <c r="TZS56" s="240"/>
      <c r="TZT56" s="257"/>
      <c r="TZU56" s="240"/>
      <c r="TZX56" s="49"/>
      <c r="TZY56" s="240"/>
      <c r="TZZ56" s="240"/>
      <c r="UAA56" s="240"/>
      <c r="UAB56" s="257"/>
      <c r="UAC56" s="240"/>
      <c r="UAD56" s="257"/>
      <c r="UAE56" s="240"/>
      <c r="UAH56" s="49"/>
      <c r="UAI56" s="240"/>
      <c r="UAJ56" s="240"/>
      <c r="UAK56" s="240"/>
      <c r="UAL56" s="257"/>
      <c r="UAM56" s="240"/>
      <c r="UAN56" s="257"/>
      <c r="UAO56" s="240"/>
      <c r="UAR56" s="49"/>
      <c r="UAS56" s="240"/>
      <c r="UAT56" s="240"/>
      <c r="UAU56" s="240"/>
      <c r="UAV56" s="257"/>
      <c r="UAW56" s="240"/>
      <c r="UAX56" s="257"/>
      <c r="UAY56" s="240"/>
      <c r="UBB56" s="49"/>
      <c r="UBC56" s="240"/>
      <c r="UBD56" s="240"/>
      <c r="UBE56" s="240"/>
      <c r="UBF56" s="257"/>
      <c r="UBG56" s="240"/>
      <c r="UBH56" s="257"/>
      <c r="UBI56" s="240"/>
      <c r="UBL56" s="49"/>
      <c r="UBM56" s="240"/>
      <c r="UBN56" s="240"/>
      <c r="UBO56" s="240"/>
      <c r="UBP56" s="257"/>
      <c r="UBQ56" s="240"/>
      <c r="UBR56" s="257"/>
      <c r="UBS56" s="240"/>
      <c r="UBV56" s="49"/>
      <c r="UBW56" s="240"/>
      <c r="UBX56" s="240"/>
      <c r="UBY56" s="240"/>
      <c r="UBZ56" s="257"/>
      <c r="UCA56" s="240"/>
      <c r="UCB56" s="257"/>
      <c r="UCC56" s="240"/>
      <c r="UCF56" s="49"/>
      <c r="UCG56" s="240"/>
      <c r="UCH56" s="240"/>
      <c r="UCI56" s="240"/>
      <c r="UCJ56" s="257"/>
      <c r="UCK56" s="240"/>
      <c r="UCL56" s="257"/>
      <c r="UCM56" s="240"/>
      <c r="UCP56" s="49"/>
      <c r="UCQ56" s="240"/>
      <c r="UCR56" s="240"/>
      <c r="UCS56" s="240"/>
      <c r="UCT56" s="257"/>
      <c r="UCU56" s="240"/>
      <c r="UCV56" s="257"/>
      <c r="UCW56" s="240"/>
      <c r="UCZ56" s="49"/>
      <c r="UDA56" s="240"/>
      <c r="UDB56" s="240"/>
      <c r="UDC56" s="240"/>
      <c r="UDD56" s="257"/>
      <c r="UDE56" s="240"/>
      <c r="UDF56" s="257"/>
      <c r="UDG56" s="240"/>
      <c r="UDJ56" s="49"/>
      <c r="UDK56" s="240"/>
      <c r="UDL56" s="240"/>
      <c r="UDM56" s="240"/>
      <c r="UDN56" s="257"/>
      <c r="UDO56" s="240"/>
      <c r="UDP56" s="257"/>
      <c r="UDQ56" s="240"/>
      <c r="UDT56" s="49"/>
      <c r="UDU56" s="240"/>
      <c r="UDV56" s="240"/>
      <c r="UDW56" s="240"/>
      <c r="UDX56" s="257"/>
      <c r="UDY56" s="240"/>
      <c r="UDZ56" s="257"/>
      <c r="UEA56" s="240"/>
      <c r="UED56" s="49"/>
      <c r="UEE56" s="240"/>
      <c r="UEF56" s="240"/>
      <c r="UEG56" s="240"/>
      <c r="UEH56" s="257"/>
      <c r="UEI56" s="240"/>
      <c r="UEJ56" s="257"/>
      <c r="UEK56" s="240"/>
      <c r="UEN56" s="49"/>
      <c r="UEO56" s="240"/>
      <c r="UEP56" s="240"/>
      <c r="UEQ56" s="240"/>
      <c r="UER56" s="257"/>
      <c r="UES56" s="240"/>
      <c r="UET56" s="257"/>
      <c r="UEU56" s="240"/>
      <c r="UEX56" s="49"/>
      <c r="UEY56" s="240"/>
      <c r="UEZ56" s="240"/>
      <c r="UFA56" s="240"/>
      <c r="UFB56" s="257"/>
      <c r="UFC56" s="240"/>
      <c r="UFD56" s="257"/>
      <c r="UFE56" s="240"/>
      <c r="UFH56" s="49"/>
      <c r="UFI56" s="240"/>
      <c r="UFJ56" s="240"/>
      <c r="UFK56" s="240"/>
      <c r="UFL56" s="257"/>
      <c r="UFM56" s="240"/>
      <c r="UFN56" s="257"/>
      <c r="UFO56" s="240"/>
      <c r="UFR56" s="49"/>
      <c r="UFS56" s="240"/>
      <c r="UFT56" s="240"/>
      <c r="UFU56" s="240"/>
      <c r="UFV56" s="257"/>
      <c r="UFW56" s="240"/>
      <c r="UFX56" s="257"/>
      <c r="UFY56" s="240"/>
      <c r="UGB56" s="49"/>
      <c r="UGC56" s="240"/>
      <c r="UGD56" s="240"/>
      <c r="UGE56" s="240"/>
      <c r="UGF56" s="257"/>
      <c r="UGG56" s="240"/>
      <c r="UGH56" s="257"/>
      <c r="UGI56" s="240"/>
      <c r="UGL56" s="49"/>
      <c r="UGM56" s="240"/>
      <c r="UGN56" s="240"/>
      <c r="UGO56" s="240"/>
      <c r="UGP56" s="257"/>
      <c r="UGQ56" s="240"/>
      <c r="UGR56" s="257"/>
      <c r="UGS56" s="240"/>
      <c r="UGV56" s="49"/>
      <c r="UGW56" s="240"/>
      <c r="UGX56" s="240"/>
      <c r="UGY56" s="240"/>
      <c r="UGZ56" s="257"/>
      <c r="UHA56" s="240"/>
      <c r="UHB56" s="257"/>
      <c r="UHC56" s="240"/>
      <c r="UHF56" s="49"/>
      <c r="UHG56" s="240"/>
      <c r="UHH56" s="240"/>
      <c r="UHI56" s="240"/>
      <c r="UHJ56" s="257"/>
      <c r="UHK56" s="240"/>
      <c r="UHL56" s="257"/>
      <c r="UHM56" s="240"/>
      <c r="UHP56" s="49"/>
      <c r="UHQ56" s="240"/>
      <c r="UHR56" s="240"/>
      <c r="UHS56" s="240"/>
      <c r="UHT56" s="257"/>
      <c r="UHU56" s="240"/>
      <c r="UHV56" s="257"/>
      <c r="UHW56" s="240"/>
      <c r="UHZ56" s="49"/>
      <c r="UIA56" s="240"/>
      <c r="UIB56" s="240"/>
      <c r="UIC56" s="240"/>
      <c r="UID56" s="257"/>
      <c r="UIE56" s="240"/>
      <c r="UIF56" s="257"/>
      <c r="UIG56" s="240"/>
      <c r="UIJ56" s="49"/>
      <c r="UIK56" s="240"/>
      <c r="UIL56" s="240"/>
      <c r="UIM56" s="240"/>
      <c r="UIN56" s="257"/>
      <c r="UIO56" s="240"/>
      <c r="UIP56" s="257"/>
      <c r="UIQ56" s="240"/>
      <c r="UIT56" s="49"/>
      <c r="UIU56" s="240"/>
      <c r="UIV56" s="240"/>
      <c r="UIW56" s="240"/>
      <c r="UIX56" s="257"/>
      <c r="UIY56" s="240"/>
      <c r="UIZ56" s="257"/>
      <c r="UJA56" s="240"/>
      <c r="UJD56" s="49"/>
      <c r="UJE56" s="240"/>
      <c r="UJF56" s="240"/>
      <c r="UJG56" s="240"/>
      <c r="UJH56" s="257"/>
      <c r="UJI56" s="240"/>
      <c r="UJJ56" s="257"/>
      <c r="UJK56" s="240"/>
      <c r="UJN56" s="49"/>
      <c r="UJO56" s="240"/>
      <c r="UJP56" s="240"/>
      <c r="UJQ56" s="240"/>
      <c r="UJR56" s="257"/>
      <c r="UJS56" s="240"/>
      <c r="UJT56" s="257"/>
      <c r="UJU56" s="240"/>
      <c r="UJX56" s="49"/>
      <c r="UJY56" s="240"/>
      <c r="UJZ56" s="240"/>
      <c r="UKA56" s="240"/>
      <c r="UKB56" s="257"/>
      <c r="UKC56" s="240"/>
      <c r="UKD56" s="257"/>
      <c r="UKE56" s="240"/>
      <c r="UKH56" s="49"/>
      <c r="UKI56" s="240"/>
      <c r="UKJ56" s="240"/>
      <c r="UKK56" s="240"/>
      <c r="UKL56" s="257"/>
      <c r="UKM56" s="240"/>
      <c r="UKN56" s="257"/>
      <c r="UKO56" s="240"/>
      <c r="UKR56" s="49"/>
      <c r="UKS56" s="240"/>
      <c r="UKT56" s="240"/>
      <c r="UKU56" s="240"/>
      <c r="UKV56" s="257"/>
      <c r="UKW56" s="240"/>
      <c r="UKX56" s="257"/>
      <c r="UKY56" s="240"/>
      <c r="ULB56" s="49"/>
      <c r="ULC56" s="240"/>
      <c r="ULD56" s="240"/>
      <c r="ULE56" s="240"/>
      <c r="ULF56" s="257"/>
      <c r="ULG56" s="240"/>
      <c r="ULH56" s="257"/>
      <c r="ULI56" s="240"/>
      <c r="ULL56" s="49"/>
      <c r="ULM56" s="240"/>
      <c r="ULN56" s="240"/>
      <c r="ULO56" s="240"/>
      <c r="ULP56" s="257"/>
      <c r="ULQ56" s="240"/>
      <c r="ULR56" s="257"/>
      <c r="ULS56" s="240"/>
      <c r="ULV56" s="49"/>
      <c r="ULW56" s="240"/>
      <c r="ULX56" s="240"/>
      <c r="ULY56" s="240"/>
      <c r="ULZ56" s="257"/>
      <c r="UMA56" s="240"/>
      <c r="UMB56" s="257"/>
      <c r="UMC56" s="240"/>
      <c r="UMF56" s="49"/>
      <c r="UMG56" s="240"/>
      <c r="UMH56" s="240"/>
      <c r="UMI56" s="240"/>
      <c r="UMJ56" s="257"/>
      <c r="UMK56" s="240"/>
      <c r="UML56" s="257"/>
      <c r="UMM56" s="240"/>
      <c r="UMP56" s="49"/>
      <c r="UMQ56" s="240"/>
      <c r="UMR56" s="240"/>
      <c r="UMS56" s="240"/>
      <c r="UMT56" s="257"/>
      <c r="UMU56" s="240"/>
      <c r="UMV56" s="257"/>
      <c r="UMW56" s="240"/>
      <c r="UMZ56" s="49"/>
      <c r="UNA56" s="240"/>
      <c r="UNB56" s="240"/>
      <c r="UNC56" s="240"/>
      <c r="UND56" s="257"/>
      <c r="UNE56" s="240"/>
      <c r="UNF56" s="257"/>
      <c r="UNG56" s="240"/>
      <c r="UNJ56" s="49"/>
      <c r="UNK56" s="240"/>
      <c r="UNL56" s="240"/>
      <c r="UNM56" s="240"/>
      <c r="UNN56" s="257"/>
      <c r="UNO56" s="240"/>
      <c r="UNP56" s="257"/>
      <c r="UNQ56" s="240"/>
      <c r="UNT56" s="49"/>
      <c r="UNU56" s="240"/>
      <c r="UNV56" s="240"/>
      <c r="UNW56" s="240"/>
      <c r="UNX56" s="257"/>
      <c r="UNY56" s="240"/>
      <c r="UNZ56" s="257"/>
      <c r="UOA56" s="240"/>
      <c r="UOD56" s="49"/>
      <c r="UOE56" s="240"/>
      <c r="UOF56" s="240"/>
      <c r="UOG56" s="240"/>
      <c r="UOH56" s="257"/>
      <c r="UOI56" s="240"/>
      <c r="UOJ56" s="257"/>
      <c r="UOK56" s="240"/>
      <c r="UON56" s="49"/>
      <c r="UOO56" s="240"/>
      <c r="UOP56" s="240"/>
      <c r="UOQ56" s="240"/>
      <c r="UOR56" s="257"/>
      <c r="UOS56" s="240"/>
      <c r="UOT56" s="257"/>
      <c r="UOU56" s="240"/>
      <c r="UOX56" s="49"/>
      <c r="UOY56" s="240"/>
      <c r="UOZ56" s="240"/>
      <c r="UPA56" s="240"/>
      <c r="UPB56" s="257"/>
      <c r="UPC56" s="240"/>
      <c r="UPD56" s="257"/>
      <c r="UPE56" s="240"/>
      <c r="UPH56" s="49"/>
      <c r="UPI56" s="240"/>
      <c r="UPJ56" s="240"/>
      <c r="UPK56" s="240"/>
      <c r="UPL56" s="257"/>
      <c r="UPM56" s="240"/>
      <c r="UPN56" s="257"/>
      <c r="UPO56" s="240"/>
      <c r="UPR56" s="49"/>
      <c r="UPS56" s="240"/>
      <c r="UPT56" s="240"/>
      <c r="UPU56" s="240"/>
      <c r="UPV56" s="257"/>
      <c r="UPW56" s="240"/>
      <c r="UPX56" s="257"/>
      <c r="UPY56" s="240"/>
      <c r="UQB56" s="49"/>
      <c r="UQC56" s="240"/>
      <c r="UQD56" s="240"/>
      <c r="UQE56" s="240"/>
      <c r="UQF56" s="257"/>
      <c r="UQG56" s="240"/>
      <c r="UQH56" s="257"/>
      <c r="UQI56" s="240"/>
      <c r="UQL56" s="49"/>
      <c r="UQM56" s="240"/>
      <c r="UQN56" s="240"/>
      <c r="UQO56" s="240"/>
      <c r="UQP56" s="257"/>
      <c r="UQQ56" s="240"/>
      <c r="UQR56" s="257"/>
      <c r="UQS56" s="240"/>
      <c r="UQV56" s="49"/>
      <c r="UQW56" s="240"/>
      <c r="UQX56" s="240"/>
      <c r="UQY56" s="240"/>
      <c r="UQZ56" s="257"/>
      <c r="URA56" s="240"/>
      <c r="URB56" s="257"/>
      <c r="URC56" s="240"/>
      <c r="URF56" s="49"/>
      <c r="URG56" s="240"/>
      <c r="URH56" s="240"/>
      <c r="URI56" s="240"/>
      <c r="URJ56" s="257"/>
      <c r="URK56" s="240"/>
      <c r="URL56" s="257"/>
      <c r="URM56" s="240"/>
      <c r="URP56" s="49"/>
      <c r="URQ56" s="240"/>
      <c r="URR56" s="240"/>
      <c r="URS56" s="240"/>
      <c r="URT56" s="257"/>
      <c r="URU56" s="240"/>
      <c r="URV56" s="257"/>
      <c r="URW56" s="240"/>
      <c r="URZ56" s="49"/>
      <c r="USA56" s="240"/>
      <c r="USB56" s="240"/>
      <c r="USC56" s="240"/>
      <c r="USD56" s="257"/>
      <c r="USE56" s="240"/>
      <c r="USF56" s="257"/>
      <c r="USG56" s="240"/>
      <c r="USJ56" s="49"/>
      <c r="USK56" s="240"/>
      <c r="USL56" s="240"/>
      <c r="USM56" s="240"/>
      <c r="USN56" s="257"/>
      <c r="USO56" s="240"/>
      <c r="USP56" s="257"/>
      <c r="USQ56" s="240"/>
      <c r="UST56" s="49"/>
      <c r="USU56" s="240"/>
      <c r="USV56" s="240"/>
      <c r="USW56" s="240"/>
      <c r="USX56" s="257"/>
      <c r="USY56" s="240"/>
      <c r="USZ56" s="257"/>
      <c r="UTA56" s="240"/>
      <c r="UTD56" s="49"/>
      <c r="UTE56" s="240"/>
      <c r="UTF56" s="240"/>
      <c r="UTG56" s="240"/>
      <c r="UTH56" s="257"/>
      <c r="UTI56" s="240"/>
      <c r="UTJ56" s="257"/>
      <c r="UTK56" s="240"/>
      <c r="UTN56" s="49"/>
      <c r="UTO56" s="240"/>
      <c r="UTP56" s="240"/>
      <c r="UTQ56" s="240"/>
      <c r="UTR56" s="257"/>
      <c r="UTS56" s="240"/>
      <c r="UTT56" s="257"/>
      <c r="UTU56" s="240"/>
      <c r="UTX56" s="49"/>
      <c r="UTY56" s="240"/>
      <c r="UTZ56" s="240"/>
      <c r="UUA56" s="240"/>
      <c r="UUB56" s="257"/>
      <c r="UUC56" s="240"/>
      <c r="UUD56" s="257"/>
      <c r="UUE56" s="240"/>
      <c r="UUH56" s="49"/>
      <c r="UUI56" s="240"/>
      <c r="UUJ56" s="240"/>
      <c r="UUK56" s="240"/>
      <c r="UUL56" s="257"/>
      <c r="UUM56" s="240"/>
      <c r="UUN56" s="257"/>
      <c r="UUO56" s="240"/>
      <c r="UUR56" s="49"/>
      <c r="UUS56" s="240"/>
      <c r="UUT56" s="240"/>
      <c r="UUU56" s="240"/>
      <c r="UUV56" s="257"/>
      <c r="UUW56" s="240"/>
      <c r="UUX56" s="257"/>
      <c r="UUY56" s="240"/>
      <c r="UVB56" s="49"/>
      <c r="UVC56" s="240"/>
      <c r="UVD56" s="240"/>
      <c r="UVE56" s="240"/>
      <c r="UVF56" s="257"/>
      <c r="UVG56" s="240"/>
      <c r="UVH56" s="257"/>
      <c r="UVI56" s="240"/>
      <c r="UVL56" s="49"/>
      <c r="UVM56" s="240"/>
      <c r="UVN56" s="240"/>
      <c r="UVO56" s="240"/>
      <c r="UVP56" s="257"/>
      <c r="UVQ56" s="240"/>
      <c r="UVR56" s="257"/>
      <c r="UVS56" s="240"/>
      <c r="UVV56" s="49"/>
      <c r="UVW56" s="240"/>
      <c r="UVX56" s="240"/>
      <c r="UVY56" s="240"/>
      <c r="UVZ56" s="257"/>
      <c r="UWA56" s="240"/>
      <c r="UWB56" s="257"/>
      <c r="UWC56" s="240"/>
      <c r="UWF56" s="49"/>
      <c r="UWG56" s="240"/>
      <c r="UWH56" s="240"/>
      <c r="UWI56" s="240"/>
      <c r="UWJ56" s="257"/>
      <c r="UWK56" s="240"/>
      <c r="UWL56" s="257"/>
      <c r="UWM56" s="240"/>
      <c r="UWP56" s="49"/>
      <c r="UWQ56" s="240"/>
      <c r="UWR56" s="240"/>
      <c r="UWS56" s="240"/>
      <c r="UWT56" s="257"/>
      <c r="UWU56" s="240"/>
      <c r="UWV56" s="257"/>
      <c r="UWW56" s="240"/>
      <c r="UWZ56" s="49"/>
      <c r="UXA56" s="240"/>
      <c r="UXB56" s="240"/>
      <c r="UXC56" s="240"/>
      <c r="UXD56" s="257"/>
      <c r="UXE56" s="240"/>
      <c r="UXF56" s="257"/>
      <c r="UXG56" s="240"/>
      <c r="UXJ56" s="49"/>
      <c r="UXK56" s="240"/>
      <c r="UXL56" s="240"/>
      <c r="UXM56" s="240"/>
      <c r="UXN56" s="257"/>
      <c r="UXO56" s="240"/>
      <c r="UXP56" s="257"/>
      <c r="UXQ56" s="240"/>
      <c r="UXT56" s="49"/>
      <c r="UXU56" s="240"/>
      <c r="UXV56" s="240"/>
      <c r="UXW56" s="240"/>
      <c r="UXX56" s="257"/>
      <c r="UXY56" s="240"/>
      <c r="UXZ56" s="257"/>
      <c r="UYA56" s="240"/>
      <c r="UYD56" s="49"/>
      <c r="UYE56" s="240"/>
      <c r="UYF56" s="240"/>
      <c r="UYG56" s="240"/>
      <c r="UYH56" s="257"/>
      <c r="UYI56" s="240"/>
      <c r="UYJ56" s="257"/>
      <c r="UYK56" s="240"/>
      <c r="UYN56" s="49"/>
      <c r="UYO56" s="240"/>
      <c r="UYP56" s="240"/>
      <c r="UYQ56" s="240"/>
      <c r="UYR56" s="257"/>
      <c r="UYS56" s="240"/>
      <c r="UYT56" s="257"/>
      <c r="UYU56" s="240"/>
      <c r="UYX56" s="49"/>
      <c r="UYY56" s="240"/>
      <c r="UYZ56" s="240"/>
      <c r="UZA56" s="240"/>
      <c r="UZB56" s="257"/>
      <c r="UZC56" s="240"/>
      <c r="UZD56" s="257"/>
      <c r="UZE56" s="240"/>
      <c r="UZH56" s="49"/>
      <c r="UZI56" s="240"/>
      <c r="UZJ56" s="240"/>
      <c r="UZK56" s="240"/>
      <c r="UZL56" s="257"/>
      <c r="UZM56" s="240"/>
      <c r="UZN56" s="257"/>
      <c r="UZO56" s="240"/>
      <c r="UZR56" s="49"/>
      <c r="UZS56" s="240"/>
      <c r="UZT56" s="240"/>
      <c r="UZU56" s="240"/>
      <c r="UZV56" s="257"/>
      <c r="UZW56" s="240"/>
      <c r="UZX56" s="257"/>
      <c r="UZY56" s="240"/>
      <c r="VAB56" s="49"/>
      <c r="VAC56" s="240"/>
      <c r="VAD56" s="240"/>
      <c r="VAE56" s="240"/>
      <c r="VAF56" s="257"/>
      <c r="VAG56" s="240"/>
      <c r="VAH56" s="257"/>
      <c r="VAI56" s="240"/>
      <c r="VAL56" s="49"/>
      <c r="VAM56" s="240"/>
      <c r="VAN56" s="240"/>
      <c r="VAO56" s="240"/>
      <c r="VAP56" s="257"/>
      <c r="VAQ56" s="240"/>
      <c r="VAR56" s="257"/>
      <c r="VAS56" s="240"/>
      <c r="VAV56" s="49"/>
      <c r="VAW56" s="240"/>
      <c r="VAX56" s="240"/>
      <c r="VAY56" s="240"/>
      <c r="VAZ56" s="257"/>
      <c r="VBA56" s="240"/>
      <c r="VBB56" s="257"/>
      <c r="VBC56" s="240"/>
      <c r="VBF56" s="49"/>
      <c r="VBG56" s="240"/>
      <c r="VBH56" s="240"/>
      <c r="VBI56" s="240"/>
      <c r="VBJ56" s="257"/>
      <c r="VBK56" s="240"/>
      <c r="VBL56" s="257"/>
      <c r="VBM56" s="240"/>
      <c r="VBP56" s="49"/>
      <c r="VBQ56" s="240"/>
      <c r="VBR56" s="240"/>
      <c r="VBS56" s="240"/>
      <c r="VBT56" s="257"/>
      <c r="VBU56" s="240"/>
      <c r="VBV56" s="257"/>
      <c r="VBW56" s="240"/>
      <c r="VBZ56" s="49"/>
      <c r="VCA56" s="240"/>
      <c r="VCB56" s="240"/>
      <c r="VCC56" s="240"/>
      <c r="VCD56" s="257"/>
      <c r="VCE56" s="240"/>
      <c r="VCF56" s="257"/>
      <c r="VCG56" s="240"/>
      <c r="VCJ56" s="49"/>
      <c r="VCK56" s="240"/>
      <c r="VCL56" s="240"/>
      <c r="VCM56" s="240"/>
      <c r="VCN56" s="257"/>
      <c r="VCO56" s="240"/>
      <c r="VCP56" s="257"/>
      <c r="VCQ56" s="240"/>
      <c r="VCT56" s="49"/>
      <c r="VCU56" s="240"/>
      <c r="VCV56" s="240"/>
      <c r="VCW56" s="240"/>
      <c r="VCX56" s="257"/>
      <c r="VCY56" s="240"/>
      <c r="VCZ56" s="257"/>
      <c r="VDA56" s="240"/>
      <c r="VDD56" s="49"/>
      <c r="VDE56" s="240"/>
      <c r="VDF56" s="240"/>
      <c r="VDG56" s="240"/>
      <c r="VDH56" s="257"/>
      <c r="VDI56" s="240"/>
      <c r="VDJ56" s="257"/>
      <c r="VDK56" s="240"/>
      <c r="VDN56" s="49"/>
      <c r="VDO56" s="240"/>
      <c r="VDP56" s="240"/>
      <c r="VDQ56" s="240"/>
      <c r="VDR56" s="257"/>
      <c r="VDS56" s="240"/>
      <c r="VDT56" s="257"/>
      <c r="VDU56" s="240"/>
      <c r="VDX56" s="49"/>
      <c r="VDY56" s="240"/>
      <c r="VDZ56" s="240"/>
      <c r="VEA56" s="240"/>
      <c r="VEB56" s="257"/>
      <c r="VEC56" s="240"/>
      <c r="VED56" s="257"/>
      <c r="VEE56" s="240"/>
      <c r="VEH56" s="49"/>
      <c r="VEI56" s="240"/>
      <c r="VEJ56" s="240"/>
      <c r="VEK56" s="240"/>
      <c r="VEL56" s="257"/>
      <c r="VEM56" s="240"/>
      <c r="VEN56" s="257"/>
      <c r="VEO56" s="240"/>
      <c r="VER56" s="49"/>
      <c r="VES56" s="240"/>
      <c r="VET56" s="240"/>
      <c r="VEU56" s="240"/>
      <c r="VEV56" s="257"/>
      <c r="VEW56" s="240"/>
      <c r="VEX56" s="257"/>
      <c r="VEY56" s="240"/>
      <c r="VFB56" s="49"/>
      <c r="VFC56" s="240"/>
      <c r="VFD56" s="240"/>
      <c r="VFE56" s="240"/>
      <c r="VFF56" s="257"/>
      <c r="VFG56" s="240"/>
      <c r="VFH56" s="257"/>
      <c r="VFI56" s="240"/>
      <c r="VFL56" s="49"/>
      <c r="VFM56" s="240"/>
      <c r="VFN56" s="240"/>
      <c r="VFO56" s="240"/>
      <c r="VFP56" s="257"/>
      <c r="VFQ56" s="240"/>
      <c r="VFR56" s="257"/>
      <c r="VFS56" s="240"/>
      <c r="VFV56" s="49"/>
      <c r="VFW56" s="240"/>
      <c r="VFX56" s="240"/>
      <c r="VFY56" s="240"/>
      <c r="VFZ56" s="257"/>
      <c r="VGA56" s="240"/>
      <c r="VGB56" s="257"/>
      <c r="VGC56" s="240"/>
      <c r="VGF56" s="49"/>
      <c r="VGG56" s="240"/>
      <c r="VGH56" s="240"/>
      <c r="VGI56" s="240"/>
      <c r="VGJ56" s="257"/>
      <c r="VGK56" s="240"/>
      <c r="VGL56" s="257"/>
      <c r="VGM56" s="240"/>
      <c r="VGP56" s="49"/>
      <c r="VGQ56" s="240"/>
      <c r="VGR56" s="240"/>
      <c r="VGS56" s="240"/>
      <c r="VGT56" s="257"/>
      <c r="VGU56" s="240"/>
      <c r="VGV56" s="257"/>
      <c r="VGW56" s="240"/>
      <c r="VGZ56" s="49"/>
      <c r="VHA56" s="240"/>
      <c r="VHB56" s="240"/>
      <c r="VHC56" s="240"/>
      <c r="VHD56" s="257"/>
      <c r="VHE56" s="240"/>
      <c r="VHF56" s="257"/>
      <c r="VHG56" s="240"/>
      <c r="VHJ56" s="49"/>
      <c r="VHK56" s="240"/>
      <c r="VHL56" s="240"/>
      <c r="VHM56" s="240"/>
      <c r="VHN56" s="257"/>
      <c r="VHO56" s="240"/>
      <c r="VHP56" s="257"/>
      <c r="VHQ56" s="240"/>
      <c r="VHT56" s="49"/>
      <c r="VHU56" s="240"/>
      <c r="VHV56" s="240"/>
      <c r="VHW56" s="240"/>
      <c r="VHX56" s="257"/>
      <c r="VHY56" s="240"/>
      <c r="VHZ56" s="257"/>
      <c r="VIA56" s="240"/>
      <c r="VID56" s="49"/>
      <c r="VIE56" s="240"/>
      <c r="VIF56" s="240"/>
      <c r="VIG56" s="240"/>
      <c r="VIH56" s="257"/>
      <c r="VII56" s="240"/>
      <c r="VIJ56" s="257"/>
      <c r="VIK56" s="240"/>
      <c r="VIN56" s="49"/>
      <c r="VIO56" s="240"/>
      <c r="VIP56" s="240"/>
      <c r="VIQ56" s="240"/>
      <c r="VIR56" s="257"/>
      <c r="VIS56" s="240"/>
      <c r="VIT56" s="257"/>
      <c r="VIU56" s="240"/>
      <c r="VIX56" s="49"/>
      <c r="VIY56" s="240"/>
      <c r="VIZ56" s="240"/>
      <c r="VJA56" s="240"/>
      <c r="VJB56" s="257"/>
      <c r="VJC56" s="240"/>
      <c r="VJD56" s="257"/>
      <c r="VJE56" s="240"/>
      <c r="VJH56" s="49"/>
      <c r="VJI56" s="240"/>
      <c r="VJJ56" s="240"/>
      <c r="VJK56" s="240"/>
      <c r="VJL56" s="257"/>
      <c r="VJM56" s="240"/>
      <c r="VJN56" s="257"/>
      <c r="VJO56" s="240"/>
      <c r="VJR56" s="49"/>
      <c r="VJS56" s="240"/>
      <c r="VJT56" s="240"/>
      <c r="VJU56" s="240"/>
      <c r="VJV56" s="257"/>
      <c r="VJW56" s="240"/>
      <c r="VJX56" s="257"/>
      <c r="VJY56" s="240"/>
      <c r="VKB56" s="49"/>
      <c r="VKC56" s="240"/>
      <c r="VKD56" s="240"/>
      <c r="VKE56" s="240"/>
      <c r="VKF56" s="257"/>
      <c r="VKG56" s="240"/>
      <c r="VKH56" s="257"/>
      <c r="VKI56" s="240"/>
      <c r="VKL56" s="49"/>
      <c r="VKM56" s="240"/>
      <c r="VKN56" s="240"/>
      <c r="VKO56" s="240"/>
      <c r="VKP56" s="257"/>
      <c r="VKQ56" s="240"/>
      <c r="VKR56" s="257"/>
      <c r="VKS56" s="240"/>
      <c r="VKV56" s="49"/>
      <c r="VKW56" s="240"/>
      <c r="VKX56" s="240"/>
      <c r="VKY56" s="240"/>
      <c r="VKZ56" s="257"/>
      <c r="VLA56" s="240"/>
      <c r="VLB56" s="257"/>
      <c r="VLC56" s="240"/>
      <c r="VLF56" s="49"/>
      <c r="VLG56" s="240"/>
      <c r="VLH56" s="240"/>
      <c r="VLI56" s="240"/>
      <c r="VLJ56" s="257"/>
      <c r="VLK56" s="240"/>
      <c r="VLL56" s="257"/>
      <c r="VLM56" s="240"/>
      <c r="VLP56" s="49"/>
      <c r="VLQ56" s="240"/>
      <c r="VLR56" s="240"/>
      <c r="VLS56" s="240"/>
      <c r="VLT56" s="257"/>
      <c r="VLU56" s="240"/>
      <c r="VLV56" s="257"/>
      <c r="VLW56" s="240"/>
      <c r="VLZ56" s="49"/>
      <c r="VMA56" s="240"/>
      <c r="VMB56" s="240"/>
      <c r="VMC56" s="240"/>
      <c r="VMD56" s="257"/>
      <c r="VME56" s="240"/>
      <c r="VMF56" s="257"/>
      <c r="VMG56" s="240"/>
      <c r="VMJ56" s="49"/>
      <c r="VMK56" s="240"/>
      <c r="VML56" s="240"/>
      <c r="VMM56" s="240"/>
      <c r="VMN56" s="257"/>
      <c r="VMO56" s="240"/>
      <c r="VMP56" s="257"/>
      <c r="VMQ56" s="240"/>
      <c r="VMT56" s="49"/>
      <c r="VMU56" s="240"/>
      <c r="VMV56" s="240"/>
      <c r="VMW56" s="240"/>
      <c r="VMX56" s="257"/>
      <c r="VMY56" s="240"/>
      <c r="VMZ56" s="257"/>
      <c r="VNA56" s="240"/>
      <c r="VND56" s="49"/>
      <c r="VNE56" s="240"/>
      <c r="VNF56" s="240"/>
      <c r="VNG56" s="240"/>
      <c r="VNH56" s="257"/>
      <c r="VNI56" s="240"/>
      <c r="VNJ56" s="257"/>
      <c r="VNK56" s="240"/>
      <c r="VNN56" s="49"/>
      <c r="VNO56" s="240"/>
      <c r="VNP56" s="240"/>
      <c r="VNQ56" s="240"/>
      <c r="VNR56" s="257"/>
      <c r="VNS56" s="240"/>
      <c r="VNT56" s="257"/>
      <c r="VNU56" s="240"/>
      <c r="VNX56" s="49"/>
      <c r="VNY56" s="240"/>
      <c r="VNZ56" s="240"/>
      <c r="VOA56" s="240"/>
      <c r="VOB56" s="257"/>
      <c r="VOC56" s="240"/>
      <c r="VOD56" s="257"/>
      <c r="VOE56" s="240"/>
      <c r="VOH56" s="49"/>
      <c r="VOI56" s="240"/>
      <c r="VOJ56" s="240"/>
      <c r="VOK56" s="240"/>
      <c r="VOL56" s="257"/>
      <c r="VOM56" s="240"/>
      <c r="VON56" s="257"/>
      <c r="VOO56" s="240"/>
      <c r="VOR56" s="49"/>
      <c r="VOS56" s="240"/>
      <c r="VOT56" s="240"/>
      <c r="VOU56" s="240"/>
      <c r="VOV56" s="257"/>
      <c r="VOW56" s="240"/>
      <c r="VOX56" s="257"/>
      <c r="VOY56" s="240"/>
      <c r="VPB56" s="49"/>
      <c r="VPC56" s="240"/>
      <c r="VPD56" s="240"/>
      <c r="VPE56" s="240"/>
      <c r="VPF56" s="257"/>
      <c r="VPG56" s="240"/>
      <c r="VPH56" s="257"/>
      <c r="VPI56" s="240"/>
      <c r="VPL56" s="49"/>
      <c r="VPM56" s="240"/>
      <c r="VPN56" s="240"/>
      <c r="VPO56" s="240"/>
      <c r="VPP56" s="257"/>
      <c r="VPQ56" s="240"/>
      <c r="VPR56" s="257"/>
      <c r="VPS56" s="240"/>
      <c r="VPV56" s="49"/>
      <c r="VPW56" s="240"/>
      <c r="VPX56" s="240"/>
      <c r="VPY56" s="240"/>
      <c r="VPZ56" s="257"/>
      <c r="VQA56" s="240"/>
      <c r="VQB56" s="257"/>
      <c r="VQC56" s="240"/>
      <c r="VQF56" s="49"/>
      <c r="VQG56" s="240"/>
      <c r="VQH56" s="240"/>
      <c r="VQI56" s="240"/>
      <c r="VQJ56" s="257"/>
      <c r="VQK56" s="240"/>
      <c r="VQL56" s="257"/>
      <c r="VQM56" s="240"/>
      <c r="VQP56" s="49"/>
      <c r="VQQ56" s="240"/>
      <c r="VQR56" s="240"/>
      <c r="VQS56" s="240"/>
      <c r="VQT56" s="257"/>
      <c r="VQU56" s="240"/>
      <c r="VQV56" s="257"/>
      <c r="VQW56" s="240"/>
      <c r="VQZ56" s="49"/>
      <c r="VRA56" s="240"/>
      <c r="VRB56" s="240"/>
      <c r="VRC56" s="240"/>
      <c r="VRD56" s="257"/>
      <c r="VRE56" s="240"/>
      <c r="VRF56" s="257"/>
      <c r="VRG56" s="240"/>
      <c r="VRJ56" s="49"/>
      <c r="VRK56" s="240"/>
      <c r="VRL56" s="240"/>
      <c r="VRM56" s="240"/>
      <c r="VRN56" s="257"/>
      <c r="VRO56" s="240"/>
      <c r="VRP56" s="257"/>
      <c r="VRQ56" s="240"/>
      <c r="VRT56" s="49"/>
      <c r="VRU56" s="240"/>
      <c r="VRV56" s="240"/>
      <c r="VRW56" s="240"/>
      <c r="VRX56" s="257"/>
      <c r="VRY56" s="240"/>
      <c r="VRZ56" s="257"/>
      <c r="VSA56" s="240"/>
      <c r="VSD56" s="49"/>
      <c r="VSE56" s="240"/>
      <c r="VSF56" s="240"/>
      <c r="VSG56" s="240"/>
      <c r="VSH56" s="257"/>
      <c r="VSI56" s="240"/>
      <c r="VSJ56" s="257"/>
      <c r="VSK56" s="240"/>
      <c r="VSN56" s="49"/>
      <c r="VSO56" s="240"/>
      <c r="VSP56" s="240"/>
      <c r="VSQ56" s="240"/>
      <c r="VSR56" s="257"/>
      <c r="VSS56" s="240"/>
      <c r="VST56" s="257"/>
      <c r="VSU56" s="240"/>
      <c r="VSX56" s="49"/>
      <c r="VSY56" s="240"/>
      <c r="VSZ56" s="240"/>
      <c r="VTA56" s="240"/>
      <c r="VTB56" s="257"/>
      <c r="VTC56" s="240"/>
      <c r="VTD56" s="257"/>
      <c r="VTE56" s="240"/>
      <c r="VTH56" s="49"/>
      <c r="VTI56" s="240"/>
      <c r="VTJ56" s="240"/>
      <c r="VTK56" s="240"/>
      <c r="VTL56" s="257"/>
      <c r="VTM56" s="240"/>
      <c r="VTN56" s="257"/>
      <c r="VTO56" s="240"/>
      <c r="VTR56" s="49"/>
      <c r="VTS56" s="240"/>
      <c r="VTT56" s="240"/>
      <c r="VTU56" s="240"/>
      <c r="VTV56" s="257"/>
      <c r="VTW56" s="240"/>
      <c r="VTX56" s="257"/>
      <c r="VTY56" s="240"/>
      <c r="VUB56" s="49"/>
      <c r="VUC56" s="240"/>
      <c r="VUD56" s="240"/>
      <c r="VUE56" s="240"/>
      <c r="VUF56" s="257"/>
      <c r="VUG56" s="240"/>
      <c r="VUH56" s="257"/>
      <c r="VUI56" s="240"/>
      <c r="VUL56" s="49"/>
      <c r="VUM56" s="240"/>
      <c r="VUN56" s="240"/>
      <c r="VUO56" s="240"/>
      <c r="VUP56" s="257"/>
      <c r="VUQ56" s="240"/>
      <c r="VUR56" s="257"/>
      <c r="VUS56" s="240"/>
      <c r="VUV56" s="49"/>
      <c r="VUW56" s="240"/>
      <c r="VUX56" s="240"/>
      <c r="VUY56" s="240"/>
      <c r="VUZ56" s="257"/>
      <c r="VVA56" s="240"/>
      <c r="VVB56" s="257"/>
      <c r="VVC56" s="240"/>
      <c r="VVF56" s="49"/>
      <c r="VVG56" s="240"/>
      <c r="VVH56" s="240"/>
      <c r="VVI56" s="240"/>
      <c r="VVJ56" s="257"/>
      <c r="VVK56" s="240"/>
      <c r="VVL56" s="257"/>
      <c r="VVM56" s="240"/>
      <c r="VVP56" s="49"/>
      <c r="VVQ56" s="240"/>
      <c r="VVR56" s="240"/>
      <c r="VVS56" s="240"/>
      <c r="VVT56" s="257"/>
      <c r="VVU56" s="240"/>
      <c r="VVV56" s="257"/>
      <c r="VVW56" s="240"/>
      <c r="VVZ56" s="49"/>
      <c r="VWA56" s="240"/>
      <c r="VWB56" s="240"/>
      <c r="VWC56" s="240"/>
      <c r="VWD56" s="257"/>
      <c r="VWE56" s="240"/>
      <c r="VWF56" s="257"/>
      <c r="VWG56" s="240"/>
      <c r="VWJ56" s="49"/>
      <c r="VWK56" s="240"/>
      <c r="VWL56" s="240"/>
      <c r="VWM56" s="240"/>
      <c r="VWN56" s="257"/>
      <c r="VWO56" s="240"/>
      <c r="VWP56" s="257"/>
      <c r="VWQ56" s="240"/>
      <c r="VWT56" s="49"/>
      <c r="VWU56" s="240"/>
      <c r="VWV56" s="240"/>
      <c r="VWW56" s="240"/>
      <c r="VWX56" s="257"/>
      <c r="VWY56" s="240"/>
      <c r="VWZ56" s="257"/>
      <c r="VXA56" s="240"/>
      <c r="VXD56" s="49"/>
      <c r="VXE56" s="240"/>
      <c r="VXF56" s="240"/>
      <c r="VXG56" s="240"/>
      <c r="VXH56" s="257"/>
      <c r="VXI56" s="240"/>
      <c r="VXJ56" s="257"/>
      <c r="VXK56" s="240"/>
      <c r="VXN56" s="49"/>
      <c r="VXO56" s="240"/>
      <c r="VXP56" s="240"/>
      <c r="VXQ56" s="240"/>
      <c r="VXR56" s="257"/>
      <c r="VXS56" s="240"/>
      <c r="VXT56" s="257"/>
      <c r="VXU56" s="240"/>
      <c r="VXX56" s="49"/>
      <c r="VXY56" s="240"/>
      <c r="VXZ56" s="240"/>
      <c r="VYA56" s="240"/>
      <c r="VYB56" s="257"/>
      <c r="VYC56" s="240"/>
      <c r="VYD56" s="257"/>
      <c r="VYE56" s="240"/>
      <c r="VYH56" s="49"/>
      <c r="VYI56" s="240"/>
      <c r="VYJ56" s="240"/>
      <c r="VYK56" s="240"/>
      <c r="VYL56" s="257"/>
      <c r="VYM56" s="240"/>
      <c r="VYN56" s="257"/>
      <c r="VYO56" s="240"/>
      <c r="VYR56" s="49"/>
      <c r="VYS56" s="240"/>
      <c r="VYT56" s="240"/>
      <c r="VYU56" s="240"/>
      <c r="VYV56" s="257"/>
      <c r="VYW56" s="240"/>
      <c r="VYX56" s="257"/>
      <c r="VYY56" s="240"/>
      <c r="VZB56" s="49"/>
      <c r="VZC56" s="240"/>
      <c r="VZD56" s="240"/>
      <c r="VZE56" s="240"/>
      <c r="VZF56" s="257"/>
      <c r="VZG56" s="240"/>
      <c r="VZH56" s="257"/>
      <c r="VZI56" s="240"/>
      <c r="VZL56" s="49"/>
      <c r="VZM56" s="240"/>
      <c r="VZN56" s="240"/>
      <c r="VZO56" s="240"/>
      <c r="VZP56" s="257"/>
      <c r="VZQ56" s="240"/>
      <c r="VZR56" s="257"/>
      <c r="VZS56" s="240"/>
      <c r="VZV56" s="49"/>
      <c r="VZW56" s="240"/>
      <c r="VZX56" s="240"/>
      <c r="VZY56" s="240"/>
      <c r="VZZ56" s="257"/>
      <c r="WAA56" s="240"/>
      <c r="WAB56" s="257"/>
      <c r="WAC56" s="240"/>
      <c r="WAF56" s="49"/>
      <c r="WAG56" s="240"/>
      <c r="WAH56" s="240"/>
      <c r="WAI56" s="240"/>
      <c r="WAJ56" s="257"/>
      <c r="WAK56" s="240"/>
      <c r="WAL56" s="257"/>
      <c r="WAM56" s="240"/>
      <c r="WAP56" s="49"/>
      <c r="WAQ56" s="240"/>
      <c r="WAR56" s="240"/>
      <c r="WAS56" s="240"/>
      <c r="WAT56" s="257"/>
      <c r="WAU56" s="240"/>
      <c r="WAV56" s="257"/>
      <c r="WAW56" s="240"/>
      <c r="WAZ56" s="49"/>
      <c r="WBA56" s="240"/>
      <c r="WBB56" s="240"/>
      <c r="WBC56" s="240"/>
      <c r="WBD56" s="257"/>
      <c r="WBE56" s="240"/>
      <c r="WBF56" s="257"/>
      <c r="WBG56" s="240"/>
      <c r="WBJ56" s="49"/>
      <c r="WBK56" s="240"/>
      <c r="WBL56" s="240"/>
      <c r="WBM56" s="240"/>
      <c r="WBN56" s="257"/>
      <c r="WBO56" s="240"/>
      <c r="WBP56" s="257"/>
      <c r="WBQ56" s="240"/>
      <c r="WBT56" s="49"/>
      <c r="WBU56" s="240"/>
      <c r="WBV56" s="240"/>
      <c r="WBW56" s="240"/>
      <c r="WBX56" s="257"/>
      <c r="WBY56" s="240"/>
      <c r="WBZ56" s="257"/>
      <c r="WCA56" s="240"/>
      <c r="WCD56" s="49"/>
      <c r="WCE56" s="240"/>
      <c r="WCF56" s="240"/>
      <c r="WCG56" s="240"/>
      <c r="WCH56" s="257"/>
      <c r="WCI56" s="240"/>
      <c r="WCJ56" s="257"/>
      <c r="WCK56" s="240"/>
      <c r="WCN56" s="49"/>
      <c r="WCO56" s="240"/>
      <c r="WCP56" s="240"/>
      <c r="WCQ56" s="240"/>
      <c r="WCR56" s="257"/>
      <c r="WCS56" s="240"/>
      <c r="WCT56" s="257"/>
      <c r="WCU56" s="240"/>
      <c r="WCX56" s="49"/>
      <c r="WCY56" s="240"/>
      <c r="WCZ56" s="240"/>
      <c r="WDA56" s="240"/>
      <c r="WDB56" s="257"/>
      <c r="WDC56" s="240"/>
      <c r="WDD56" s="257"/>
      <c r="WDE56" s="240"/>
      <c r="WDH56" s="49"/>
      <c r="WDI56" s="240"/>
      <c r="WDJ56" s="240"/>
      <c r="WDK56" s="240"/>
      <c r="WDL56" s="257"/>
      <c r="WDM56" s="240"/>
      <c r="WDN56" s="257"/>
      <c r="WDO56" s="240"/>
      <c r="WDR56" s="49"/>
      <c r="WDS56" s="240"/>
      <c r="WDT56" s="240"/>
      <c r="WDU56" s="240"/>
      <c r="WDV56" s="257"/>
      <c r="WDW56" s="240"/>
      <c r="WDX56" s="257"/>
      <c r="WDY56" s="240"/>
      <c r="WEB56" s="49"/>
      <c r="WEC56" s="240"/>
      <c r="WED56" s="240"/>
      <c r="WEE56" s="240"/>
      <c r="WEF56" s="257"/>
      <c r="WEG56" s="240"/>
      <c r="WEH56" s="257"/>
      <c r="WEI56" s="240"/>
      <c r="WEL56" s="49"/>
      <c r="WEM56" s="240"/>
      <c r="WEN56" s="240"/>
      <c r="WEO56" s="240"/>
      <c r="WEP56" s="257"/>
      <c r="WEQ56" s="240"/>
      <c r="WER56" s="257"/>
      <c r="WES56" s="240"/>
      <c r="WEV56" s="49"/>
      <c r="WEW56" s="240"/>
      <c r="WEX56" s="240"/>
      <c r="WEY56" s="240"/>
      <c r="WEZ56" s="257"/>
      <c r="WFA56" s="240"/>
      <c r="WFB56" s="257"/>
      <c r="WFC56" s="240"/>
      <c r="WFF56" s="49"/>
      <c r="WFG56" s="240"/>
      <c r="WFH56" s="240"/>
      <c r="WFI56" s="240"/>
      <c r="WFJ56" s="257"/>
      <c r="WFK56" s="240"/>
      <c r="WFL56" s="257"/>
      <c r="WFM56" s="240"/>
      <c r="WFP56" s="49"/>
      <c r="WFQ56" s="240"/>
      <c r="WFR56" s="240"/>
      <c r="WFS56" s="240"/>
      <c r="WFT56" s="257"/>
      <c r="WFU56" s="240"/>
      <c r="WFV56" s="257"/>
      <c r="WFW56" s="240"/>
      <c r="WFZ56" s="49"/>
      <c r="WGA56" s="240"/>
      <c r="WGB56" s="240"/>
      <c r="WGC56" s="240"/>
      <c r="WGD56" s="257"/>
      <c r="WGE56" s="240"/>
      <c r="WGF56" s="257"/>
      <c r="WGG56" s="240"/>
      <c r="WGJ56" s="49"/>
      <c r="WGK56" s="240"/>
      <c r="WGL56" s="240"/>
      <c r="WGM56" s="240"/>
      <c r="WGN56" s="257"/>
      <c r="WGO56" s="240"/>
      <c r="WGP56" s="257"/>
      <c r="WGQ56" s="240"/>
      <c r="WGT56" s="49"/>
      <c r="WGU56" s="240"/>
      <c r="WGV56" s="240"/>
      <c r="WGW56" s="240"/>
      <c r="WGX56" s="257"/>
      <c r="WGY56" s="240"/>
      <c r="WGZ56" s="257"/>
      <c r="WHA56" s="240"/>
      <c r="WHD56" s="49"/>
      <c r="WHE56" s="240"/>
      <c r="WHF56" s="240"/>
      <c r="WHG56" s="240"/>
      <c r="WHH56" s="257"/>
      <c r="WHI56" s="240"/>
      <c r="WHJ56" s="257"/>
      <c r="WHK56" s="240"/>
      <c r="WHN56" s="49"/>
      <c r="WHO56" s="240"/>
      <c r="WHP56" s="240"/>
      <c r="WHQ56" s="240"/>
      <c r="WHR56" s="257"/>
      <c r="WHS56" s="240"/>
      <c r="WHT56" s="257"/>
      <c r="WHU56" s="240"/>
      <c r="WHX56" s="49"/>
      <c r="WHY56" s="240"/>
      <c r="WHZ56" s="240"/>
      <c r="WIA56" s="240"/>
      <c r="WIB56" s="257"/>
      <c r="WIC56" s="240"/>
      <c r="WID56" s="257"/>
      <c r="WIE56" s="240"/>
      <c r="WIH56" s="49"/>
      <c r="WII56" s="240"/>
      <c r="WIJ56" s="240"/>
      <c r="WIK56" s="240"/>
      <c r="WIL56" s="257"/>
      <c r="WIM56" s="240"/>
      <c r="WIN56" s="257"/>
      <c r="WIO56" s="240"/>
      <c r="WIR56" s="49"/>
      <c r="WIS56" s="240"/>
      <c r="WIT56" s="240"/>
      <c r="WIU56" s="240"/>
      <c r="WIV56" s="257"/>
      <c r="WIW56" s="240"/>
      <c r="WIX56" s="257"/>
      <c r="WIY56" s="240"/>
      <c r="WJB56" s="49"/>
      <c r="WJC56" s="240"/>
      <c r="WJD56" s="240"/>
      <c r="WJE56" s="240"/>
      <c r="WJF56" s="257"/>
      <c r="WJG56" s="240"/>
      <c r="WJH56" s="257"/>
      <c r="WJI56" s="240"/>
      <c r="WJL56" s="49"/>
      <c r="WJM56" s="240"/>
      <c r="WJN56" s="240"/>
      <c r="WJO56" s="240"/>
      <c r="WJP56" s="257"/>
      <c r="WJQ56" s="240"/>
      <c r="WJR56" s="257"/>
      <c r="WJS56" s="240"/>
      <c r="WJV56" s="49"/>
      <c r="WJW56" s="240"/>
      <c r="WJX56" s="240"/>
      <c r="WJY56" s="240"/>
      <c r="WJZ56" s="257"/>
      <c r="WKA56" s="240"/>
      <c r="WKB56" s="257"/>
      <c r="WKC56" s="240"/>
      <c r="WKF56" s="49"/>
      <c r="WKG56" s="240"/>
      <c r="WKH56" s="240"/>
      <c r="WKI56" s="240"/>
      <c r="WKJ56" s="257"/>
      <c r="WKK56" s="240"/>
      <c r="WKL56" s="257"/>
      <c r="WKM56" s="240"/>
      <c r="WKP56" s="49"/>
      <c r="WKQ56" s="240"/>
      <c r="WKR56" s="240"/>
      <c r="WKS56" s="240"/>
      <c r="WKT56" s="257"/>
      <c r="WKU56" s="240"/>
      <c r="WKV56" s="257"/>
      <c r="WKW56" s="240"/>
      <c r="WKZ56" s="49"/>
      <c r="WLA56" s="240"/>
      <c r="WLB56" s="240"/>
      <c r="WLC56" s="240"/>
      <c r="WLD56" s="257"/>
      <c r="WLE56" s="240"/>
      <c r="WLF56" s="257"/>
      <c r="WLG56" s="240"/>
      <c r="WLJ56" s="49"/>
      <c r="WLK56" s="240"/>
      <c r="WLL56" s="240"/>
      <c r="WLM56" s="240"/>
      <c r="WLN56" s="257"/>
      <c r="WLO56" s="240"/>
      <c r="WLP56" s="257"/>
      <c r="WLQ56" s="240"/>
      <c r="WLT56" s="49"/>
      <c r="WLU56" s="240"/>
      <c r="WLV56" s="240"/>
      <c r="WLW56" s="240"/>
      <c r="WLX56" s="257"/>
      <c r="WLY56" s="240"/>
      <c r="WLZ56" s="257"/>
      <c r="WMA56" s="240"/>
      <c r="WMD56" s="49"/>
      <c r="WME56" s="240"/>
      <c r="WMF56" s="240"/>
      <c r="WMG56" s="240"/>
      <c r="WMH56" s="257"/>
      <c r="WMI56" s="240"/>
      <c r="WMJ56" s="257"/>
      <c r="WMK56" s="240"/>
      <c r="WMN56" s="49"/>
      <c r="WMO56" s="240"/>
      <c r="WMP56" s="240"/>
      <c r="WMQ56" s="240"/>
      <c r="WMR56" s="257"/>
      <c r="WMS56" s="240"/>
      <c r="WMT56" s="257"/>
      <c r="WMU56" s="240"/>
      <c r="WMX56" s="49"/>
      <c r="WMY56" s="240"/>
      <c r="WMZ56" s="240"/>
      <c r="WNA56" s="240"/>
      <c r="WNB56" s="257"/>
      <c r="WNC56" s="240"/>
      <c r="WND56" s="257"/>
      <c r="WNE56" s="240"/>
      <c r="WNH56" s="49"/>
      <c r="WNI56" s="240"/>
      <c r="WNJ56" s="240"/>
      <c r="WNK56" s="240"/>
      <c r="WNL56" s="257"/>
      <c r="WNM56" s="240"/>
      <c r="WNN56" s="257"/>
      <c r="WNO56" s="240"/>
      <c r="WNR56" s="49"/>
      <c r="WNS56" s="240"/>
      <c r="WNT56" s="240"/>
      <c r="WNU56" s="240"/>
      <c r="WNV56" s="257"/>
      <c r="WNW56" s="240"/>
      <c r="WNX56" s="257"/>
      <c r="WNY56" s="240"/>
      <c r="WOB56" s="49"/>
      <c r="WOC56" s="240"/>
      <c r="WOD56" s="240"/>
      <c r="WOE56" s="240"/>
      <c r="WOF56" s="257"/>
      <c r="WOG56" s="240"/>
      <c r="WOH56" s="257"/>
      <c r="WOI56" s="240"/>
      <c r="WOL56" s="49"/>
      <c r="WOM56" s="240"/>
      <c r="WON56" s="240"/>
      <c r="WOO56" s="240"/>
      <c r="WOP56" s="257"/>
      <c r="WOQ56" s="240"/>
      <c r="WOR56" s="257"/>
      <c r="WOS56" s="240"/>
      <c r="WOV56" s="49"/>
      <c r="WOW56" s="240"/>
      <c r="WOX56" s="240"/>
      <c r="WOY56" s="240"/>
      <c r="WOZ56" s="257"/>
      <c r="WPA56" s="240"/>
      <c r="WPB56" s="257"/>
      <c r="WPC56" s="240"/>
      <c r="WPF56" s="49"/>
      <c r="WPG56" s="240"/>
      <c r="WPH56" s="240"/>
      <c r="WPI56" s="240"/>
      <c r="WPJ56" s="257"/>
      <c r="WPK56" s="240"/>
      <c r="WPL56" s="257"/>
      <c r="WPM56" s="240"/>
      <c r="WPP56" s="49"/>
      <c r="WPQ56" s="240"/>
      <c r="WPR56" s="240"/>
      <c r="WPS56" s="240"/>
      <c r="WPT56" s="257"/>
      <c r="WPU56" s="240"/>
      <c r="WPV56" s="257"/>
      <c r="WPW56" s="240"/>
      <c r="WPZ56" s="49"/>
      <c r="WQA56" s="240"/>
      <c r="WQB56" s="240"/>
      <c r="WQC56" s="240"/>
      <c r="WQD56" s="257"/>
      <c r="WQE56" s="240"/>
      <c r="WQF56" s="257"/>
      <c r="WQG56" s="240"/>
      <c r="WQJ56" s="49"/>
      <c r="WQK56" s="240"/>
      <c r="WQL56" s="240"/>
      <c r="WQM56" s="240"/>
      <c r="WQN56" s="257"/>
      <c r="WQO56" s="240"/>
      <c r="WQP56" s="257"/>
      <c r="WQQ56" s="240"/>
      <c r="WQT56" s="49"/>
      <c r="WQU56" s="240"/>
      <c r="WQV56" s="240"/>
      <c r="WQW56" s="240"/>
      <c r="WQX56" s="257"/>
      <c r="WQY56" s="240"/>
      <c r="WQZ56" s="257"/>
      <c r="WRA56" s="240"/>
      <c r="WRD56" s="49"/>
      <c r="WRE56" s="240"/>
      <c r="WRF56" s="240"/>
      <c r="WRG56" s="240"/>
      <c r="WRH56" s="257"/>
      <c r="WRI56" s="240"/>
      <c r="WRJ56" s="257"/>
      <c r="WRK56" s="240"/>
      <c r="WRN56" s="49"/>
      <c r="WRO56" s="240"/>
      <c r="WRP56" s="240"/>
      <c r="WRQ56" s="240"/>
      <c r="WRR56" s="257"/>
      <c r="WRS56" s="240"/>
      <c r="WRT56" s="257"/>
      <c r="WRU56" s="240"/>
      <c r="WRX56" s="49"/>
      <c r="WRY56" s="240"/>
      <c r="WRZ56" s="240"/>
      <c r="WSA56" s="240"/>
      <c r="WSB56" s="257"/>
      <c r="WSC56" s="240"/>
      <c r="WSD56" s="257"/>
      <c r="WSE56" s="240"/>
      <c r="WSH56" s="49"/>
      <c r="WSI56" s="240"/>
      <c r="WSJ56" s="240"/>
      <c r="WSK56" s="240"/>
      <c r="WSL56" s="257"/>
      <c r="WSM56" s="240"/>
      <c r="WSN56" s="257"/>
      <c r="WSO56" s="240"/>
      <c r="WSR56" s="49"/>
      <c r="WSS56" s="240"/>
      <c r="WST56" s="240"/>
      <c r="WSU56" s="240"/>
      <c r="WSV56" s="257"/>
      <c r="WSW56" s="240"/>
      <c r="WSX56" s="257"/>
      <c r="WSY56" s="240"/>
      <c r="WTB56" s="49"/>
      <c r="WTC56" s="240"/>
      <c r="WTD56" s="240"/>
      <c r="WTE56" s="240"/>
      <c r="WTF56" s="257"/>
      <c r="WTG56" s="240"/>
      <c r="WTH56" s="257"/>
      <c r="WTI56" s="240"/>
      <c r="WTL56" s="49"/>
      <c r="WTM56" s="240"/>
      <c r="WTN56" s="240"/>
      <c r="WTO56" s="240"/>
      <c r="WTP56" s="257"/>
      <c r="WTQ56" s="240"/>
      <c r="WTR56" s="257"/>
      <c r="WTS56" s="240"/>
      <c r="WTV56" s="49"/>
      <c r="WTW56" s="240"/>
      <c r="WTX56" s="240"/>
      <c r="WTY56" s="240"/>
      <c r="WTZ56" s="257"/>
      <c r="WUA56" s="240"/>
      <c r="WUB56" s="257"/>
      <c r="WUC56" s="240"/>
      <c r="WUF56" s="49"/>
      <c r="WUG56" s="240"/>
      <c r="WUH56" s="240"/>
      <c r="WUI56" s="240"/>
      <c r="WUJ56" s="257"/>
      <c r="WUK56" s="240"/>
      <c r="WUL56" s="257"/>
      <c r="WUM56" s="240"/>
      <c r="WUP56" s="49"/>
      <c r="WUQ56" s="240"/>
      <c r="WUR56" s="240"/>
      <c r="WUS56" s="240"/>
      <c r="WUT56" s="257"/>
      <c r="WUU56" s="240"/>
      <c r="WUV56" s="257"/>
      <c r="WUW56" s="240"/>
      <c r="WUZ56" s="49"/>
      <c r="WVA56" s="240"/>
      <c r="WVB56" s="240"/>
      <c r="WVC56" s="240"/>
      <c r="WVD56" s="257"/>
      <c r="WVE56" s="240"/>
      <c r="WVF56" s="257"/>
      <c r="WVG56" s="240"/>
      <c r="WVJ56" s="49"/>
      <c r="WVK56" s="240"/>
      <c r="WVL56" s="240"/>
      <c r="WVM56" s="240"/>
      <c r="WVN56" s="257"/>
      <c r="WVO56" s="240"/>
      <c r="WVP56" s="257"/>
      <c r="WVQ56" s="240"/>
      <c r="WVT56" s="49"/>
      <c r="WVU56" s="240"/>
      <c r="WVV56" s="240"/>
      <c r="WVW56" s="240"/>
      <c r="WVX56" s="257"/>
      <c r="WVY56" s="240"/>
      <c r="WVZ56" s="257"/>
      <c r="WWA56" s="240"/>
      <c r="WWD56" s="49"/>
      <c r="WWE56" s="240"/>
      <c r="WWF56" s="240"/>
      <c r="WWG56" s="240"/>
      <c r="WWH56" s="257"/>
      <c r="WWI56" s="240"/>
      <c r="WWJ56" s="257"/>
      <c r="WWK56" s="240"/>
      <c r="WWN56" s="49"/>
      <c r="WWO56" s="240"/>
      <c r="WWP56" s="240"/>
      <c r="WWQ56" s="240"/>
      <c r="WWR56" s="257"/>
      <c r="WWS56" s="240"/>
      <c r="WWT56" s="257"/>
      <c r="WWU56" s="240"/>
      <c r="WWX56" s="49"/>
      <c r="WWY56" s="240"/>
      <c r="WWZ56" s="240"/>
      <c r="WXA56" s="240"/>
      <c r="WXB56" s="257"/>
      <c r="WXC56" s="240"/>
      <c r="WXD56" s="257"/>
      <c r="WXE56" s="240"/>
      <c r="WXH56" s="49"/>
      <c r="WXI56" s="240"/>
      <c r="WXJ56" s="240"/>
      <c r="WXK56" s="240"/>
      <c r="WXL56" s="257"/>
      <c r="WXM56" s="240"/>
      <c r="WXN56" s="257"/>
      <c r="WXO56" s="240"/>
      <c r="WXR56" s="49"/>
      <c r="WXS56" s="240"/>
      <c r="WXT56" s="240"/>
      <c r="WXU56" s="240"/>
      <c r="WXV56" s="257"/>
      <c r="WXW56" s="240"/>
      <c r="WXX56" s="257"/>
      <c r="WXY56" s="240"/>
      <c r="WYB56" s="49"/>
      <c r="WYC56" s="240"/>
      <c r="WYD56" s="240"/>
      <c r="WYE56" s="240"/>
      <c r="WYF56" s="257"/>
      <c r="WYG56" s="240"/>
      <c r="WYH56" s="257"/>
      <c r="WYI56" s="240"/>
      <c r="WYL56" s="49"/>
      <c r="WYM56" s="240"/>
      <c r="WYN56" s="240"/>
      <c r="WYO56" s="240"/>
      <c r="WYP56" s="257"/>
      <c r="WYQ56" s="240"/>
      <c r="WYR56" s="257"/>
      <c r="WYS56" s="240"/>
      <c r="WYV56" s="49"/>
      <c r="WYW56" s="240"/>
      <c r="WYX56" s="240"/>
      <c r="WYY56" s="240"/>
      <c r="WYZ56" s="257"/>
      <c r="WZA56" s="240"/>
      <c r="WZB56" s="257"/>
      <c r="WZC56" s="240"/>
      <c r="WZF56" s="49"/>
      <c r="WZG56" s="240"/>
      <c r="WZH56" s="240"/>
      <c r="WZI56" s="240"/>
      <c r="WZJ56" s="257"/>
      <c r="WZK56" s="240"/>
      <c r="WZL56" s="257"/>
      <c r="WZM56" s="240"/>
      <c r="WZP56" s="49"/>
      <c r="WZQ56" s="240"/>
      <c r="WZR56" s="240"/>
      <c r="WZS56" s="240"/>
      <c r="WZT56" s="257"/>
      <c r="WZU56" s="240"/>
      <c r="WZV56" s="257"/>
      <c r="WZW56" s="240"/>
      <c r="WZZ56" s="49"/>
      <c r="XAA56" s="240"/>
      <c r="XAB56" s="240"/>
      <c r="XAC56" s="240"/>
      <c r="XAD56" s="257"/>
      <c r="XAE56" s="240"/>
      <c r="XAF56" s="257"/>
      <c r="XAG56" s="240"/>
      <c r="XAJ56" s="49"/>
      <c r="XAK56" s="240"/>
      <c r="XAL56" s="240"/>
      <c r="XAM56" s="240"/>
    </row>
    <row r="57" spans="1:2047 2050:7167 7170:12287 12290:16263" s="254" customFormat="1" ht="15.75" x14ac:dyDescent="0.25">
      <c r="A57" s="222"/>
      <c r="B57" s="226"/>
      <c r="C57" s="226"/>
      <c r="D57" s="226"/>
      <c r="E57" s="226"/>
      <c r="F57" s="226"/>
      <c r="G57" s="226"/>
      <c r="H57" s="226"/>
      <c r="I57" s="226"/>
      <c r="J57" s="226"/>
    </row>
    <row r="58" spans="1:2047 2050:7167 7170:12287 12290:16263" s="254" customFormat="1" ht="15" customHeight="1" x14ac:dyDescent="0.25">
      <c r="A58" s="222" t="s">
        <v>253</v>
      </c>
      <c r="B58" s="217"/>
      <c r="C58" s="217"/>
      <c r="D58" s="217"/>
      <c r="E58" s="235"/>
      <c r="F58" s="235"/>
      <c r="G58" s="218"/>
      <c r="H58" s="217"/>
      <c r="I58" s="217"/>
      <c r="J58" s="217"/>
    </row>
    <row r="59" spans="1:2047 2050:7167 7170:12287 12290:16263" s="254" customFormat="1" ht="15" customHeight="1" x14ac:dyDescent="0.2">
      <c r="A59" s="224"/>
      <c r="B59" s="458"/>
      <c r="C59" s="458"/>
      <c r="D59" s="458"/>
      <c r="E59" s="458"/>
      <c r="F59" s="458"/>
      <c r="G59" s="458"/>
      <c r="H59" s="458"/>
      <c r="I59" s="458"/>
      <c r="J59" s="458"/>
    </row>
    <row r="60" spans="1:2047 2050:7167 7170:12287 12290:16263" s="254" customFormat="1" ht="12.75" x14ac:dyDescent="0.2">
      <c r="B60" s="211"/>
      <c r="C60" s="212"/>
      <c r="D60" s="212"/>
      <c r="E60" s="212"/>
      <c r="F60" s="212"/>
      <c r="G60" s="212"/>
      <c r="H60" s="212"/>
      <c r="I60" s="212"/>
      <c r="J60" s="212"/>
    </row>
    <row r="61" spans="1:2047 2050:7167 7170:12287 12290:16263" s="254" customFormat="1" ht="51" customHeight="1" x14ac:dyDescent="0.2">
      <c r="A61" s="224"/>
      <c r="B61" s="226"/>
      <c r="C61" s="226"/>
      <c r="D61" s="226"/>
      <c r="E61" s="226"/>
      <c r="F61" s="226"/>
      <c r="G61" s="217"/>
      <c r="H61" s="217"/>
      <c r="I61" s="217"/>
      <c r="J61" s="217"/>
    </row>
    <row r="62" spans="1:2047 2050:7167 7170:12287 12290:16263" s="254" customFormat="1" ht="15" customHeight="1" x14ac:dyDescent="0.2">
      <c r="A62" s="224"/>
      <c r="B62" s="236"/>
      <c r="C62" s="215"/>
      <c r="D62" s="215"/>
      <c r="E62" s="223"/>
      <c r="F62" s="223"/>
      <c r="G62" s="217"/>
      <c r="H62" s="217"/>
      <c r="I62" s="217"/>
      <c r="J62" s="217"/>
    </row>
    <row r="63" spans="1:2047 2050:7167 7170:12287 12290:16263" s="254" customFormat="1" ht="15" customHeight="1" x14ac:dyDescent="0.2">
      <c r="A63" s="224"/>
      <c r="B63" s="236"/>
      <c r="C63" s="215"/>
      <c r="D63" s="215"/>
      <c r="E63" s="223"/>
      <c r="F63" s="223"/>
      <c r="G63" s="217"/>
      <c r="H63" s="217"/>
      <c r="I63" s="217"/>
      <c r="J63" s="217"/>
    </row>
    <row r="64" spans="1:2047 2050:7167 7170:12287 12290:16263" s="254" customFormat="1" ht="15" customHeight="1" x14ac:dyDescent="0.2">
      <c r="A64" s="224"/>
      <c r="B64" s="211"/>
      <c r="C64" s="213"/>
      <c r="D64" s="212"/>
      <c r="E64" s="212"/>
      <c r="F64" s="213"/>
      <c r="G64" s="217"/>
      <c r="H64" s="217"/>
      <c r="I64" s="217"/>
      <c r="J64" s="217"/>
    </row>
    <row r="65" spans="1:10" s="254" customFormat="1" ht="15" customHeight="1" x14ac:dyDescent="0.2">
      <c r="A65" s="224"/>
      <c r="B65" s="211"/>
      <c r="C65" s="212"/>
      <c r="D65" s="212"/>
      <c r="E65" s="212"/>
      <c r="F65" s="212"/>
      <c r="G65" s="212"/>
      <c r="H65" s="212"/>
      <c r="I65" s="212"/>
      <c r="J65" s="212"/>
    </row>
    <row r="66" spans="1:10" s="254" customFormat="1" ht="15" customHeight="1" x14ac:dyDescent="0.2">
      <c r="B66" s="211"/>
      <c r="C66" s="212"/>
      <c r="D66" s="212"/>
      <c r="E66" s="212"/>
      <c r="F66" s="212"/>
      <c r="G66" s="212"/>
      <c r="H66" s="212"/>
      <c r="I66" s="212"/>
      <c r="J66" s="213"/>
    </row>
    <row r="67" spans="1:10" s="254" customFormat="1" ht="15" customHeight="1" x14ac:dyDescent="0.2">
      <c r="A67" s="224"/>
      <c r="B67" s="211"/>
      <c r="C67" s="212"/>
      <c r="D67" s="212"/>
      <c r="E67" s="212"/>
      <c r="F67" s="212"/>
      <c r="G67" s="212"/>
      <c r="H67" s="212"/>
      <c r="I67" s="212"/>
      <c r="J67" s="212"/>
    </row>
    <row r="68" spans="1:10" s="254" customFormat="1" ht="50.25" customHeight="1" x14ac:dyDescent="0.2">
      <c r="A68" s="224"/>
      <c r="B68" s="226"/>
      <c r="C68" s="226"/>
      <c r="D68" s="226"/>
      <c r="E68" s="226"/>
      <c r="F68" s="226"/>
      <c r="G68" s="217"/>
      <c r="H68" s="217"/>
      <c r="I68" s="217"/>
      <c r="J68" s="217"/>
    </row>
    <row r="69" spans="1:10" s="254" customFormat="1" ht="15" customHeight="1" x14ac:dyDescent="0.2">
      <c r="A69" s="224"/>
      <c r="B69" s="214"/>
      <c r="C69" s="215"/>
      <c r="D69" s="215"/>
      <c r="E69" s="215"/>
      <c r="F69" s="237"/>
      <c r="G69" s="217"/>
      <c r="H69" s="217"/>
      <c r="I69" s="217"/>
      <c r="J69" s="217"/>
    </row>
    <row r="70" spans="1:10" s="254" customFormat="1" ht="15" customHeight="1" x14ac:dyDescent="0.2">
      <c r="B70" s="214"/>
      <c r="C70" s="215"/>
      <c r="D70" s="215"/>
      <c r="E70" s="215"/>
      <c r="F70" s="237"/>
      <c r="G70" s="217"/>
      <c r="H70" s="217"/>
      <c r="I70" s="217"/>
      <c r="J70" s="217"/>
    </row>
    <row r="71" spans="1:10" s="254" customFormat="1" ht="15" customHeight="1" x14ac:dyDescent="0.2">
      <c r="A71" s="224"/>
      <c r="B71" s="214"/>
      <c r="C71" s="215"/>
      <c r="D71" s="215"/>
      <c r="E71" s="215"/>
      <c r="F71" s="237"/>
      <c r="G71" s="217"/>
      <c r="H71" s="217"/>
      <c r="I71" s="217"/>
      <c r="J71" s="217"/>
    </row>
    <row r="72" spans="1:10" s="254" customFormat="1" ht="15" customHeight="1" x14ac:dyDescent="0.2">
      <c r="A72" s="224"/>
      <c r="B72" s="214"/>
      <c r="C72" s="215"/>
      <c r="D72" s="215"/>
      <c r="E72" s="215"/>
      <c r="F72" s="237"/>
      <c r="G72" s="217"/>
      <c r="H72" s="217"/>
      <c r="I72" s="217"/>
      <c r="J72" s="217"/>
    </row>
    <row r="73" spans="1:10" s="254" customFormat="1" ht="15" customHeight="1" x14ac:dyDescent="0.2">
      <c r="A73" s="224"/>
      <c r="B73" s="214"/>
      <c r="C73" s="215"/>
      <c r="D73" s="215"/>
      <c r="E73" s="215"/>
      <c r="F73" s="237"/>
      <c r="G73" s="217"/>
      <c r="H73" s="217"/>
      <c r="I73" s="217"/>
      <c r="J73" s="217"/>
    </row>
    <row r="74" spans="1:10" s="254" customFormat="1" ht="15" customHeight="1" x14ac:dyDescent="0.2">
      <c r="A74" s="224"/>
      <c r="B74" s="211"/>
      <c r="C74" s="212"/>
      <c r="D74" s="212"/>
      <c r="E74" s="212"/>
      <c r="F74" s="212"/>
      <c r="G74" s="212"/>
      <c r="H74" s="212"/>
      <c r="I74" s="212"/>
      <c r="J74" s="212"/>
    </row>
    <row r="75" spans="1:10" s="254" customFormat="1" ht="15" customHeight="1" x14ac:dyDescent="0.2">
      <c r="A75" s="224"/>
      <c r="B75" s="211"/>
      <c r="C75" s="212"/>
      <c r="D75" s="212"/>
      <c r="E75" s="212"/>
      <c r="F75" s="212"/>
      <c r="G75" s="212"/>
      <c r="H75" s="212"/>
      <c r="I75" s="212"/>
      <c r="J75" s="212"/>
    </row>
    <row r="76" spans="1:10" s="254" customFormat="1" ht="12.75" x14ac:dyDescent="0.2">
      <c r="A76" s="224"/>
      <c r="B76" s="226"/>
      <c r="C76" s="226"/>
      <c r="D76" s="226"/>
      <c r="E76" s="226"/>
      <c r="F76" s="226"/>
      <c r="G76" s="226"/>
      <c r="H76" s="226"/>
      <c r="I76" s="226"/>
      <c r="J76" s="226"/>
    </row>
    <row r="77" spans="1:10" s="254" customFormat="1" ht="12.75" x14ac:dyDescent="0.2">
      <c r="A77" s="224"/>
      <c r="B77" s="214"/>
      <c r="C77" s="215"/>
      <c r="D77" s="215"/>
      <c r="E77" s="215"/>
      <c r="F77" s="215"/>
      <c r="G77" s="215"/>
      <c r="H77" s="215"/>
      <c r="I77" s="215"/>
      <c r="J77" s="215"/>
    </row>
    <row r="78" spans="1:10" s="254" customFormat="1" ht="12.75" x14ac:dyDescent="0.2">
      <c r="A78" s="224"/>
      <c r="B78" s="214"/>
      <c r="C78" s="215"/>
      <c r="D78" s="215"/>
      <c r="E78" s="215"/>
      <c r="F78" s="215"/>
      <c r="G78" s="215"/>
      <c r="H78" s="216"/>
      <c r="I78" s="215"/>
      <c r="J78" s="215"/>
    </row>
    <row r="79" spans="1:10" s="254" customFormat="1" ht="18" x14ac:dyDescent="0.25">
      <c r="A79" s="37" t="str">
        <f>'notas bce prueba1'!A19</f>
        <v>5. DEUDORES</v>
      </c>
      <c r="B79" s="39"/>
      <c r="C79" s="39"/>
      <c r="D79" s="86"/>
      <c r="E79" s="39"/>
      <c r="F79" s="86"/>
      <c r="G79" s="39"/>
      <c r="H79" s="87"/>
      <c r="I79" s="87"/>
      <c r="J79" s="91"/>
    </row>
    <row r="80" spans="1:10" s="254" customFormat="1" ht="15" customHeight="1" x14ac:dyDescent="0.25">
      <c r="A80" s="37"/>
      <c r="B80" s="39"/>
      <c r="C80" s="39"/>
      <c r="D80" s="86"/>
      <c r="E80" s="39"/>
      <c r="F80" s="86"/>
      <c r="G80" s="39"/>
      <c r="H80" s="87"/>
      <c r="I80" s="87"/>
      <c r="J80" s="91"/>
    </row>
    <row r="81" spans="1:10" s="328" customFormat="1" ht="15" customHeight="1" x14ac:dyDescent="0.2">
      <c r="A81" s="69"/>
      <c r="B81" s="69"/>
      <c r="C81" s="69"/>
      <c r="D81" s="66">
        <f>$D$6</f>
        <v>2013</v>
      </c>
      <c r="E81" s="67"/>
      <c r="F81" s="66">
        <f>$F$6</f>
        <v>2012</v>
      </c>
      <c r="G81" s="67"/>
      <c r="H81" s="68" t="str">
        <f>$H$6</f>
        <v>DIFERENCIA</v>
      </c>
      <c r="I81" s="66"/>
      <c r="J81" s="295" t="str">
        <f>$J$6</f>
        <v>DIFERENCIA</v>
      </c>
    </row>
    <row r="82" spans="1:10" s="328" customFormat="1" ht="15" customHeight="1" x14ac:dyDescent="0.2">
      <c r="A82" s="69"/>
      <c r="B82" s="69"/>
      <c r="C82" s="69"/>
      <c r="D82" s="67"/>
      <c r="E82" s="67"/>
      <c r="F82" s="67"/>
      <c r="G82" s="67"/>
      <c r="H82" s="68" t="str">
        <f>$H$7</f>
        <v>EN $</v>
      </c>
      <c r="I82" s="296"/>
      <c r="J82" s="295" t="str">
        <f>$J$7</f>
        <v>EN %</v>
      </c>
    </row>
    <row r="83" spans="1:10" s="328" customFormat="1" ht="15" customHeight="1" x14ac:dyDescent="0.2">
      <c r="A83" s="240"/>
      <c r="B83" s="240"/>
      <c r="C83" s="240"/>
      <c r="D83" s="257"/>
      <c r="E83" s="240"/>
      <c r="F83" s="257"/>
      <c r="G83" s="240"/>
      <c r="J83" s="49"/>
    </row>
    <row r="84" spans="1:10" s="328" customFormat="1" ht="15" customHeight="1" x14ac:dyDescent="0.2">
      <c r="A84" s="344" t="str">
        <f>+'notas bce prueba1'!A20</f>
        <v>Clientes:</v>
      </c>
      <c r="B84" s="344"/>
      <c r="C84" s="344"/>
      <c r="D84" s="203"/>
      <c r="E84" s="203"/>
      <c r="F84" s="203"/>
      <c r="G84" s="203"/>
      <c r="H84" s="203"/>
      <c r="I84" s="344"/>
      <c r="J84" s="52"/>
    </row>
    <row r="85" spans="1:10" s="328" customFormat="1" ht="15" customHeight="1" x14ac:dyDescent="0.2">
      <c r="A85" s="344"/>
      <c r="B85" s="344" t="str">
        <f>'notas bce prueba1'!B21</f>
        <v>Formación universitaria</v>
      </c>
      <c r="C85" s="344"/>
      <c r="D85" s="203">
        <f>'notas bce prueba1'!C21</f>
        <v>26909926</v>
      </c>
      <c r="E85" s="203"/>
      <c r="F85" s="203">
        <f>'notas bce prueba1'!D21</f>
        <v>31799771</v>
      </c>
      <c r="G85" s="203"/>
      <c r="H85" s="203">
        <f t="shared" ref="H85:H102" si="0">D85-F85</f>
        <v>-4889845</v>
      </c>
      <c r="I85" s="36"/>
      <c r="J85" s="52">
        <f t="shared" ref="J85:J102" si="1">IF((F85&lt;&gt;0),(H85/F85),1)</f>
        <v>-0.15376981802793485</v>
      </c>
    </row>
    <row r="86" spans="1:10" s="328" customFormat="1" ht="15" customHeight="1" x14ac:dyDescent="0.2">
      <c r="A86" s="344"/>
      <c r="B86" s="344" t="str">
        <f>'notas bce prueba1'!B22</f>
        <v>Formación avanzada</v>
      </c>
      <c r="C86" s="344"/>
      <c r="D86" s="203">
        <f>'notas bce prueba1'!C22</f>
        <v>12406937</v>
      </c>
      <c r="E86" s="203"/>
      <c r="F86" s="203">
        <f>'notas bce prueba1'!D22</f>
        <v>10099916</v>
      </c>
      <c r="G86" s="203"/>
      <c r="H86" s="203">
        <f t="shared" si="0"/>
        <v>2307021</v>
      </c>
      <c r="I86" s="36"/>
      <c r="J86" s="52">
        <f t="shared" si="1"/>
        <v>0.22841982052127957</v>
      </c>
    </row>
    <row r="87" spans="1:10" s="328" customFormat="1" ht="15" customHeight="1" x14ac:dyDescent="0.2">
      <c r="A87" s="344"/>
      <c r="B87" s="344" t="str">
        <f>'notas bce prueba1'!B23</f>
        <v>Educación continua</v>
      </c>
      <c r="C87" s="344"/>
      <c r="D87" s="203">
        <f>'notas bce prueba1'!C23</f>
        <v>1441739</v>
      </c>
      <c r="E87" s="203"/>
      <c r="F87" s="203">
        <f>'notas bce prueba1'!D23</f>
        <v>901884</v>
      </c>
      <c r="G87" s="203"/>
      <c r="H87" s="203">
        <f t="shared" si="0"/>
        <v>539855</v>
      </c>
      <c r="I87" s="36"/>
      <c r="J87" s="52">
        <f t="shared" si="1"/>
        <v>0.59858584917794311</v>
      </c>
    </row>
    <row r="88" spans="1:10" s="328" customFormat="1" ht="15" customHeight="1" x14ac:dyDescent="0.2">
      <c r="A88" s="344"/>
      <c r="B88" s="344" t="str">
        <f>'notas bce prueba1'!B24</f>
        <v>Centro de idiomas</v>
      </c>
      <c r="C88" s="344"/>
      <c r="D88" s="203">
        <f>'notas bce prueba1'!C24</f>
        <v>3042299</v>
      </c>
      <c r="E88" s="203"/>
      <c r="F88" s="203">
        <f>'notas bce prueba1'!D24</f>
        <v>2372930</v>
      </c>
      <c r="G88" s="203"/>
      <c r="H88" s="203">
        <f t="shared" si="0"/>
        <v>669369</v>
      </c>
      <c r="I88" s="36"/>
      <c r="J88" s="52">
        <f t="shared" si="1"/>
        <v>0.28208543867707853</v>
      </c>
    </row>
    <row r="89" spans="1:10" s="328" customFormat="1" ht="15" customHeight="1" x14ac:dyDescent="0.2">
      <c r="A89" s="344"/>
      <c r="B89" s="344" t="str">
        <f>'notas bce prueba1'!B25</f>
        <v>Servicios de asesorías y consultorías</v>
      </c>
      <c r="C89" s="344"/>
      <c r="D89" s="203">
        <f>'notas bce prueba1'!C25</f>
        <v>19009502</v>
      </c>
      <c r="E89" s="203"/>
      <c r="F89" s="203">
        <f>'notas bce prueba1'!D25</f>
        <v>6954862</v>
      </c>
      <c r="G89" s="203"/>
      <c r="H89" s="203">
        <f t="shared" si="0"/>
        <v>12054640</v>
      </c>
      <c r="I89" s="36"/>
      <c r="J89" s="52">
        <f t="shared" si="1"/>
        <v>1.7332680360875601</v>
      </c>
    </row>
    <row r="90" spans="1:10" s="328" customFormat="1" ht="15" customHeight="1" x14ac:dyDescent="0.2">
      <c r="A90" s="344"/>
      <c r="B90" s="344" t="str">
        <f>'notas bce prueba1'!B26</f>
        <v>Servicios de laboratorio</v>
      </c>
      <c r="C90" s="344"/>
      <c r="D90" s="203">
        <f>'notas bce prueba1'!C26</f>
        <v>102855</v>
      </c>
      <c r="E90" s="203"/>
      <c r="F90" s="203">
        <f>'notas bce prueba1'!D26</f>
        <v>119054</v>
      </c>
      <c r="G90" s="203"/>
      <c r="H90" s="203">
        <f t="shared" si="0"/>
        <v>-16199</v>
      </c>
      <c r="I90" s="36"/>
      <c r="J90" s="52">
        <f t="shared" si="1"/>
        <v>-0.13606430695314731</v>
      </c>
    </row>
    <row r="91" spans="1:10" s="328" customFormat="1" ht="15" customHeight="1" x14ac:dyDescent="0.2">
      <c r="A91" s="344"/>
      <c r="B91" s="344" t="str">
        <f>'notas bce prueba1'!B27</f>
        <v>Icetex</v>
      </c>
      <c r="C91" s="344"/>
      <c r="D91" s="203">
        <f>'notas bce prueba1'!C27</f>
        <v>2082538</v>
      </c>
      <c r="E91" s="203"/>
      <c r="F91" s="203">
        <f>'notas bce prueba1'!D27</f>
        <v>1921016</v>
      </c>
      <c r="G91" s="203"/>
      <c r="H91" s="203">
        <f t="shared" si="0"/>
        <v>161522</v>
      </c>
      <c r="I91" s="36"/>
      <c r="J91" s="52">
        <f t="shared" si="1"/>
        <v>8.4081548513911392E-2</v>
      </c>
    </row>
    <row r="92" spans="1:10" s="328" customFormat="1" ht="15" customHeight="1" x14ac:dyDescent="0.2">
      <c r="A92" s="344"/>
      <c r="B92" s="344" t="str">
        <f>'notas bce prueba1'!B28</f>
        <v>Otros clientes</v>
      </c>
      <c r="C92" s="344"/>
      <c r="D92" s="203">
        <f>'notas bce prueba1'!C28</f>
        <v>3300430</v>
      </c>
      <c r="E92" s="203"/>
      <c r="F92" s="203">
        <f>'notas bce prueba1'!D28</f>
        <v>1731258</v>
      </c>
      <c r="G92" s="203"/>
      <c r="H92" s="203">
        <f t="shared" si="0"/>
        <v>1569172</v>
      </c>
      <c r="I92" s="36"/>
      <c r="J92" s="52">
        <f t="shared" si="1"/>
        <v>0.90637675031682163</v>
      </c>
    </row>
    <row r="93" spans="1:10" s="328" customFormat="1" ht="15" customHeight="1" x14ac:dyDescent="0.2">
      <c r="A93" s="344" t="str">
        <f>'notas bce prueba1'!A29</f>
        <v>Anticipos y avances</v>
      </c>
      <c r="B93" s="344"/>
      <c r="C93" s="347"/>
      <c r="D93" s="203">
        <f>'notas bce prueba1'!C29</f>
        <v>969866</v>
      </c>
      <c r="E93" s="348"/>
      <c r="F93" s="203">
        <f>'notas bce prueba1'!D29</f>
        <v>979549</v>
      </c>
      <c r="G93" s="348"/>
      <c r="H93" s="203">
        <f t="shared" si="0"/>
        <v>-9683</v>
      </c>
      <c r="I93" s="36"/>
      <c r="J93" s="52">
        <f t="shared" si="1"/>
        <v>-9.8851614365386524E-3</v>
      </c>
    </row>
    <row r="94" spans="1:10" s="328" customFormat="1" ht="15" customHeight="1" x14ac:dyDescent="0.2">
      <c r="A94" s="344" t="str">
        <f>'notas bce prueba1'!A30</f>
        <v>Trabajadores</v>
      </c>
      <c r="B94" s="344"/>
      <c r="C94" s="344"/>
      <c r="D94" s="203">
        <f>'notas bce prueba1'!C30</f>
        <v>462294</v>
      </c>
      <c r="E94" s="203"/>
      <c r="F94" s="203">
        <f>'notas bce prueba1'!D30</f>
        <v>481754</v>
      </c>
      <c r="G94" s="203"/>
      <c r="H94" s="203">
        <f t="shared" si="0"/>
        <v>-19460</v>
      </c>
      <c r="I94" s="36"/>
      <c r="J94" s="52">
        <f t="shared" si="1"/>
        <v>-4.0394060038941033E-2</v>
      </c>
    </row>
    <row r="95" spans="1:10" s="328" customFormat="1" ht="15" customHeight="1" x14ac:dyDescent="0.2">
      <c r="A95" s="344" t="str">
        <f>'notas bce prueba1'!A31</f>
        <v>Intereses por cobrar a estudiantes</v>
      </c>
      <c r="B95" s="344"/>
      <c r="C95" s="344"/>
      <c r="D95" s="203">
        <f>'notas bce prueba1'!C31</f>
        <v>0</v>
      </c>
      <c r="E95" s="203"/>
      <c r="F95" s="203">
        <f>'notas bce prueba1'!D31</f>
        <v>2489</v>
      </c>
      <c r="G95" s="203"/>
      <c r="H95" s="203">
        <f t="shared" si="0"/>
        <v>-2489</v>
      </c>
      <c r="I95" s="36"/>
      <c r="J95" s="52">
        <f t="shared" si="1"/>
        <v>-1</v>
      </c>
    </row>
    <row r="96" spans="1:10" s="328" customFormat="1" ht="15" customHeight="1" x14ac:dyDescent="0.2">
      <c r="A96" s="344" t="str">
        <f>'notas bce prueba1'!A32</f>
        <v>Multas y recargos por cobrar a estudiantes</v>
      </c>
      <c r="B96" s="344"/>
      <c r="C96" s="344"/>
      <c r="D96" s="203">
        <f>'notas bce prueba1'!C32</f>
        <v>195</v>
      </c>
      <c r="E96" s="203"/>
      <c r="F96" s="203">
        <f>'notas bce prueba1'!D32</f>
        <v>237</v>
      </c>
      <c r="G96" s="203"/>
      <c r="H96" s="203">
        <f t="shared" si="0"/>
        <v>-42</v>
      </c>
      <c r="I96" s="36"/>
      <c r="J96" s="52">
        <f t="shared" si="1"/>
        <v>-0.17721518987341772</v>
      </c>
    </row>
    <row r="97" spans="1:10" s="328" customFormat="1" ht="15" customHeight="1" x14ac:dyDescent="0.2">
      <c r="A97" s="344" t="str">
        <f>'notas bce prueba1'!A33</f>
        <v>Reclamaciones de seguros</v>
      </c>
      <c r="B97" s="344"/>
      <c r="C97" s="344"/>
      <c r="D97" s="203">
        <f>'notas bce prueba1'!C33</f>
        <v>513</v>
      </c>
      <c r="E97" s="203"/>
      <c r="F97" s="203">
        <f>'notas bce prueba1'!D33</f>
        <v>14000</v>
      </c>
      <c r="G97" s="203"/>
      <c r="H97" s="203">
        <f t="shared" si="0"/>
        <v>-13487</v>
      </c>
      <c r="I97" s="36"/>
      <c r="J97" s="52">
        <f t="shared" si="1"/>
        <v>-0.96335714285714291</v>
      </c>
    </row>
    <row r="98" spans="1:10" s="328" customFormat="1" ht="15" customHeight="1" x14ac:dyDescent="0.2">
      <c r="A98" s="344" t="str">
        <f>'notas bce prueba1'!A34</f>
        <v>Anticipo impuesto de industria y comercio</v>
      </c>
      <c r="B98" s="344"/>
      <c r="C98" s="344"/>
      <c r="D98" s="203">
        <f>'notas bce prueba1'!C34</f>
        <v>9000</v>
      </c>
      <c r="E98" s="203"/>
      <c r="F98" s="203">
        <f>'notas bce prueba1'!D34</f>
        <v>7271</v>
      </c>
      <c r="G98" s="203"/>
      <c r="H98" s="203">
        <f t="shared" si="0"/>
        <v>1729</v>
      </c>
      <c r="I98" s="36"/>
      <c r="J98" s="52">
        <f t="shared" si="1"/>
        <v>0.23779397606931646</v>
      </c>
    </row>
    <row r="99" spans="1:10" s="328" customFormat="1" ht="15" customHeight="1" x14ac:dyDescent="0.2">
      <c r="A99" s="344" t="str">
        <f>'notas bce prueba1'!A35</f>
        <v>Otros prestamos con garantía persona</v>
      </c>
      <c r="B99" s="344"/>
      <c r="C99" s="344"/>
      <c r="D99" s="203">
        <f>'notas bce prueba1'!C35</f>
        <v>70000</v>
      </c>
      <c r="E99" s="203"/>
      <c r="F99" s="203">
        <f>'notas bce prueba1'!D35</f>
        <v>70000</v>
      </c>
      <c r="G99" s="203"/>
      <c r="H99" s="203">
        <f t="shared" si="0"/>
        <v>0</v>
      </c>
      <c r="I99" s="36"/>
      <c r="J99" s="52">
        <f t="shared" si="1"/>
        <v>0</v>
      </c>
    </row>
    <row r="100" spans="1:10" s="328" customFormat="1" ht="15" customHeight="1" x14ac:dyDescent="0.2">
      <c r="A100" s="344" t="str">
        <f>'notas bce prueba1'!A36</f>
        <v>Otros deudores corto plazo</v>
      </c>
      <c r="B100" s="344"/>
      <c r="C100" s="344"/>
      <c r="D100" s="203">
        <f>'notas bce prueba1'!C36</f>
        <v>599726</v>
      </c>
      <c r="E100" s="203"/>
      <c r="F100" s="203">
        <f>'notas bce prueba1'!D36</f>
        <v>7895452</v>
      </c>
      <c r="G100" s="203"/>
      <c r="H100" s="203">
        <f t="shared" si="0"/>
        <v>-7295726</v>
      </c>
      <c r="I100" s="36"/>
      <c r="J100" s="52">
        <f t="shared" si="1"/>
        <v>-0.92404158748606158</v>
      </c>
    </row>
    <row r="101" spans="1:10" s="328" customFormat="1" ht="15" customHeight="1" x14ac:dyDescent="0.2">
      <c r="A101" s="344" t="str">
        <f>'notas bce prueba1'!A37</f>
        <v>Otros ingresos por cobrar</v>
      </c>
      <c r="B101" s="344"/>
      <c r="C101" s="344"/>
      <c r="D101" s="203">
        <f>'notas bce prueba1'!C37</f>
        <v>981633</v>
      </c>
      <c r="E101" s="203"/>
      <c r="F101" s="203">
        <f>'notas bce prueba1'!D37</f>
        <v>44484</v>
      </c>
      <c r="G101" s="203"/>
      <c r="H101" s="203">
        <f t="shared" si="0"/>
        <v>937149</v>
      </c>
      <c r="I101" s="36"/>
      <c r="J101" s="52">
        <f t="shared" si="1"/>
        <v>21.067102778527111</v>
      </c>
    </row>
    <row r="102" spans="1:10" s="328" customFormat="1" ht="12.75" x14ac:dyDescent="0.2">
      <c r="A102" s="344" t="str">
        <f>'notas bce prueba1'!A38</f>
        <v>Provisión de cartera de corto plazo</v>
      </c>
      <c r="B102" s="344"/>
      <c r="C102" s="344"/>
      <c r="D102" s="203">
        <f>'notas bce prueba1'!C38</f>
        <v>-173652</v>
      </c>
      <c r="E102" s="203"/>
      <c r="F102" s="203">
        <f>'notas bce prueba1'!D38</f>
        <v>-94208</v>
      </c>
      <c r="G102" s="203"/>
      <c r="H102" s="203">
        <f t="shared" si="0"/>
        <v>-79444</v>
      </c>
      <c r="I102" s="36"/>
      <c r="J102" s="52">
        <f t="shared" si="1"/>
        <v>0.84328294836956519</v>
      </c>
    </row>
    <row r="103" spans="1:10" s="328" customFormat="1" ht="15" customHeight="1" x14ac:dyDescent="0.2">
      <c r="A103" s="240"/>
      <c r="B103" s="240"/>
      <c r="C103" s="240"/>
      <c r="D103" s="204"/>
      <c r="E103" s="204"/>
      <c r="F103" s="349"/>
      <c r="G103" s="204"/>
      <c r="H103" s="203"/>
      <c r="J103" s="49"/>
    </row>
    <row r="104" spans="1:10" s="328" customFormat="1" ht="15" customHeight="1" x14ac:dyDescent="0.2">
      <c r="A104" s="345" t="str">
        <f>'notas bce prueba1'!A39</f>
        <v>TOTAL</v>
      </c>
      <c r="B104" s="345"/>
      <c r="C104" s="345"/>
      <c r="D104" s="197">
        <f>SUM(D85:D103)</f>
        <v>71215801</v>
      </c>
      <c r="E104" s="197"/>
      <c r="F104" s="197">
        <f>SUM(F85:F103)</f>
        <v>65301719</v>
      </c>
      <c r="G104" s="197"/>
      <c r="H104" s="197">
        <f>SUM(H85:H103)</f>
        <v>5914082</v>
      </c>
      <c r="I104" s="3"/>
      <c r="J104" s="14">
        <f>H104/F104</f>
        <v>9.0565487257693783E-2</v>
      </c>
    </row>
    <row r="105" spans="1:10" s="254" customFormat="1" ht="15.75" x14ac:dyDescent="0.25">
      <c r="A105" s="255"/>
      <c r="B105" s="255"/>
      <c r="C105" s="255"/>
      <c r="D105" s="45"/>
      <c r="E105" s="255"/>
      <c r="F105" s="45"/>
      <c r="G105" s="255"/>
      <c r="H105" s="45"/>
      <c r="I105" s="256"/>
      <c r="J105" s="46"/>
    </row>
    <row r="106" spans="1:10" s="254" customFormat="1" ht="15" hidden="1" customHeight="1" x14ac:dyDescent="0.2">
      <c r="A106" s="462" t="s">
        <v>149</v>
      </c>
      <c r="B106" s="461"/>
      <c r="C106" s="461"/>
      <c r="D106" s="461"/>
      <c r="E106" s="461"/>
      <c r="F106" s="461"/>
      <c r="G106" s="461"/>
      <c r="H106" s="461"/>
      <c r="I106" s="461"/>
      <c r="J106" s="461"/>
    </row>
    <row r="107" spans="1:10" s="254" customFormat="1" ht="18" x14ac:dyDescent="0.25">
      <c r="A107" s="37" t="str">
        <f>'notas bce prueba1'!A41</f>
        <v>DEUDORES NO CORRIENTES</v>
      </c>
      <c r="B107" s="240"/>
      <c r="C107" s="240"/>
      <c r="D107" s="257"/>
      <c r="E107" s="240"/>
      <c r="F107" s="257"/>
      <c r="G107" s="240"/>
      <c r="J107" s="49"/>
    </row>
    <row r="108" spans="1:10" s="254" customFormat="1" ht="15" customHeight="1" x14ac:dyDescent="0.2">
      <c r="A108" s="4"/>
      <c r="B108" s="240"/>
      <c r="C108" s="240"/>
      <c r="D108" s="257"/>
      <c r="E108" s="240"/>
      <c r="F108" s="257"/>
      <c r="G108" s="240"/>
      <c r="J108" s="49"/>
    </row>
    <row r="109" spans="1:10" s="328" customFormat="1" ht="15" customHeight="1" x14ac:dyDescent="0.2">
      <c r="A109" s="69"/>
      <c r="B109" s="69"/>
      <c r="C109" s="69"/>
      <c r="D109" s="66">
        <f>$D$6</f>
        <v>2013</v>
      </c>
      <c r="E109" s="67"/>
      <c r="F109" s="66">
        <f>$F$6</f>
        <v>2012</v>
      </c>
      <c r="G109" s="67"/>
      <c r="H109" s="68" t="str">
        <f>$H$6</f>
        <v>DIFERENCIA</v>
      </c>
      <c r="I109" s="66"/>
      <c r="J109" s="295" t="str">
        <f>$J$6</f>
        <v>DIFERENCIA</v>
      </c>
    </row>
    <row r="110" spans="1:10" s="328" customFormat="1" ht="15" customHeight="1" x14ac:dyDescent="0.2">
      <c r="A110" s="69"/>
      <c r="B110" s="69"/>
      <c r="C110" s="69"/>
      <c r="D110" s="67"/>
      <c r="E110" s="67"/>
      <c r="F110" s="67"/>
      <c r="G110" s="67"/>
      <c r="H110" s="68" t="str">
        <f>$H$7</f>
        <v>EN $</v>
      </c>
      <c r="I110" s="296"/>
      <c r="J110" s="295" t="str">
        <f>$J$7</f>
        <v>EN %</v>
      </c>
    </row>
    <row r="111" spans="1:10" s="328" customFormat="1" ht="15" customHeight="1" x14ac:dyDescent="0.2">
      <c r="A111" s="240"/>
      <c r="B111" s="240"/>
      <c r="C111" s="240"/>
      <c r="D111" s="257"/>
      <c r="E111" s="240"/>
      <c r="F111" s="257"/>
      <c r="G111" s="240"/>
      <c r="J111" s="49"/>
    </row>
    <row r="112" spans="1:10" s="328" customFormat="1" ht="15" customHeight="1" x14ac:dyDescent="0.2">
      <c r="A112" s="344" t="str">
        <f>'notas bce prueba1'!A43</f>
        <v>Trabajadores</v>
      </c>
      <c r="B112" s="344"/>
      <c r="C112" s="344"/>
      <c r="D112" s="203">
        <f>'notas bce prueba1'!C43</f>
        <v>18963</v>
      </c>
      <c r="E112" s="203"/>
      <c r="F112" s="203">
        <f>'notas bce prueba1'!D43</f>
        <v>34215</v>
      </c>
      <c r="G112" s="203"/>
      <c r="H112" s="203">
        <f>D112-F112</f>
        <v>-15252</v>
      </c>
      <c r="I112" s="344"/>
      <c r="J112" s="52">
        <f>IF((F112&lt;&gt;0),(H112/F112),1)</f>
        <v>-0.44576939938623411</v>
      </c>
    </row>
    <row r="113" spans="1:10" s="328" customFormat="1" ht="15" customHeight="1" x14ac:dyDescent="0.2">
      <c r="A113" s="344" t="str">
        <f>'notas bce prueba1'!A44</f>
        <v>Otros deudores varios</v>
      </c>
      <c r="B113" s="344"/>
      <c r="C113" s="344"/>
      <c r="D113" s="203">
        <f>'notas bce prueba1'!C44</f>
        <v>5367</v>
      </c>
      <c r="E113" s="203"/>
      <c r="F113" s="203">
        <f>'notas bce prueba1'!D44</f>
        <v>6934113</v>
      </c>
      <c r="G113" s="203"/>
      <c r="H113" s="203">
        <f>D113-F113</f>
        <v>-6928746</v>
      </c>
      <c r="I113" s="36"/>
      <c r="J113" s="52">
        <f>IF((F113&lt;&gt;0),(H113/F113),1)</f>
        <v>-0.99922600049927079</v>
      </c>
    </row>
    <row r="114" spans="1:10" s="328" customFormat="1" ht="15" customHeight="1" x14ac:dyDescent="0.2">
      <c r="A114" s="344" t="str">
        <f>'notas bce prueba1'!A45</f>
        <v>Deudas difícil cobro estudiantil</v>
      </c>
      <c r="B114" s="344"/>
      <c r="C114" s="344"/>
      <c r="D114" s="203">
        <f>'notas bce prueba1'!C45</f>
        <v>131079</v>
      </c>
      <c r="E114" s="203"/>
      <c r="F114" s="203">
        <f>'notas bce prueba1'!D45</f>
        <v>196327</v>
      </c>
      <c r="G114" s="203"/>
      <c r="H114" s="203">
        <f>D114-F114</f>
        <v>-65248</v>
      </c>
      <c r="I114" s="36"/>
      <c r="J114" s="52">
        <f>IF((F114&lt;&gt;0),(H114/F114),1)</f>
        <v>-0.33234348816005949</v>
      </c>
    </row>
    <row r="115" spans="1:10" s="328" customFormat="1" ht="15" customHeight="1" x14ac:dyDescent="0.2">
      <c r="A115" s="344" t="str">
        <f>'notas bce prueba1'!A46</f>
        <v>Otros prestamos con garantia personal</v>
      </c>
      <c r="B115" s="344"/>
      <c r="C115" s="344"/>
      <c r="D115" s="203">
        <f>'notas bce prueba1'!C46</f>
        <v>7507</v>
      </c>
      <c r="E115" s="203"/>
      <c r="F115" s="203">
        <f>'notas bce prueba1'!D46</f>
        <v>7507</v>
      </c>
      <c r="G115" s="203"/>
      <c r="H115" s="203">
        <f>D115-F115</f>
        <v>0</v>
      </c>
      <c r="I115" s="36"/>
      <c r="J115" s="52">
        <f>IF((F115&lt;&gt;0),(H115/F115),1)</f>
        <v>0</v>
      </c>
    </row>
    <row r="116" spans="1:10" s="254" customFormat="1" ht="15" hidden="1" customHeight="1" x14ac:dyDescent="0.2">
      <c r="A116" s="83" t="str">
        <f>'notas bce prueba1'!A47</f>
        <v>Provisión de cartera</v>
      </c>
      <c r="B116" s="83"/>
      <c r="C116" s="83"/>
      <c r="D116" s="207">
        <f>'notas bce prueba1'!C47</f>
        <v>0</v>
      </c>
      <c r="E116" s="207"/>
      <c r="F116" s="207">
        <f>'notas bce prueba1'!D47</f>
        <v>0</v>
      </c>
      <c r="G116" s="207"/>
      <c r="H116" s="207">
        <f>D116-F116</f>
        <v>0</v>
      </c>
      <c r="I116" s="84"/>
      <c r="J116" s="85">
        <f>IF((F116&lt;&gt;0),(H116/F116),1)</f>
        <v>1</v>
      </c>
    </row>
    <row r="117" spans="1:10" s="254" customFormat="1" ht="15" customHeight="1" x14ac:dyDescent="0.2">
      <c r="A117" s="241"/>
      <c r="B117" s="241"/>
      <c r="C117" s="241"/>
      <c r="D117" s="208"/>
      <c r="E117" s="208"/>
      <c r="F117" s="207"/>
      <c r="G117" s="207"/>
      <c r="H117" s="207"/>
      <c r="I117" s="84"/>
      <c r="J117" s="85"/>
    </row>
    <row r="118" spans="1:10" s="328" customFormat="1" ht="15" customHeight="1" x14ac:dyDescent="0.2">
      <c r="A118" s="345" t="str">
        <f>'notas bce prueba1'!A48</f>
        <v>TOTAL</v>
      </c>
      <c r="B118" s="345"/>
      <c r="C118" s="345"/>
      <c r="D118" s="197">
        <f>SUM(D112:D117)</f>
        <v>162916</v>
      </c>
      <c r="E118" s="197"/>
      <c r="F118" s="197">
        <f>SUM(F112:F117)</f>
        <v>7172162</v>
      </c>
      <c r="G118" s="197"/>
      <c r="H118" s="197">
        <f>SUM(H113:H117)</f>
        <v>-6993994</v>
      </c>
      <c r="I118" s="3"/>
      <c r="J118" s="14">
        <f>H118/F118</f>
        <v>-0.97515839714719221</v>
      </c>
    </row>
    <row r="119" spans="1:10" s="254" customFormat="1" ht="15" customHeight="1" x14ac:dyDescent="0.25">
      <c r="A119" s="255"/>
      <c r="B119" s="255"/>
      <c r="C119" s="255"/>
      <c r="D119" s="45"/>
      <c r="E119" s="255"/>
      <c r="F119" s="45"/>
      <c r="G119" s="255"/>
      <c r="H119" s="90"/>
      <c r="I119" s="256"/>
      <c r="J119" s="46"/>
    </row>
    <row r="120" spans="1:10" s="254" customFormat="1" ht="18" x14ac:dyDescent="0.25">
      <c r="A120" s="37" t="str">
        <f>'notas bce prueba1'!A50</f>
        <v>6. GASTOS PAGADO POR ANTICIPADO</v>
      </c>
      <c r="B120" s="39"/>
      <c r="C120" s="240"/>
      <c r="D120" s="257"/>
      <c r="E120" s="240"/>
      <c r="F120" s="257"/>
      <c r="G120" s="240"/>
      <c r="J120" s="49"/>
    </row>
    <row r="121" spans="1:10" s="328" customFormat="1" ht="10.5" customHeight="1" x14ac:dyDescent="0.2">
      <c r="A121" s="4"/>
      <c r="B121" s="240"/>
      <c r="C121" s="240"/>
      <c r="D121" s="257"/>
      <c r="E121" s="240"/>
      <c r="F121" s="257"/>
      <c r="G121" s="240"/>
      <c r="J121" s="49"/>
    </row>
    <row r="122" spans="1:10" s="328" customFormat="1" ht="15" customHeight="1" x14ac:dyDescent="0.2">
      <c r="A122" s="69"/>
      <c r="B122" s="69"/>
      <c r="C122" s="69"/>
      <c r="D122" s="66">
        <f>$D$6</f>
        <v>2013</v>
      </c>
      <c r="E122" s="67"/>
      <c r="F122" s="66">
        <f>$F$6</f>
        <v>2012</v>
      </c>
      <c r="G122" s="67"/>
      <c r="H122" s="68" t="str">
        <f>$H$6</f>
        <v>DIFERENCIA</v>
      </c>
      <c r="I122" s="66"/>
      <c r="J122" s="295" t="str">
        <f>$J$6</f>
        <v>DIFERENCIA</v>
      </c>
    </row>
    <row r="123" spans="1:10" s="328" customFormat="1" ht="15" customHeight="1" x14ac:dyDescent="0.2">
      <c r="A123" s="69"/>
      <c r="B123" s="69"/>
      <c r="C123" s="69"/>
      <c r="D123" s="67"/>
      <c r="E123" s="67"/>
      <c r="F123" s="67"/>
      <c r="G123" s="67"/>
      <c r="H123" s="68" t="str">
        <f>$H$7</f>
        <v>EN $</v>
      </c>
      <c r="I123" s="296"/>
      <c r="J123" s="295" t="str">
        <f>$J$7</f>
        <v>EN %</v>
      </c>
    </row>
    <row r="124" spans="1:10" s="328" customFormat="1" ht="15" customHeight="1" x14ac:dyDescent="0.2">
      <c r="A124" s="240"/>
      <c r="B124" s="240"/>
      <c r="C124" s="240"/>
      <c r="D124" s="257"/>
      <c r="E124" s="240"/>
      <c r="F124" s="257"/>
      <c r="G124" s="240"/>
      <c r="J124" s="49"/>
    </row>
    <row r="125" spans="1:10" s="328" customFormat="1" ht="15" customHeight="1" x14ac:dyDescent="0.2">
      <c r="A125" s="344" t="str">
        <f>'notas bce prueba1'!A52</f>
        <v>Seguros</v>
      </c>
      <c r="B125" s="344"/>
      <c r="C125" s="344"/>
      <c r="D125" s="203">
        <f>'notas bce prueba1'!C52</f>
        <v>269263</v>
      </c>
      <c r="E125" s="203"/>
      <c r="F125" s="203">
        <f>'notas bce prueba1'!D52</f>
        <v>306248</v>
      </c>
      <c r="G125" s="203"/>
      <c r="H125" s="203">
        <f>D125-F125</f>
        <v>-36985</v>
      </c>
      <c r="I125" s="36"/>
      <c r="J125" s="52">
        <f>H125/F125</f>
        <v>-0.12076813562864085</v>
      </c>
    </row>
    <row r="126" spans="1:10" s="328" customFormat="1" ht="15" customHeight="1" x14ac:dyDescent="0.2">
      <c r="A126" s="344" t="str">
        <f>'notas bce prueba1'!A53</f>
        <v>Suscripciones</v>
      </c>
      <c r="B126" s="344"/>
      <c r="C126" s="344"/>
      <c r="D126" s="203">
        <f>'notas bce prueba1'!C53</f>
        <v>400759</v>
      </c>
      <c r="E126" s="203"/>
      <c r="F126" s="203">
        <f>'notas bce prueba1'!D53+'notas bce prueba1'!D83</f>
        <v>366540</v>
      </c>
      <c r="G126" s="203"/>
      <c r="H126" s="203">
        <f>D126-F126</f>
        <v>34219</v>
      </c>
      <c r="I126" s="36"/>
      <c r="J126" s="52">
        <f>IF((F126&lt;&gt;0),(H126/F126),1)</f>
        <v>9.3356795984067223E-2</v>
      </c>
    </row>
    <row r="127" spans="1:10" s="328" customFormat="1" ht="15" customHeight="1" x14ac:dyDescent="0.2">
      <c r="A127" s="344" t="str">
        <f>'notas bce prueba1'!A54</f>
        <v>Impuesto predial</v>
      </c>
      <c r="B127" s="344"/>
      <c r="C127" s="344"/>
      <c r="D127" s="203">
        <f>'notas bce prueba1'!C54</f>
        <v>15694</v>
      </c>
      <c r="E127" s="203"/>
      <c r="F127" s="203">
        <f>'notas bce prueba1'!D54</f>
        <v>15969</v>
      </c>
      <c r="G127" s="203"/>
      <c r="H127" s="203">
        <f>D127-F127</f>
        <v>-275</v>
      </c>
      <c r="I127" s="36"/>
      <c r="J127" s="52">
        <f>IF((F127&lt;&gt;0),(H127/F127),1)</f>
        <v>-1.7220865426764355E-2</v>
      </c>
    </row>
    <row r="128" spans="1:10" s="328" customFormat="1" ht="15" customHeight="1" x14ac:dyDescent="0.2">
      <c r="A128" s="344" t="str">
        <f>'notas bce prueba1'!A55</f>
        <v>Otros</v>
      </c>
      <c r="B128" s="344"/>
      <c r="C128" s="344"/>
      <c r="D128" s="203">
        <f>'notas bce prueba1'!C55</f>
        <v>23883</v>
      </c>
      <c r="E128" s="203"/>
      <c r="F128" s="203">
        <f>'notas bce prueba1'!D55</f>
        <v>70463</v>
      </c>
      <c r="G128" s="203"/>
      <c r="H128" s="203">
        <f>D128-F128</f>
        <v>-46580</v>
      </c>
      <c r="I128" s="36"/>
      <c r="J128" s="52">
        <f>IF((F128&lt;&gt;0),(H128/F128),1)</f>
        <v>-0.66105615713211185</v>
      </c>
    </row>
    <row r="129" spans="1:10" s="328" customFormat="1" ht="15" customHeight="1" x14ac:dyDescent="0.2">
      <c r="A129" s="350"/>
      <c r="B129" s="350"/>
      <c r="C129" s="350"/>
      <c r="D129" s="205"/>
      <c r="E129" s="205"/>
      <c r="F129" s="205"/>
      <c r="G129" s="205"/>
      <c r="H129" s="205"/>
      <c r="I129" s="95"/>
      <c r="J129" s="50"/>
    </row>
    <row r="130" spans="1:10" s="328" customFormat="1" ht="15" customHeight="1" x14ac:dyDescent="0.2">
      <c r="A130" s="2" t="str">
        <f>'notas bce prueba1'!A56</f>
        <v>TOTAL</v>
      </c>
      <c r="B130" s="345"/>
      <c r="C130" s="345"/>
      <c r="D130" s="197">
        <f>SUM(D125:D128)</f>
        <v>709599</v>
      </c>
      <c r="E130" s="197"/>
      <c r="F130" s="197">
        <f>SUM(F125:F128)</f>
        <v>759220</v>
      </c>
      <c r="G130" s="197"/>
      <c r="H130" s="197">
        <f>SUM(H125:H128)</f>
        <v>-49621</v>
      </c>
      <c r="I130" s="3"/>
      <c r="J130" s="14">
        <f>H130/F130</f>
        <v>-6.5357867284844967E-2</v>
      </c>
    </row>
    <row r="131" spans="1:10" s="328" customFormat="1" ht="15" customHeight="1" x14ac:dyDescent="0.2">
      <c r="A131" s="13"/>
      <c r="B131" s="7"/>
      <c r="C131" s="7"/>
      <c r="D131" s="198"/>
      <c r="E131" s="198"/>
      <c r="F131" s="198"/>
      <c r="G131" s="198"/>
      <c r="H131" s="198"/>
      <c r="I131" s="12"/>
      <c r="J131" s="17"/>
    </row>
    <row r="132" spans="1:10" s="254" customFormat="1" ht="18" x14ac:dyDescent="0.25">
      <c r="A132" s="37" t="str">
        <f>'notas bce prueba1'!A58</f>
        <v>7. PROPIEDAD PLANTA Y EQUIPO</v>
      </c>
      <c r="B132" s="39"/>
      <c r="C132" s="240"/>
      <c r="D132" s="257"/>
      <c r="E132" s="240"/>
      <c r="F132" s="257"/>
      <c r="G132" s="240"/>
      <c r="J132" s="49"/>
    </row>
    <row r="133" spans="1:10" s="328" customFormat="1" ht="10.5" customHeight="1" x14ac:dyDescent="0.2">
      <c r="A133" s="4"/>
      <c r="B133" s="240"/>
      <c r="C133" s="240"/>
      <c r="D133" s="257"/>
      <c r="E133" s="240"/>
      <c r="F133" s="257"/>
      <c r="G133" s="240"/>
      <c r="J133" s="49"/>
    </row>
    <row r="134" spans="1:10" s="328" customFormat="1" ht="15" customHeight="1" x14ac:dyDescent="0.2">
      <c r="A134" s="69"/>
      <c r="B134" s="69"/>
      <c r="C134" s="69"/>
      <c r="D134" s="66">
        <f>$D$6</f>
        <v>2013</v>
      </c>
      <c r="E134" s="67"/>
      <c r="F134" s="66">
        <f>$F$6</f>
        <v>2012</v>
      </c>
      <c r="G134" s="67"/>
      <c r="H134" s="68" t="str">
        <f>$H$6</f>
        <v>DIFERENCIA</v>
      </c>
      <c r="I134" s="66"/>
      <c r="J134" s="295" t="str">
        <f>$J$6</f>
        <v>DIFERENCIA</v>
      </c>
    </row>
    <row r="135" spans="1:10" s="328" customFormat="1" ht="15" customHeight="1" x14ac:dyDescent="0.2">
      <c r="A135" s="69"/>
      <c r="B135" s="69"/>
      <c r="C135" s="69"/>
      <c r="D135" s="67"/>
      <c r="E135" s="67"/>
      <c r="F135" s="67"/>
      <c r="G135" s="67"/>
      <c r="H135" s="68" t="str">
        <f>$H$7</f>
        <v>EN $</v>
      </c>
      <c r="I135" s="296"/>
      <c r="J135" s="295" t="str">
        <f>$J$7</f>
        <v>EN %</v>
      </c>
    </row>
    <row r="136" spans="1:10" s="328" customFormat="1" ht="15" customHeight="1" x14ac:dyDescent="0.2">
      <c r="A136" s="240"/>
      <c r="B136" s="240"/>
      <c r="C136" s="240"/>
      <c r="D136" s="257"/>
      <c r="E136" s="240"/>
      <c r="F136" s="257"/>
      <c r="G136" s="240"/>
      <c r="J136" s="49"/>
    </row>
    <row r="137" spans="1:10" s="328" customFormat="1" ht="15" customHeight="1" x14ac:dyDescent="0.2">
      <c r="A137" s="448" t="str">
        <f>'notas bce prueba1'!A60</f>
        <v>Terrenos</v>
      </c>
      <c r="B137" s="448"/>
      <c r="C137" s="344"/>
      <c r="D137" s="203">
        <f>'notas bce prueba1'!C60</f>
        <v>48115992</v>
      </c>
      <c r="E137" s="203"/>
      <c r="F137" s="203">
        <f>'notas bce prueba1'!D60</f>
        <v>48017181</v>
      </c>
      <c r="G137" s="203"/>
      <c r="H137" s="203">
        <f t="shared" ref="H137:H145" si="2">D137-F137</f>
        <v>98811</v>
      </c>
      <c r="I137" s="351"/>
      <c r="J137" s="52">
        <f t="shared" ref="J137:J145" si="3">IF((F137&lt;&gt;0),(H137/F137),1)</f>
        <v>2.0578259269322789E-3</v>
      </c>
    </row>
    <row r="138" spans="1:10" s="328" customFormat="1" ht="15" customHeight="1" x14ac:dyDescent="0.2">
      <c r="A138" s="448" t="str">
        <f>'notas bce prueba1'!A61</f>
        <v>Construcciones en curso</v>
      </c>
      <c r="B138" s="448"/>
      <c r="C138" s="344"/>
      <c r="D138" s="203">
        <f>'notas bce prueba1'!C61</f>
        <v>3015149</v>
      </c>
      <c r="E138" s="203"/>
      <c r="F138" s="203">
        <f>'notas bce prueba1'!D61</f>
        <v>14115</v>
      </c>
      <c r="G138" s="203"/>
      <c r="H138" s="203">
        <f t="shared" si="2"/>
        <v>3001034</v>
      </c>
      <c r="I138" s="351"/>
      <c r="J138" s="52">
        <f t="shared" si="3"/>
        <v>212.61310662415869</v>
      </c>
    </row>
    <row r="139" spans="1:10" s="328" customFormat="1" ht="15" customHeight="1" x14ac:dyDescent="0.2">
      <c r="A139" s="448" t="str">
        <f>'notas bce prueba1'!A62</f>
        <v>Maquinaria y equipo en montaje</v>
      </c>
      <c r="B139" s="448"/>
      <c r="C139" s="344"/>
      <c r="D139" s="203">
        <f>'notas bce prueba1'!C62</f>
        <v>301711</v>
      </c>
      <c r="E139" s="203"/>
      <c r="F139" s="203">
        <f>'notas bce prueba1'!D62</f>
        <v>273355</v>
      </c>
      <c r="G139" s="203"/>
      <c r="H139" s="203">
        <f t="shared" si="2"/>
        <v>28356</v>
      </c>
      <c r="I139" s="351"/>
      <c r="J139" s="52">
        <f t="shared" si="3"/>
        <v>0.10373324065775275</v>
      </c>
    </row>
    <row r="140" spans="1:10" s="328" customFormat="1" ht="15" customHeight="1" x14ac:dyDescent="0.2">
      <c r="A140" s="448" t="str">
        <f>'notas bce prueba1'!A63</f>
        <v>Construcciones y edificaciones</v>
      </c>
      <c r="B140" s="448"/>
      <c r="C140" s="344"/>
      <c r="D140" s="203">
        <f>'notas bce prueba1'!C63</f>
        <v>101337447</v>
      </c>
      <c r="E140" s="203"/>
      <c r="F140" s="203">
        <f>'notas bce prueba1'!D63</f>
        <v>101270512</v>
      </c>
      <c r="G140" s="203"/>
      <c r="H140" s="203">
        <f t="shared" si="2"/>
        <v>66935</v>
      </c>
      <c r="I140" s="351"/>
      <c r="J140" s="52">
        <f t="shared" si="3"/>
        <v>6.6095251893265826E-4</v>
      </c>
    </row>
    <row r="141" spans="1:10" s="328" customFormat="1" ht="15" customHeight="1" x14ac:dyDescent="0.2">
      <c r="A141" s="448" t="str">
        <f>'notas bce prueba1'!A64</f>
        <v>Maquinaria y Equipo</v>
      </c>
      <c r="B141" s="448"/>
      <c r="C141" s="344"/>
      <c r="D141" s="203">
        <f>'notas bce prueba1'!C64</f>
        <v>23927786</v>
      </c>
      <c r="E141" s="203"/>
      <c r="F141" s="203">
        <f>'notas bce prueba1'!D64</f>
        <v>21924539</v>
      </c>
      <c r="G141" s="203"/>
      <c r="H141" s="203">
        <f t="shared" si="2"/>
        <v>2003247</v>
      </c>
      <c r="I141" s="351"/>
      <c r="J141" s="53">
        <f t="shared" si="3"/>
        <v>9.1370085364166603E-2</v>
      </c>
    </row>
    <row r="142" spans="1:10" s="328" customFormat="1" ht="15" customHeight="1" x14ac:dyDescent="0.2">
      <c r="A142" s="448" t="str">
        <f>'notas bce prueba1'!A65</f>
        <v>Equipo de oficina</v>
      </c>
      <c r="B142" s="448"/>
      <c r="C142" s="344"/>
      <c r="D142" s="203">
        <f>'notas bce prueba1'!C65</f>
        <v>8158250</v>
      </c>
      <c r="E142" s="203"/>
      <c r="F142" s="203">
        <f>'notas bce prueba1'!D65</f>
        <v>8210593</v>
      </c>
      <c r="G142" s="203"/>
      <c r="H142" s="203">
        <f t="shared" si="2"/>
        <v>-52343</v>
      </c>
      <c r="I142" s="351"/>
      <c r="J142" s="52">
        <f t="shared" si="3"/>
        <v>-6.3750571974521206E-3</v>
      </c>
    </row>
    <row r="143" spans="1:10" s="328" customFormat="1" ht="15" customHeight="1" x14ac:dyDescent="0.2">
      <c r="A143" s="448" t="str">
        <f>'notas bce prueba1'!A66</f>
        <v>Equipo de computación y comunicación</v>
      </c>
      <c r="B143" s="448"/>
      <c r="C143" s="344"/>
      <c r="D143" s="203">
        <f>'notas bce prueba1'!C66</f>
        <v>25544716</v>
      </c>
      <c r="E143" s="203"/>
      <c r="F143" s="203">
        <f>'notas bce prueba1'!D66</f>
        <v>24983644</v>
      </c>
      <c r="G143" s="203"/>
      <c r="H143" s="203">
        <f t="shared" si="2"/>
        <v>561072</v>
      </c>
      <c r="I143" s="351"/>
      <c r="J143" s="52">
        <f t="shared" si="3"/>
        <v>2.2457572642325514E-2</v>
      </c>
    </row>
    <row r="144" spans="1:10" s="328" customFormat="1" ht="15" customHeight="1" x14ac:dyDescent="0.2">
      <c r="A144" s="448" t="str">
        <f>'notas bce prueba1'!A67</f>
        <v>Flota y equipo de transporte y fluvial</v>
      </c>
      <c r="B144" s="448"/>
      <c r="C144" s="344"/>
      <c r="D144" s="203">
        <f>'notas bce prueba1'!C67</f>
        <v>255600</v>
      </c>
      <c r="E144" s="203"/>
      <c r="F144" s="203">
        <f>'notas bce prueba1'!D67</f>
        <v>255600</v>
      </c>
      <c r="G144" s="203"/>
      <c r="H144" s="203">
        <f t="shared" si="2"/>
        <v>0</v>
      </c>
      <c r="I144" s="351"/>
      <c r="J144" s="52">
        <f t="shared" si="3"/>
        <v>0</v>
      </c>
    </row>
    <row r="145" spans="1:10" s="328" customFormat="1" ht="15" customHeight="1" x14ac:dyDescent="0.2">
      <c r="A145" s="448" t="str">
        <f>'notas bce prueba1'!A68</f>
        <v>Equipo en tránsito</v>
      </c>
      <c r="B145" s="448"/>
      <c r="C145" s="344"/>
      <c r="D145" s="203">
        <f>'notas bce prueba1'!C68</f>
        <v>142913</v>
      </c>
      <c r="E145" s="203"/>
      <c r="F145" s="203">
        <f>'notas bce prueba1'!D68</f>
        <v>110855</v>
      </c>
      <c r="G145" s="203"/>
      <c r="H145" s="203">
        <f t="shared" si="2"/>
        <v>32058</v>
      </c>
      <c r="I145" s="351"/>
      <c r="J145" s="52">
        <f t="shared" si="3"/>
        <v>0.28918857967615352</v>
      </c>
    </row>
    <row r="146" spans="1:10" s="328" customFormat="1" ht="15" customHeight="1" x14ac:dyDescent="0.2">
      <c r="A146" s="240"/>
      <c r="B146" s="240"/>
      <c r="C146" s="240"/>
      <c r="D146" s="204"/>
      <c r="E146" s="204"/>
      <c r="F146" s="204"/>
      <c r="G146" s="204"/>
      <c r="H146" s="204"/>
      <c r="J146" s="49"/>
    </row>
    <row r="147" spans="1:10" s="328" customFormat="1" ht="15" customHeight="1" x14ac:dyDescent="0.2">
      <c r="A147" s="345" t="str">
        <f>'notas bce prueba1'!A70</f>
        <v>Subtotal</v>
      </c>
      <c r="B147" s="345"/>
      <c r="C147" s="345"/>
      <c r="D147" s="197">
        <f>SUM(D137:D146)</f>
        <v>210799564</v>
      </c>
      <c r="E147" s="197"/>
      <c r="F147" s="197">
        <f>SUM(F137:F146)</f>
        <v>205060394</v>
      </c>
      <c r="G147" s="197"/>
      <c r="H147" s="197">
        <f>SUM(H137:H146)</f>
        <v>5739170</v>
      </c>
      <c r="I147" s="3"/>
      <c r="J147" s="14">
        <f>H147/F147</f>
        <v>2.7987705904827239E-2</v>
      </c>
    </row>
    <row r="148" spans="1:10" s="328" customFormat="1" ht="15" customHeight="1" x14ac:dyDescent="0.2">
      <c r="A148" s="7"/>
      <c r="B148" s="352"/>
      <c r="C148" s="352"/>
      <c r="D148" s="353"/>
      <c r="E148" s="353"/>
      <c r="F148" s="353"/>
      <c r="G148" s="353"/>
      <c r="H148" s="353"/>
      <c r="I148" s="354"/>
      <c r="J148" s="355"/>
    </row>
    <row r="149" spans="1:10" s="328" customFormat="1" ht="15" customHeight="1" x14ac:dyDescent="0.2">
      <c r="A149" s="240"/>
      <c r="B149" s="344" t="str">
        <f>'notas bce prueba1'!B71</f>
        <v>Depreciación acumulada</v>
      </c>
      <c r="C149" s="344"/>
      <c r="D149" s="203">
        <f>'notas bce prueba1'!C71</f>
        <v>-72222232</v>
      </c>
      <c r="E149" s="203"/>
      <c r="F149" s="203">
        <f>'notas bce prueba1'!D71</f>
        <v>-63235940</v>
      </c>
      <c r="G149" s="203"/>
      <c r="H149" s="203">
        <f>D149-F149</f>
        <v>-8986292</v>
      </c>
      <c r="I149" s="36"/>
      <c r="J149" s="52">
        <f>IF((F149&lt;&gt;0),(H149/F149),1)</f>
        <v>0.14210735224304408</v>
      </c>
    </row>
    <row r="150" spans="1:10" s="328" customFormat="1" ht="15" customHeight="1" x14ac:dyDescent="0.2">
      <c r="A150" s="240"/>
      <c r="B150" s="344" t="str">
        <f>'notas bce prueba1'!B72</f>
        <v>Provisión</v>
      </c>
      <c r="C150" s="344"/>
      <c r="D150" s="203">
        <f>'notas bce prueba1'!C72</f>
        <v>-620620</v>
      </c>
      <c r="E150" s="203"/>
      <c r="F150" s="203">
        <f>'notas bce prueba1'!D72</f>
        <v>-620620</v>
      </c>
      <c r="G150" s="203"/>
      <c r="H150" s="203">
        <f>D150-F150</f>
        <v>0</v>
      </c>
      <c r="I150" s="36"/>
      <c r="J150" s="52">
        <f>IF((F150&lt;&gt;0),(H150/F150),1)</f>
        <v>0</v>
      </c>
    </row>
    <row r="151" spans="1:10" s="328" customFormat="1" ht="15" customHeight="1" x14ac:dyDescent="0.2">
      <c r="A151" s="240"/>
      <c r="B151" s="240"/>
      <c r="C151" s="240"/>
      <c r="D151" s="204"/>
      <c r="E151" s="204"/>
      <c r="F151" s="204"/>
      <c r="G151" s="204"/>
      <c r="H151" s="204"/>
      <c r="J151" s="49"/>
    </row>
    <row r="152" spans="1:10" s="328" customFormat="1" ht="15" customHeight="1" x14ac:dyDescent="0.2">
      <c r="A152" s="345" t="str">
        <f>'notas bce prueba1'!A74</f>
        <v>TOTAL</v>
      </c>
      <c r="B152" s="345"/>
      <c r="C152" s="345"/>
      <c r="D152" s="197">
        <f>SUM(D147:D151)</f>
        <v>137956712</v>
      </c>
      <c r="E152" s="197"/>
      <c r="F152" s="197">
        <f>SUM(F147:F151)</f>
        <v>141203834</v>
      </c>
      <c r="G152" s="197"/>
      <c r="H152" s="197">
        <f>SUM(H147:H151)</f>
        <v>-3247122</v>
      </c>
      <c r="I152" s="356"/>
      <c r="J152" s="14">
        <f>H152/F152</f>
        <v>-2.2995990321339293E-2</v>
      </c>
    </row>
    <row r="153" spans="1:10" s="328" customFormat="1" ht="15" customHeight="1" x14ac:dyDescent="0.2">
      <c r="A153" s="7"/>
      <c r="B153" s="7"/>
      <c r="C153" s="7"/>
      <c r="D153" s="198"/>
      <c r="E153" s="198"/>
      <c r="F153" s="198"/>
      <c r="G153" s="198"/>
      <c r="H153" s="198"/>
      <c r="I153" s="336"/>
      <c r="J153" s="17"/>
    </row>
    <row r="154" spans="1:10" s="328" customFormat="1" ht="15" customHeight="1" x14ac:dyDescent="0.2">
      <c r="A154" s="7"/>
      <c r="B154" s="7"/>
      <c r="C154" s="7"/>
      <c r="D154" s="198"/>
      <c r="E154" s="198"/>
      <c r="F154" s="198"/>
      <c r="G154" s="198"/>
      <c r="H154" s="198"/>
      <c r="I154" s="336"/>
      <c r="J154" s="17"/>
    </row>
    <row r="155" spans="1:10" s="328" customFormat="1" ht="15" customHeight="1" x14ac:dyDescent="0.2">
      <c r="A155" s="240"/>
      <c r="B155" s="240"/>
      <c r="C155" s="240"/>
      <c r="D155" s="204"/>
      <c r="E155" s="204"/>
      <c r="F155" s="204"/>
      <c r="G155" s="204"/>
      <c r="H155" s="204"/>
      <c r="J155" s="49"/>
    </row>
    <row r="156" spans="1:10" s="254" customFormat="1" ht="18" x14ac:dyDescent="0.25">
      <c r="A156" s="37" t="str">
        <f>'notas bce prueba1'!A76</f>
        <v>8. CARGOS DIFERIDOS</v>
      </c>
      <c r="B156" s="39"/>
      <c r="C156" s="240"/>
      <c r="D156" s="257"/>
      <c r="E156" s="240"/>
      <c r="F156" s="257"/>
      <c r="G156" s="240"/>
      <c r="J156" s="49"/>
    </row>
    <row r="157" spans="1:10" s="328" customFormat="1" ht="10.5" customHeight="1" x14ac:dyDescent="0.2">
      <c r="A157" s="7"/>
      <c r="B157" s="240"/>
      <c r="C157" s="240"/>
      <c r="D157" s="257"/>
      <c r="E157" s="240"/>
      <c r="F157" s="257"/>
      <c r="G157" s="240"/>
      <c r="J157" s="49"/>
    </row>
    <row r="158" spans="1:10" s="328" customFormat="1" ht="15" customHeight="1" x14ac:dyDescent="0.2">
      <c r="A158" s="69"/>
      <c r="B158" s="69"/>
      <c r="C158" s="69"/>
      <c r="D158" s="66">
        <f>$D$6</f>
        <v>2013</v>
      </c>
      <c r="E158" s="67"/>
      <c r="F158" s="66">
        <f>$F$6</f>
        <v>2012</v>
      </c>
      <c r="G158" s="67"/>
      <c r="H158" s="68" t="str">
        <f>$H$6</f>
        <v>DIFERENCIA</v>
      </c>
      <c r="I158" s="66"/>
      <c r="J158" s="295" t="str">
        <f>$J$6</f>
        <v>DIFERENCIA</v>
      </c>
    </row>
    <row r="159" spans="1:10" s="328" customFormat="1" ht="15" customHeight="1" x14ac:dyDescent="0.2">
      <c r="A159" s="69"/>
      <c r="B159" s="69"/>
      <c r="C159" s="69"/>
      <c r="D159" s="67"/>
      <c r="E159" s="67"/>
      <c r="F159" s="67"/>
      <c r="G159" s="67"/>
      <c r="H159" s="68" t="str">
        <f>$H$7</f>
        <v>EN $</v>
      </c>
      <c r="I159" s="296"/>
      <c r="J159" s="295" t="str">
        <f>$J$7</f>
        <v>EN %</v>
      </c>
    </row>
    <row r="160" spans="1:10" s="328" customFormat="1" ht="15" customHeight="1" x14ac:dyDescent="0.2">
      <c r="A160" s="240"/>
      <c r="B160" s="240"/>
      <c r="C160" s="240"/>
      <c r="D160" s="257"/>
      <c r="E160" s="240"/>
      <c r="F160" s="257"/>
      <c r="G160" s="240"/>
      <c r="J160" s="49"/>
    </row>
    <row r="161" spans="1:10" s="328" customFormat="1" ht="15" customHeight="1" x14ac:dyDescent="0.2">
      <c r="A161" s="344" t="str">
        <f>'notas bce prueba1'!A78</f>
        <v>Preoperativos CAPF</v>
      </c>
      <c r="B161" s="344"/>
      <c r="C161" s="344"/>
      <c r="D161" s="327">
        <f>'notas bce prueba1'!C78</f>
        <v>30135</v>
      </c>
      <c r="E161" s="344"/>
      <c r="F161" s="327">
        <f>'notas bce prueba1'!D78</f>
        <v>49198</v>
      </c>
      <c r="G161" s="344"/>
      <c r="H161" s="203">
        <f t="shared" ref="H161:H170" si="4">D161-F161</f>
        <v>-19063</v>
      </c>
      <c r="I161" s="36"/>
      <c r="J161" s="52">
        <f t="shared" ref="J161:J170" si="5">IF((F161&lt;&gt;0),(H161/F161),1)</f>
        <v>-0.3874751006138461</v>
      </c>
    </row>
    <row r="162" spans="1:10" s="328" customFormat="1" ht="15" customHeight="1" x14ac:dyDescent="0.2">
      <c r="A162" s="344" t="str">
        <f>'notas bce prueba1'!A79</f>
        <v>Programas para computadores</v>
      </c>
      <c r="B162" s="344"/>
      <c r="C162" s="344"/>
      <c r="D162" s="327">
        <f>'notas bce prueba1'!C79</f>
        <v>1954919</v>
      </c>
      <c r="E162" s="203"/>
      <c r="F162" s="327">
        <f>'notas bce prueba1'!D79</f>
        <v>1517527</v>
      </c>
      <c r="G162" s="203"/>
      <c r="H162" s="203">
        <f t="shared" si="4"/>
        <v>437392</v>
      </c>
      <c r="I162" s="36"/>
      <c r="J162" s="52">
        <f t="shared" si="5"/>
        <v>0.28822683220792777</v>
      </c>
    </row>
    <row r="163" spans="1:10" s="328" customFormat="1" ht="15" customHeight="1" x14ac:dyDescent="0.2">
      <c r="A163" s="344" t="str">
        <f>'notas bce prueba1'!A80</f>
        <v>Útiles y papelería</v>
      </c>
      <c r="B163" s="344"/>
      <c r="C163" s="344"/>
      <c r="D163" s="327">
        <f>'notas bce prueba1'!C80</f>
        <v>39939</v>
      </c>
      <c r="E163" s="203"/>
      <c r="F163" s="327">
        <f>'notas bce prueba1'!D80</f>
        <v>31374</v>
      </c>
      <c r="G163" s="203"/>
      <c r="H163" s="203">
        <f t="shared" si="4"/>
        <v>8565</v>
      </c>
      <c r="I163" s="36"/>
      <c r="J163" s="52">
        <f t="shared" si="5"/>
        <v>0.27299674890036335</v>
      </c>
    </row>
    <row r="164" spans="1:10" s="328" customFormat="1" ht="15" customHeight="1" x14ac:dyDescent="0.2">
      <c r="A164" s="344" t="str">
        <f>'notas bce prueba1'!A81</f>
        <v>Mejoras en propiedad ajena</v>
      </c>
      <c r="B164" s="344"/>
      <c r="C164" s="344"/>
      <c r="D164" s="327">
        <f>'notas bce prueba1'!C81</f>
        <v>400646</v>
      </c>
      <c r="E164" s="203"/>
      <c r="F164" s="342">
        <f>'notas bce prueba1'!D81</f>
        <v>0</v>
      </c>
      <c r="G164" s="203"/>
      <c r="H164" s="203">
        <f t="shared" si="4"/>
        <v>400646</v>
      </c>
      <c r="I164" s="36"/>
      <c r="J164" s="52">
        <f t="shared" si="5"/>
        <v>1</v>
      </c>
    </row>
    <row r="165" spans="1:10" s="328" customFormat="1" ht="15" customHeight="1" x14ac:dyDescent="0.2">
      <c r="A165" s="344" t="str">
        <f>'notas bce prueba1'!A82</f>
        <v>Contribuciones y afiliaciones</v>
      </c>
      <c r="B165" s="344"/>
      <c r="C165" s="344"/>
      <c r="D165" s="327">
        <f>'notas bce prueba1'!C82</f>
        <v>26414</v>
      </c>
      <c r="E165" s="203"/>
      <c r="F165" s="327">
        <f>'notas bce prueba1'!D82</f>
        <v>36187</v>
      </c>
      <c r="G165" s="203"/>
      <c r="H165" s="203">
        <f t="shared" si="4"/>
        <v>-9773</v>
      </c>
      <c r="I165" s="36"/>
      <c r="J165" s="52">
        <f t="shared" si="5"/>
        <v>-0.27006936192555336</v>
      </c>
    </row>
    <row r="166" spans="1:10" s="328" customFormat="1" ht="15" hidden="1" customHeight="1" x14ac:dyDescent="0.2">
      <c r="A166" s="344" t="str">
        <f>'notas bce prueba1'!A83</f>
        <v>Revistas diferidas</v>
      </c>
      <c r="B166" s="344"/>
      <c r="C166" s="347"/>
      <c r="D166" s="327">
        <f>'notas bce prueba1'!C83</f>
        <v>0</v>
      </c>
      <c r="E166" s="348"/>
      <c r="F166" s="358">
        <v>0</v>
      </c>
      <c r="G166" s="348"/>
      <c r="H166" s="203">
        <f t="shared" si="4"/>
        <v>0</v>
      </c>
      <c r="I166" s="359"/>
      <c r="J166" s="52">
        <f t="shared" si="5"/>
        <v>1</v>
      </c>
    </row>
    <row r="167" spans="1:10" s="328" customFormat="1" ht="12.75" hidden="1" x14ac:dyDescent="0.2">
      <c r="A167" s="344" t="str">
        <f>'notas bce prueba1'!A84</f>
        <v>Licencias diferidas</v>
      </c>
      <c r="B167" s="347"/>
      <c r="C167" s="347"/>
      <c r="D167" s="327">
        <f>'notas bce prueba1'!C84</f>
        <v>0</v>
      </c>
      <c r="E167" s="348"/>
      <c r="F167" s="327">
        <f>'notas bce prueba1'!D84</f>
        <v>0</v>
      </c>
      <c r="G167" s="348"/>
      <c r="H167" s="203">
        <f t="shared" si="4"/>
        <v>0</v>
      </c>
      <c r="I167" s="359"/>
      <c r="J167" s="52">
        <f t="shared" si="5"/>
        <v>1</v>
      </c>
    </row>
    <row r="168" spans="1:10" s="328" customFormat="1" ht="15" customHeight="1" x14ac:dyDescent="0.2">
      <c r="A168" s="344" t="str">
        <f>'notas bce prueba1'!A85</f>
        <v>Publicidad y promoción diferida</v>
      </c>
      <c r="B168" s="347"/>
      <c r="C168" s="347"/>
      <c r="D168" s="327">
        <f>'notas bce prueba1'!C85</f>
        <v>0</v>
      </c>
      <c r="E168" s="348"/>
      <c r="F168" s="327">
        <f>'notas bce prueba1'!D85</f>
        <v>57125</v>
      </c>
      <c r="G168" s="348"/>
      <c r="H168" s="203">
        <f t="shared" si="4"/>
        <v>-57125</v>
      </c>
      <c r="I168" s="359"/>
      <c r="J168" s="52">
        <f t="shared" si="5"/>
        <v>-1</v>
      </c>
    </row>
    <row r="169" spans="1:10" s="328" customFormat="1" ht="15" customHeight="1" x14ac:dyDescent="0.2">
      <c r="A169" s="344" t="str">
        <f>'notas bce prueba1'!A86</f>
        <v>Elementos de aseo y cafetería</v>
      </c>
      <c r="B169" s="347"/>
      <c r="C169" s="347"/>
      <c r="D169" s="327">
        <f>'notas bce prueba1'!C86</f>
        <v>524</v>
      </c>
      <c r="E169" s="348"/>
      <c r="F169" s="327">
        <f>'notas bce prueba1'!D86</f>
        <v>13516</v>
      </c>
      <c r="G169" s="348"/>
      <c r="H169" s="203">
        <f t="shared" si="4"/>
        <v>-12992</v>
      </c>
      <c r="I169" s="359"/>
      <c r="J169" s="52">
        <f t="shared" si="5"/>
        <v>-0.96123113347144129</v>
      </c>
    </row>
    <row r="170" spans="1:10" s="328" customFormat="1" ht="15" customHeight="1" x14ac:dyDescent="0.2">
      <c r="A170" s="344" t="str">
        <f>'notas bce prueba1'!A87</f>
        <v>Otros diferidos</v>
      </c>
      <c r="B170" s="347"/>
      <c r="C170" s="347"/>
      <c r="D170" s="327">
        <f>'notas bce prueba1'!C87</f>
        <v>11214</v>
      </c>
      <c r="E170" s="348"/>
      <c r="F170" s="327">
        <f>'notas bce prueba1'!D87</f>
        <v>25582</v>
      </c>
      <c r="G170" s="348"/>
      <c r="H170" s="203">
        <f t="shared" si="4"/>
        <v>-14368</v>
      </c>
      <c r="I170" s="359"/>
      <c r="J170" s="52">
        <f t="shared" si="5"/>
        <v>-0.56164490657493549</v>
      </c>
    </row>
    <row r="171" spans="1:10" s="328" customFormat="1" ht="15" customHeight="1" x14ac:dyDescent="0.2">
      <c r="A171" s="344"/>
      <c r="B171" s="347"/>
      <c r="C171" s="347"/>
      <c r="D171" s="348"/>
      <c r="E171" s="348"/>
      <c r="F171" s="348"/>
      <c r="G171" s="348"/>
      <c r="H171" s="205"/>
      <c r="I171" s="359"/>
      <c r="J171" s="53"/>
    </row>
    <row r="172" spans="1:10" s="328" customFormat="1" ht="15" customHeight="1" x14ac:dyDescent="0.2">
      <c r="A172" s="345" t="str">
        <f>'notas bce prueba1'!A89</f>
        <v>TOTAL</v>
      </c>
      <c r="B172" s="345"/>
      <c r="C172" s="197"/>
      <c r="D172" s="197">
        <f>SUM(D161:D171)</f>
        <v>2463791</v>
      </c>
      <c r="E172" s="197"/>
      <c r="F172" s="197">
        <f>SUM(F161:F171)</f>
        <v>1730509</v>
      </c>
      <c r="G172" s="197"/>
      <c r="H172" s="197">
        <f>SUM(H161:H171)</f>
        <v>733282</v>
      </c>
      <c r="I172" s="14"/>
      <c r="J172" s="14">
        <f>H172/F172</f>
        <v>0.42373775577012313</v>
      </c>
    </row>
    <row r="173" spans="1:10" s="328" customFormat="1" ht="15" customHeight="1" x14ac:dyDescent="0.2">
      <c r="A173" s="240"/>
      <c r="B173" s="240"/>
      <c r="C173" s="240"/>
      <c r="D173" s="257"/>
      <c r="E173" s="240"/>
      <c r="F173" s="257"/>
      <c r="G173" s="240"/>
      <c r="J173" s="49"/>
    </row>
    <row r="174" spans="1:10" s="328" customFormat="1" ht="15" customHeight="1" x14ac:dyDescent="0.2">
      <c r="A174" s="240"/>
      <c r="B174" s="240"/>
      <c r="C174" s="240"/>
      <c r="D174" s="257"/>
      <c r="E174" s="240"/>
      <c r="F174" s="257"/>
      <c r="G174" s="240"/>
      <c r="J174" s="49"/>
    </row>
    <row r="175" spans="1:10" s="328" customFormat="1" ht="15" customHeight="1" x14ac:dyDescent="0.25">
      <c r="A175" s="37" t="str">
        <f>'notas bce prueba1'!A91</f>
        <v>9. INTANGIBLES</v>
      </c>
      <c r="B175" s="240"/>
      <c r="C175" s="240"/>
      <c r="D175" s="257"/>
      <c r="E175" s="240"/>
      <c r="F175" s="257"/>
      <c r="G175" s="240"/>
      <c r="J175" s="49"/>
    </row>
    <row r="176" spans="1:10" s="328" customFormat="1" ht="15" customHeight="1" x14ac:dyDescent="0.2">
      <c r="A176" s="240"/>
      <c r="B176" s="240"/>
      <c r="C176" s="240"/>
      <c r="D176" s="257"/>
      <c r="E176" s="240"/>
      <c r="F176" s="257"/>
      <c r="J176" s="49"/>
    </row>
    <row r="177" spans="1:10" s="328" customFormat="1" ht="15" customHeight="1" x14ac:dyDescent="0.2">
      <c r="A177" s="344" t="str">
        <f>'notas bce prueba1'!A93</f>
        <v>Marcas</v>
      </c>
      <c r="B177" s="347"/>
      <c r="C177" s="347"/>
      <c r="D177" s="327">
        <f>'notas bce prueba1'!C93</f>
        <v>52827</v>
      </c>
      <c r="E177" s="348"/>
      <c r="F177" s="327">
        <f>'notas bce prueba1'!D93</f>
        <v>33137</v>
      </c>
      <c r="G177" s="359"/>
      <c r="H177" s="203">
        <f>D177-F177</f>
        <v>19690</v>
      </c>
      <c r="I177" s="359"/>
      <c r="J177" s="52">
        <f>IF((F177&lt;&gt;0),(H177/F177),1)</f>
        <v>0.59419983704016655</v>
      </c>
    </row>
    <row r="178" spans="1:10" s="328" customFormat="1" ht="15" customHeight="1" x14ac:dyDescent="0.2">
      <c r="A178" s="344" t="str">
        <f>'notas bce prueba1'!A94</f>
        <v>Patentes</v>
      </c>
      <c r="B178" s="347"/>
      <c r="C178" s="347"/>
      <c r="D178" s="327">
        <f>'notas bce prueba1'!C94</f>
        <v>121782</v>
      </c>
      <c r="E178" s="348"/>
      <c r="F178" s="327">
        <f>'notas bce prueba1'!D94</f>
        <v>71505</v>
      </c>
      <c r="G178" s="359"/>
      <c r="H178" s="203">
        <f>D178-F178</f>
        <v>50277</v>
      </c>
      <c r="I178" s="359"/>
      <c r="J178" s="52">
        <f>IF((F178&lt;&gt;0),(H178/F178),1)</f>
        <v>0.70312565554856299</v>
      </c>
    </row>
    <row r="179" spans="1:10" s="328" customFormat="1" ht="15" customHeight="1" x14ac:dyDescent="0.2">
      <c r="A179" s="344" t="str">
        <f>'notas bce prueba1'!A95</f>
        <v>Derechos</v>
      </c>
      <c r="B179" s="347"/>
      <c r="C179" s="347"/>
      <c r="D179" s="327">
        <f>'notas bce prueba1'!C95</f>
        <v>12604</v>
      </c>
      <c r="E179" s="348"/>
      <c r="F179" s="327">
        <f>'notas bce prueba1'!D95</f>
        <v>2492</v>
      </c>
      <c r="G179" s="359"/>
      <c r="H179" s="203">
        <f>D179-F179</f>
        <v>10112</v>
      </c>
      <c r="I179" s="359"/>
      <c r="J179" s="52">
        <f>IF((F179&lt;&gt;0),(H179/F179),1)</f>
        <v>4.057784911717496</v>
      </c>
    </row>
    <row r="180" spans="1:10" s="328" customFormat="1" ht="15" customHeight="1" x14ac:dyDescent="0.2">
      <c r="A180" s="344" t="str">
        <f>'notas bce prueba1'!A96</f>
        <v>Otros</v>
      </c>
      <c r="B180" s="347"/>
      <c r="C180" s="347"/>
      <c r="D180" s="327">
        <f>'notas bce prueba1'!C96</f>
        <v>708664</v>
      </c>
      <c r="E180" s="348"/>
      <c r="F180" s="327">
        <f>'notas bce prueba1'!D96</f>
        <v>600</v>
      </c>
      <c r="G180" s="359"/>
      <c r="H180" s="203">
        <f>D180-F180</f>
        <v>708064</v>
      </c>
      <c r="I180" s="359"/>
      <c r="J180" s="52">
        <f>IF((F180&lt;&gt;0),(H180/F180),1)</f>
        <v>1180.1066666666666</v>
      </c>
    </row>
    <row r="181" spans="1:10" s="328" customFormat="1" ht="15" customHeight="1" x14ac:dyDescent="0.2">
      <c r="A181" s="344"/>
      <c r="B181" s="347"/>
      <c r="C181" s="347"/>
      <c r="D181" s="257"/>
      <c r="E181" s="240"/>
      <c r="F181" s="257"/>
      <c r="G181" s="240"/>
      <c r="J181" s="49"/>
    </row>
    <row r="182" spans="1:10" s="328" customFormat="1" ht="15" customHeight="1" x14ac:dyDescent="0.2">
      <c r="A182" s="345" t="str">
        <f>'notas bce prueba1'!A98</f>
        <v>TOTAL</v>
      </c>
      <c r="B182" s="345"/>
      <c r="C182" s="197"/>
      <c r="D182" s="197">
        <f>SUM(D177:D180)</f>
        <v>895877</v>
      </c>
      <c r="E182" s="197">
        <f t="shared" ref="E182:J182" si="6">SUM(E177:E180)</f>
        <v>0</v>
      </c>
      <c r="F182" s="197">
        <f t="shared" si="6"/>
        <v>107734</v>
      </c>
      <c r="G182" s="197">
        <f t="shared" si="6"/>
        <v>0</v>
      </c>
      <c r="H182" s="197">
        <f t="shared" si="6"/>
        <v>788143</v>
      </c>
      <c r="I182" s="14">
        <f t="shared" si="6"/>
        <v>0</v>
      </c>
      <c r="J182" s="14">
        <f t="shared" si="6"/>
        <v>1185.4617770709729</v>
      </c>
    </row>
    <row r="183" spans="1:10" s="328" customFormat="1" ht="15" customHeight="1" x14ac:dyDescent="0.2">
      <c r="A183" s="240"/>
      <c r="B183" s="240"/>
      <c r="C183" s="240"/>
      <c r="D183" s="257"/>
      <c r="E183" s="240"/>
      <c r="F183" s="257"/>
      <c r="G183" s="240"/>
      <c r="J183" s="49"/>
    </row>
    <row r="184" spans="1:10" s="328" customFormat="1" ht="15" customHeight="1" x14ac:dyDescent="0.2">
      <c r="A184" s="240"/>
      <c r="B184" s="240"/>
      <c r="C184" s="240"/>
      <c r="D184" s="257"/>
      <c r="E184" s="240"/>
      <c r="F184" s="257"/>
      <c r="G184" s="240"/>
      <c r="J184" s="49"/>
    </row>
    <row r="185" spans="1:10" s="328" customFormat="1" ht="15" customHeight="1" x14ac:dyDescent="0.2">
      <c r="A185" s="240"/>
      <c r="B185" s="240"/>
      <c r="C185" s="240"/>
      <c r="D185" s="257"/>
      <c r="E185" s="240"/>
      <c r="F185" s="257"/>
      <c r="G185" s="240"/>
      <c r="J185" s="49"/>
    </row>
    <row r="186" spans="1:10" s="328" customFormat="1" ht="15" customHeight="1" x14ac:dyDescent="0.2">
      <c r="A186" s="240"/>
      <c r="B186" s="240"/>
      <c r="C186" s="240"/>
      <c r="D186" s="257"/>
      <c r="E186" s="240"/>
      <c r="F186" s="257"/>
      <c r="G186" s="240"/>
      <c r="J186" s="49"/>
    </row>
    <row r="187" spans="1:10" s="328" customFormat="1" ht="15" customHeight="1" x14ac:dyDescent="0.2">
      <c r="A187" s="240"/>
      <c r="B187" s="240"/>
      <c r="C187" s="240"/>
      <c r="D187" s="257"/>
      <c r="E187" s="240"/>
      <c r="F187" s="257"/>
      <c r="G187" s="240"/>
      <c r="J187" s="49"/>
    </row>
    <row r="188" spans="1:10" s="254" customFormat="1" ht="18" x14ac:dyDescent="0.25">
      <c r="A188" s="37" t="str">
        <f>'notas bce prueba1'!A101</f>
        <v>10. VALORIZACIONES</v>
      </c>
      <c r="B188" s="39"/>
      <c r="C188" s="240"/>
      <c r="D188" s="257"/>
      <c r="E188" s="240"/>
      <c r="F188" s="257"/>
      <c r="G188" s="240"/>
      <c r="J188" s="49"/>
    </row>
    <row r="189" spans="1:10" s="328" customFormat="1" ht="10.5" customHeight="1" x14ac:dyDescent="0.2">
      <c r="A189" s="240"/>
      <c r="B189" s="240"/>
      <c r="C189" s="240"/>
      <c r="D189" s="257"/>
      <c r="E189" s="240"/>
      <c r="F189" s="257"/>
      <c r="G189" s="240"/>
      <c r="J189" s="49"/>
    </row>
    <row r="190" spans="1:10" s="328" customFormat="1" ht="15" customHeight="1" x14ac:dyDescent="0.2">
      <c r="A190" s="69"/>
      <c r="B190" s="69"/>
      <c r="C190" s="69"/>
      <c r="D190" s="66">
        <f>$D$6</f>
        <v>2013</v>
      </c>
      <c r="E190" s="67"/>
      <c r="F190" s="66">
        <f>$F$6</f>
        <v>2012</v>
      </c>
      <c r="G190" s="67"/>
      <c r="H190" s="68" t="str">
        <f>$H$6</f>
        <v>DIFERENCIA</v>
      </c>
      <c r="I190" s="66"/>
      <c r="J190" s="295" t="str">
        <f>$J$6</f>
        <v>DIFERENCIA</v>
      </c>
    </row>
    <row r="191" spans="1:10" s="328" customFormat="1" ht="15" customHeight="1" x14ac:dyDescent="0.2">
      <c r="A191" s="69"/>
      <c r="B191" s="69"/>
      <c r="C191" s="69"/>
      <c r="D191" s="67"/>
      <c r="E191" s="67"/>
      <c r="F191" s="67"/>
      <c r="G191" s="67"/>
      <c r="H191" s="68" t="str">
        <f>$H$7</f>
        <v>EN $</v>
      </c>
      <c r="I191" s="296"/>
      <c r="J191" s="295" t="str">
        <f>$J$7</f>
        <v>EN %</v>
      </c>
    </row>
    <row r="192" spans="1:10" s="328" customFormat="1" ht="15" customHeight="1" x14ac:dyDescent="0.2">
      <c r="A192" s="240"/>
      <c r="B192" s="240"/>
      <c r="C192" s="240"/>
      <c r="D192" s="257"/>
      <c r="E192" s="240"/>
      <c r="F192" s="257"/>
      <c r="G192" s="240"/>
      <c r="H192" s="95"/>
      <c r="J192" s="49"/>
    </row>
    <row r="193" spans="1:10" s="328" customFormat="1" ht="15" customHeight="1" x14ac:dyDescent="0.2">
      <c r="A193" s="240" t="str">
        <f>'notas bce prueba1'!A103</f>
        <v>Inversiones</v>
      </c>
      <c r="B193" s="240"/>
      <c r="C193" s="240"/>
      <c r="D193" s="257"/>
      <c r="E193" s="240"/>
      <c r="F193" s="257"/>
      <c r="G193" s="240"/>
      <c r="H193" s="360"/>
      <c r="J193" s="49"/>
    </row>
    <row r="194" spans="1:10" s="328" customFormat="1" ht="15" customHeight="1" x14ac:dyDescent="0.2">
      <c r="B194" s="344" t="str">
        <f>'notas bce prueba1'!B104</f>
        <v>Acciones - propias</v>
      </c>
      <c r="C194" s="344"/>
      <c r="D194" s="203">
        <f>'notas bce prueba1'!C104</f>
        <v>0</v>
      </c>
      <c r="E194" s="203"/>
      <c r="F194" s="203">
        <f>'notas bce prueba1'!D104</f>
        <v>444674</v>
      </c>
      <c r="G194" s="203"/>
      <c r="H194" s="203">
        <f>D194-F194</f>
        <v>-444674</v>
      </c>
      <c r="I194" s="36"/>
      <c r="J194" s="52">
        <f>IF((F194&lt;&gt;0),(H194/F194),1)</f>
        <v>-1</v>
      </c>
    </row>
    <row r="195" spans="1:10" s="328" customFormat="1" ht="6.75" customHeight="1" x14ac:dyDescent="0.2">
      <c r="B195" s="347"/>
      <c r="C195" s="347"/>
      <c r="D195" s="348"/>
      <c r="E195" s="348"/>
      <c r="F195" s="348"/>
      <c r="G195" s="348"/>
      <c r="H195" s="203"/>
      <c r="I195" s="359"/>
      <c r="J195" s="53"/>
    </row>
    <row r="196" spans="1:10" s="328" customFormat="1" ht="15" customHeight="1" x14ac:dyDescent="0.2">
      <c r="A196" s="361" t="str">
        <f>'notas bce prueba1'!A105</f>
        <v>Total inversiones</v>
      </c>
      <c r="B196" s="361"/>
      <c r="C196" s="361"/>
      <c r="D196" s="362">
        <f>SUM(D194:D195)</f>
        <v>0</v>
      </c>
      <c r="E196" s="362"/>
      <c r="F196" s="362">
        <f>SUM(F194:F195)</f>
        <v>444674</v>
      </c>
      <c r="G196" s="362"/>
      <c r="H196" s="202">
        <f>SUM(H194:H195)</f>
        <v>-444674</v>
      </c>
      <c r="I196" s="363"/>
      <c r="J196" s="364">
        <f>H196/F196</f>
        <v>-1</v>
      </c>
    </row>
    <row r="197" spans="1:10" s="328" customFormat="1" ht="7.5" customHeight="1" x14ac:dyDescent="0.2">
      <c r="A197" s="240"/>
      <c r="B197" s="240"/>
      <c r="C197" s="240"/>
      <c r="D197" s="204"/>
      <c r="E197" s="204"/>
      <c r="F197" s="204"/>
      <c r="G197" s="204"/>
      <c r="H197" s="204"/>
      <c r="J197" s="49"/>
    </row>
    <row r="198" spans="1:10" s="328" customFormat="1" ht="15" customHeight="1" x14ac:dyDescent="0.2">
      <c r="A198" s="240" t="str">
        <f>'notas bce prueba1'!A107</f>
        <v>Propiedad</v>
      </c>
      <c r="B198" s="240"/>
      <c r="C198" s="240"/>
      <c r="D198" s="204"/>
      <c r="E198" s="204"/>
      <c r="F198" s="204"/>
      <c r="G198" s="204"/>
      <c r="H198" s="204"/>
      <c r="J198" s="49"/>
    </row>
    <row r="199" spans="1:10" s="328" customFormat="1" ht="15" customHeight="1" x14ac:dyDescent="0.2">
      <c r="B199" s="344" t="str">
        <f>'notas bce prueba1'!B108</f>
        <v>Terrenos</v>
      </c>
      <c r="C199" s="344"/>
      <c r="D199" s="203">
        <f>'notas bce prueba1'!C108</f>
        <v>141020835</v>
      </c>
      <c r="E199" s="203"/>
      <c r="F199" s="203">
        <f>'notas bce prueba1'!D108</f>
        <v>141020835</v>
      </c>
      <c r="G199" s="203"/>
      <c r="H199" s="203">
        <f>D199-F199</f>
        <v>0</v>
      </c>
      <c r="I199" s="36"/>
      <c r="J199" s="52">
        <f>IF((F199&lt;&gt;0),(H199/F199),1)</f>
        <v>0</v>
      </c>
    </row>
    <row r="200" spans="1:10" s="328" customFormat="1" ht="15" customHeight="1" x14ac:dyDescent="0.2">
      <c r="B200" s="344" t="str">
        <f>'notas bce prueba1'!B109</f>
        <v>Edificios</v>
      </c>
      <c r="C200" s="344"/>
      <c r="D200" s="203">
        <f>'notas bce prueba1'!C109</f>
        <v>44427466</v>
      </c>
      <c r="E200" s="203"/>
      <c r="F200" s="203">
        <f>'notas bce prueba1'!D109</f>
        <v>44427466</v>
      </c>
      <c r="G200" s="203"/>
      <c r="H200" s="203">
        <f>D200-F200</f>
        <v>0</v>
      </c>
      <c r="I200" s="36"/>
      <c r="J200" s="52">
        <f>IF((F200&lt;&gt;0),(H200/F200),1)</f>
        <v>0</v>
      </c>
    </row>
    <row r="201" spans="1:10" s="328" customFormat="1" ht="15" customHeight="1" x14ac:dyDescent="0.2">
      <c r="B201" s="344" t="str">
        <f>'notas bce prueba1'!B110</f>
        <v>Maquinaria y equipo</v>
      </c>
      <c r="C201" s="344"/>
      <c r="D201" s="203">
        <f>'notas bce prueba1'!C110</f>
        <v>1051462</v>
      </c>
      <c r="E201" s="203"/>
      <c r="F201" s="203">
        <f>'notas bce prueba1'!D110</f>
        <v>1051462</v>
      </c>
      <c r="G201" s="203"/>
      <c r="H201" s="203">
        <f>D201-F201</f>
        <v>0</v>
      </c>
      <c r="I201" s="36"/>
      <c r="J201" s="52">
        <f>IF((F201&lt;&gt;0),(H201/F201),1)</f>
        <v>0</v>
      </c>
    </row>
    <row r="202" spans="1:10" s="328" customFormat="1" ht="9" customHeight="1" x14ac:dyDescent="0.2">
      <c r="B202" s="347"/>
      <c r="C202" s="347"/>
      <c r="D202" s="348"/>
      <c r="E202" s="348"/>
      <c r="F202" s="348"/>
      <c r="G202" s="348"/>
      <c r="H202" s="348"/>
      <c r="I202" s="359"/>
      <c r="J202" s="53"/>
    </row>
    <row r="203" spans="1:10" s="328" customFormat="1" ht="15" customHeight="1" x14ac:dyDescent="0.2">
      <c r="A203" s="361" t="str">
        <f>'notas bce prueba1'!A111</f>
        <v>Total Propiedad</v>
      </c>
      <c r="B203" s="361"/>
      <c r="C203" s="361"/>
      <c r="D203" s="362">
        <f>SUM(D199:D201)</f>
        <v>186499763</v>
      </c>
      <c r="E203" s="362"/>
      <c r="F203" s="362">
        <f>SUM(F199:F201)</f>
        <v>186499763</v>
      </c>
      <c r="G203" s="362"/>
      <c r="H203" s="362">
        <f>SUM(H199:H201)</f>
        <v>0</v>
      </c>
      <c r="I203" s="363"/>
      <c r="J203" s="364">
        <v>0</v>
      </c>
    </row>
    <row r="204" spans="1:10" s="328" customFormat="1" ht="10.5" customHeight="1" x14ac:dyDescent="0.2">
      <c r="A204" s="240"/>
      <c r="B204" s="240"/>
      <c r="C204" s="240"/>
      <c r="D204" s="204"/>
      <c r="E204" s="204"/>
      <c r="F204" s="204"/>
      <c r="G204" s="204"/>
      <c r="H204" s="204"/>
      <c r="J204" s="49"/>
    </row>
    <row r="205" spans="1:10" s="328" customFormat="1" ht="15" customHeight="1" x14ac:dyDescent="0.2">
      <c r="A205" s="345" t="str">
        <f>'notas bce prueba1'!A113</f>
        <v>TOTAL</v>
      </c>
      <c r="B205" s="345"/>
      <c r="C205" s="345"/>
      <c r="D205" s="197">
        <f>D203+D196</f>
        <v>186499763</v>
      </c>
      <c r="E205" s="197"/>
      <c r="F205" s="197">
        <f>F203+F196</f>
        <v>186944437</v>
      </c>
      <c r="G205" s="197"/>
      <c r="H205" s="197">
        <f>H203+H196</f>
        <v>-444674</v>
      </c>
      <c r="I205" s="3"/>
      <c r="J205" s="14">
        <f>H205/F205</f>
        <v>-2.378642591006867E-3</v>
      </c>
    </row>
    <row r="206" spans="1:10" s="328" customFormat="1" ht="15" customHeight="1" x14ac:dyDescent="0.2">
      <c r="A206" s="7"/>
      <c r="B206" s="7"/>
      <c r="C206" s="7"/>
      <c r="D206" s="198"/>
      <c r="E206" s="198"/>
      <c r="F206" s="198"/>
      <c r="G206" s="198"/>
      <c r="H206" s="198"/>
      <c r="I206" s="12"/>
      <c r="J206" s="17"/>
    </row>
    <row r="207" spans="1:10" s="254" customFormat="1" ht="18" x14ac:dyDescent="0.25">
      <c r="A207" s="37" t="str">
        <f>'notas bce prueba1'!A115</f>
        <v>11. OBLIGACIONES FINANCIERAS</v>
      </c>
      <c r="B207" s="240"/>
      <c r="C207" s="240"/>
      <c r="D207" s="257"/>
      <c r="E207" s="240"/>
      <c r="F207" s="257"/>
      <c r="G207" s="240"/>
      <c r="J207" s="49"/>
    </row>
    <row r="208" spans="1:10" s="328" customFormat="1" ht="8.25" customHeight="1" x14ac:dyDescent="0.2">
      <c r="A208" s="4"/>
      <c r="B208" s="240"/>
      <c r="C208" s="240"/>
      <c r="D208" s="257"/>
      <c r="E208" s="240"/>
      <c r="F208" s="257"/>
      <c r="G208" s="240"/>
      <c r="J208" s="49"/>
    </row>
    <row r="209" spans="1:10" s="328" customFormat="1" ht="15" customHeight="1" x14ac:dyDescent="0.2">
      <c r="A209" s="69"/>
      <c r="B209" s="69"/>
      <c r="C209" s="69"/>
      <c r="D209" s="66">
        <f>$D$6</f>
        <v>2013</v>
      </c>
      <c r="E209" s="67"/>
      <c r="F209" s="66">
        <f>$F$6</f>
        <v>2012</v>
      </c>
      <c r="G209" s="67"/>
      <c r="H209" s="68" t="str">
        <f>$H$6</f>
        <v>DIFERENCIA</v>
      </c>
      <c r="I209" s="66"/>
      <c r="J209" s="295" t="str">
        <f>$J$6</f>
        <v>DIFERENCIA</v>
      </c>
    </row>
    <row r="210" spans="1:10" s="328" customFormat="1" ht="15" customHeight="1" x14ac:dyDescent="0.2">
      <c r="A210" s="69"/>
      <c r="B210" s="69"/>
      <c r="C210" s="69"/>
      <c r="D210" s="67"/>
      <c r="E210" s="67"/>
      <c r="F210" s="67"/>
      <c r="G210" s="67"/>
      <c r="H210" s="68" t="str">
        <f>$H$7</f>
        <v>EN $</v>
      </c>
      <c r="I210" s="296"/>
      <c r="J210" s="295" t="str">
        <f>$J$7</f>
        <v>EN %</v>
      </c>
    </row>
    <row r="211" spans="1:10" s="243" customFormat="1" ht="11.25" customHeight="1" x14ac:dyDescent="0.2">
      <c r="A211" s="369"/>
      <c r="B211" s="369"/>
      <c r="C211" s="369"/>
      <c r="D211" s="370"/>
      <c r="E211" s="370"/>
      <c r="F211" s="370"/>
      <c r="G211" s="370"/>
      <c r="H211" s="371"/>
      <c r="I211" s="372"/>
      <c r="J211" s="373"/>
    </row>
    <row r="212" spans="1:10" s="254" customFormat="1" ht="15" customHeight="1" x14ac:dyDescent="0.25">
      <c r="A212" s="40" t="str">
        <f>'notas bce prueba1'!A117</f>
        <v>CORRIENTES</v>
      </c>
      <c r="B212" s="241"/>
      <c r="C212" s="241"/>
      <c r="D212" s="92"/>
      <c r="E212" s="241"/>
      <c r="F212" s="242"/>
      <c r="G212" s="241"/>
      <c r="H212" s="259"/>
      <c r="I212" s="259"/>
      <c r="J212" s="82"/>
    </row>
    <row r="213" spans="1:10" s="328" customFormat="1" ht="15" customHeight="1" x14ac:dyDescent="0.2">
      <c r="A213" s="240" t="str">
        <f>'notas bce prueba1'!A118</f>
        <v>Bancos</v>
      </c>
      <c r="D213" s="257"/>
      <c r="F213" s="257"/>
      <c r="J213" s="49"/>
    </row>
    <row r="214" spans="1:10" s="328" customFormat="1" ht="15" customHeight="1" x14ac:dyDescent="0.2">
      <c r="A214" s="240"/>
      <c r="B214" s="344" t="str">
        <f>'notas bce prueba1'!B119</f>
        <v>Banco Bogota</v>
      </c>
      <c r="C214" s="344"/>
      <c r="D214" s="342">
        <f>'notas bce prueba1'!C119</f>
        <v>159089</v>
      </c>
      <c r="E214" s="342"/>
      <c r="F214" s="203">
        <f>'notas bce prueba1'!D119</f>
        <v>0</v>
      </c>
      <c r="G214" s="342"/>
      <c r="H214" s="342">
        <f>D214-F214</f>
        <v>159089</v>
      </c>
      <c r="I214" s="36"/>
      <c r="J214" s="52">
        <v>0</v>
      </c>
    </row>
    <row r="215" spans="1:10" s="328" customFormat="1" ht="15" customHeight="1" x14ac:dyDescent="0.2">
      <c r="A215" s="240"/>
      <c r="B215" s="344" t="str">
        <f>'notas bce prueba1'!B120</f>
        <v>Banco popular</v>
      </c>
      <c r="C215" s="344"/>
      <c r="D215" s="342">
        <f>'notas bce prueba1'!C120</f>
        <v>0</v>
      </c>
      <c r="E215" s="342"/>
      <c r="F215" s="203">
        <f>'notas bce prueba1'!D120</f>
        <v>1250000</v>
      </c>
      <c r="G215" s="342"/>
      <c r="H215" s="342">
        <f>D215-F215</f>
        <v>-1250000</v>
      </c>
      <c r="I215" s="36"/>
      <c r="J215" s="52">
        <v>0</v>
      </c>
    </row>
    <row r="216" spans="1:10" s="328" customFormat="1" ht="15" customHeight="1" x14ac:dyDescent="0.2">
      <c r="A216" s="240"/>
      <c r="B216" s="344" t="str">
        <f>'notas bce prueba1'!B121</f>
        <v>Bancolombia</v>
      </c>
      <c r="C216" s="344"/>
      <c r="D216" s="342">
        <f>'notas bce prueba1'!C121</f>
        <v>1750000</v>
      </c>
      <c r="E216" s="203"/>
      <c r="F216" s="203">
        <f>'notas bce prueba1'!D121</f>
        <v>1750000</v>
      </c>
      <c r="G216" s="203"/>
      <c r="H216" s="203">
        <f>D216-F216</f>
        <v>0</v>
      </c>
      <c r="I216" s="36"/>
      <c r="J216" s="52">
        <f>IF((F216&lt;&gt;0),(H216/F216),1)</f>
        <v>0</v>
      </c>
    </row>
    <row r="217" spans="1:10" s="328" customFormat="1" ht="15" customHeight="1" x14ac:dyDescent="0.2">
      <c r="A217" s="240"/>
      <c r="B217" s="344" t="str">
        <f>'notas bce prueba1'!B122</f>
        <v>Leasing bancolombia</v>
      </c>
      <c r="C217" s="344"/>
      <c r="D217" s="342">
        <f>'notas bce prueba1'!C122</f>
        <v>118989</v>
      </c>
      <c r="E217" s="203"/>
      <c r="F217" s="203">
        <f>'notas bce prueba1'!D122</f>
        <v>2950000</v>
      </c>
      <c r="G217" s="203"/>
      <c r="H217" s="342">
        <f>D217-F217</f>
        <v>-2831011</v>
      </c>
      <c r="I217" s="36"/>
      <c r="J217" s="52">
        <f>IF((F217&lt;&gt;0),(H217/F217),1)</f>
        <v>-0.95966474576271188</v>
      </c>
    </row>
    <row r="218" spans="1:10" s="328" customFormat="1" ht="15" customHeight="1" x14ac:dyDescent="0.2">
      <c r="A218" s="240"/>
      <c r="B218" s="240"/>
      <c r="C218" s="240"/>
      <c r="D218" s="366"/>
      <c r="E218" s="204"/>
      <c r="F218" s="204"/>
      <c r="G218" s="204"/>
      <c r="H218" s="204"/>
      <c r="J218" s="49"/>
    </row>
    <row r="219" spans="1:10" s="328" customFormat="1" ht="15" customHeight="1" x14ac:dyDescent="0.2">
      <c r="A219" s="345" t="str">
        <f>'notas bce prueba1'!A123</f>
        <v>Subtotal Corriente</v>
      </c>
      <c r="B219" s="345"/>
      <c r="C219" s="345"/>
      <c r="D219" s="367">
        <f>SUM(D214:D218)</f>
        <v>2028078</v>
      </c>
      <c r="E219" s="197"/>
      <c r="F219" s="367">
        <f>SUM(F214:F218)</f>
        <v>5950000</v>
      </c>
      <c r="G219" s="197"/>
      <c r="H219" s="367">
        <f>SUM(H214:H218)</f>
        <v>-3921922</v>
      </c>
      <c r="I219" s="3"/>
      <c r="J219" s="14">
        <f>H219/F219</f>
        <v>-0.65914655462184879</v>
      </c>
    </row>
    <row r="220" spans="1:10" s="328" customFormat="1" ht="10.5" customHeight="1" x14ac:dyDescent="0.2">
      <c r="A220" s="240"/>
      <c r="B220" s="240"/>
      <c r="C220" s="240"/>
      <c r="D220" s="366"/>
      <c r="E220" s="204"/>
      <c r="F220" s="204"/>
      <c r="G220" s="204"/>
      <c r="H220" s="204"/>
      <c r="J220" s="49"/>
    </row>
    <row r="221" spans="1:10" s="254" customFormat="1" ht="15" customHeight="1" x14ac:dyDescent="0.25">
      <c r="A221" s="40" t="str">
        <f>'notas bce prueba1'!A125</f>
        <v>NO CORRIENTES</v>
      </c>
      <c r="B221" s="241"/>
      <c r="C221" s="241"/>
      <c r="D221" s="209"/>
      <c r="E221" s="208"/>
      <c r="F221" s="208"/>
      <c r="G221" s="208"/>
      <c r="H221" s="208"/>
      <c r="I221" s="259"/>
      <c r="J221" s="82"/>
    </row>
    <row r="222" spans="1:10" s="328" customFormat="1" ht="15" customHeight="1" x14ac:dyDescent="0.2">
      <c r="A222" s="240" t="str">
        <f>'notas bce prueba1'!A127</f>
        <v>Bancos</v>
      </c>
      <c r="B222" s="240"/>
      <c r="C222" s="240"/>
      <c r="D222" s="366"/>
      <c r="E222" s="204"/>
      <c r="F222" s="204"/>
      <c r="G222" s="204"/>
      <c r="H222" s="204"/>
      <c r="J222" s="49"/>
    </row>
    <row r="223" spans="1:10" s="328" customFormat="1" ht="15" customHeight="1" x14ac:dyDescent="0.2">
      <c r="A223" s="240"/>
      <c r="B223" s="344" t="str">
        <f>'notas bce prueba1'!B128</f>
        <v>Banco popular</v>
      </c>
      <c r="C223" s="344"/>
      <c r="D223" s="342">
        <f>'notas bce prueba1'!C128</f>
        <v>0</v>
      </c>
      <c r="E223" s="203"/>
      <c r="F223" s="342">
        <f>'notas bce prueba1'!D128</f>
        <v>3750000</v>
      </c>
      <c r="G223" s="203"/>
      <c r="H223" s="203">
        <f>D223-F223</f>
        <v>-3750000</v>
      </c>
      <c r="I223" s="36"/>
      <c r="J223" s="52">
        <f>IF((F223&lt;&gt;0),(H223/F223),1)</f>
        <v>-1</v>
      </c>
    </row>
    <row r="224" spans="1:10" s="328" customFormat="1" ht="15" customHeight="1" x14ac:dyDescent="0.2">
      <c r="A224" s="240"/>
      <c r="B224" s="344" t="str">
        <f>'notas bce prueba1'!B129</f>
        <v>Bancolombia</v>
      </c>
      <c r="C224" s="344"/>
      <c r="D224" s="342">
        <f>'notas bce prueba1'!C129</f>
        <v>0</v>
      </c>
      <c r="E224" s="203"/>
      <c r="F224" s="342">
        <f>'notas bce prueba1'!D129</f>
        <v>1750000</v>
      </c>
      <c r="G224" s="203"/>
      <c r="H224" s="203">
        <f>D224-F224</f>
        <v>-1750000</v>
      </c>
      <c r="I224" s="36"/>
      <c r="J224" s="52">
        <f>IF((F224&lt;&gt;0),(H224/F224),1)</f>
        <v>-1</v>
      </c>
    </row>
    <row r="225" spans="1:10" s="328" customFormat="1" ht="15" customHeight="1" x14ac:dyDescent="0.2">
      <c r="A225" s="240"/>
      <c r="B225" s="344" t="str">
        <f>'notas bce prueba1'!B130</f>
        <v>Leasing bancolombia</v>
      </c>
      <c r="C225" s="344"/>
      <c r="D225" s="342">
        <f>'notas bce prueba1'!C130</f>
        <v>0</v>
      </c>
      <c r="E225" s="203"/>
      <c r="F225" s="342">
        <f>'notas bce prueba1'!D130</f>
        <v>0</v>
      </c>
      <c r="G225" s="203"/>
      <c r="H225" s="203">
        <f>D225-F225</f>
        <v>0</v>
      </c>
      <c r="I225" s="36"/>
      <c r="J225" s="52">
        <f>IF((F225&lt;&gt;0),(H225/F225),1)</f>
        <v>1</v>
      </c>
    </row>
    <row r="226" spans="1:10" s="328" customFormat="1" ht="15" customHeight="1" x14ac:dyDescent="0.2">
      <c r="A226" s="240"/>
      <c r="B226" s="240"/>
      <c r="C226" s="240"/>
      <c r="D226" s="366"/>
      <c r="E226" s="204"/>
      <c r="F226" s="204"/>
      <c r="G226" s="204"/>
      <c r="H226" s="204"/>
      <c r="J226" s="49"/>
    </row>
    <row r="227" spans="1:10" s="328" customFormat="1" ht="15" customHeight="1" x14ac:dyDescent="0.2">
      <c r="A227" s="240" t="str">
        <f>'notas bce prueba1'!A131</f>
        <v>Otras obligaciones</v>
      </c>
      <c r="B227" s="240"/>
      <c r="C227" s="240"/>
      <c r="D227" s="204"/>
      <c r="E227" s="204"/>
      <c r="F227" s="204"/>
      <c r="G227" s="204"/>
      <c r="H227" s="204"/>
      <c r="J227" s="49"/>
    </row>
    <row r="228" spans="1:10" s="328" customFormat="1" ht="15" customHeight="1" x14ac:dyDescent="0.2">
      <c r="A228" s="240"/>
      <c r="B228" s="344" t="str">
        <f>'notas bce prueba1'!B132</f>
        <v>Con particulares</v>
      </c>
      <c r="C228" s="344"/>
      <c r="D228" s="203">
        <f>'notas bce prueba1'!C132</f>
        <v>4871</v>
      </c>
      <c r="E228" s="203"/>
      <c r="F228" s="203">
        <f>'notas bce prueba1'!D132</f>
        <v>14372</v>
      </c>
      <c r="G228" s="203"/>
      <c r="H228" s="203">
        <f>D228-F228</f>
        <v>-9501</v>
      </c>
      <c r="I228" s="36"/>
      <c r="J228" s="52">
        <f>IF((F228&lt;&gt;0),(H228/F228),1)</f>
        <v>-0.66107709435012529</v>
      </c>
    </row>
    <row r="229" spans="1:10" s="328" customFormat="1" ht="15" customHeight="1" x14ac:dyDescent="0.2">
      <c r="A229" s="240"/>
      <c r="B229" s="240"/>
      <c r="C229" s="240"/>
      <c r="D229" s="204"/>
      <c r="E229" s="204"/>
      <c r="F229" s="204"/>
      <c r="G229" s="204"/>
      <c r="H229" s="204"/>
      <c r="J229" s="49"/>
    </row>
    <row r="230" spans="1:10" s="328" customFormat="1" ht="15" customHeight="1" x14ac:dyDescent="0.2">
      <c r="A230" s="345" t="str">
        <f>'notas bce prueba1'!A134</f>
        <v>Subtotal no Corrientes</v>
      </c>
      <c r="B230" s="345"/>
      <c r="C230" s="345"/>
      <c r="D230" s="197">
        <f>SUM(D223:D228)</f>
        <v>4871</v>
      </c>
      <c r="E230" s="197"/>
      <c r="F230" s="197">
        <f>SUM(F223:F228)</f>
        <v>5514372</v>
      </c>
      <c r="G230" s="197"/>
      <c r="H230" s="197">
        <f>SUM(H223:H228)</f>
        <v>-5509501</v>
      </c>
      <c r="I230" s="3"/>
      <c r="J230" s="14">
        <f>H230/F230</f>
        <v>-0.99911667185311404</v>
      </c>
    </row>
    <row r="231" spans="1:10" s="328" customFormat="1" ht="7.5" customHeight="1" x14ac:dyDescent="0.2">
      <c r="A231" s="7"/>
      <c r="B231" s="7"/>
      <c r="C231" s="7"/>
      <c r="D231" s="13"/>
      <c r="E231" s="7"/>
      <c r="F231" s="13"/>
      <c r="G231" s="7"/>
      <c r="H231" s="368"/>
      <c r="I231" s="12"/>
      <c r="J231" s="17"/>
    </row>
    <row r="232" spans="1:10" s="328" customFormat="1" ht="15" customHeight="1" x14ac:dyDescent="0.2">
      <c r="A232" s="345" t="str">
        <f>'notas bce prueba1'!A136</f>
        <v>TOTAL</v>
      </c>
      <c r="B232" s="345"/>
      <c r="C232" s="345"/>
      <c r="D232" s="197">
        <f>+D219+D230</f>
        <v>2032949</v>
      </c>
      <c r="E232" s="197"/>
      <c r="F232" s="197">
        <f>+F219+F230</f>
        <v>11464372</v>
      </c>
      <c r="G232" s="197"/>
      <c r="H232" s="197">
        <f>+H219+H230</f>
        <v>-9431423</v>
      </c>
      <c r="I232" s="3"/>
      <c r="J232" s="14">
        <f>H232/F232</f>
        <v>-0.82267244991701249</v>
      </c>
    </row>
    <row r="233" spans="1:10" s="328" customFormat="1" ht="15" customHeight="1" x14ac:dyDescent="0.2">
      <c r="A233" s="422"/>
      <c r="B233" s="422"/>
      <c r="C233" s="422"/>
      <c r="D233" s="423"/>
      <c r="E233" s="422"/>
      <c r="F233" s="423"/>
      <c r="G233" s="422"/>
      <c r="H233" s="424"/>
      <c r="I233" s="425"/>
      <c r="J233" s="426"/>
    </row>
    <row r="234" spans="1:10" s="254" customFormat="1" ht="18" x14ac:dyDescent="0.25">
      <c r="A234" s="37" t="str">
        <f>'notas bce prueba1'!A138</f>
        <v>12. CUENTAS POR PAGAR</v>
      </c>
      <c r="B234" s="241"/>
      <c r="C234" s="241"/>
      <c r="D234" s="242"/>
      <c r="E234" s="241"/>
      <c r="F234" s="242"/>
      <c r="G234" s="241"/>
      <c r="H234" s="259"/>
      <c r="I234" s="259"/>
      <c r="J234" s="82"/>
    </row>
    <row r="235" spans="1:10" s="328" customFormat="1" ht="11.25" customHeight="1" x14ac:dyDescent="0.2">
      <c r="A235" s="240"/>
      <c r="B235" s="240"/>
      <c r="C235" s="240"/>
      <c r="D235" s="257"/>
      <c r="E235" s="240"/>
      <c r="F235" s="257"/>
      <c r="G235" s="240"/>
      <c r="J235" s="49"/>
    </row>
    <row r="236" spans="1:10" s="328" customFormat="1" ht="15" customHeight="1" x14ac:dyDescent="0.2">
      <c r="A236" s="69"/>
      <c r="B236" s="69"/>
      <c r="C236" s="69"/>
      <c r="D236" s="66">
        <f>$D$6</f>
        <v>2013</v>
      </c>
      <c r="E236" s="67"/>
      <c r="F236" s="66">
        <f>$F$6</f>
        <v>2012</v>
      </c>
      <c r="G236" s="67"/>
      <c r="H236" s="68" t="str">
        <f>$H$6</f>
        <v>DIFERENCIA</v>
      </c>
      <c r="I236" s="66"/>
      <c r="J236" s="295" t="str">
        <f>$J$6</f>
        <v>DIFERENCIA</v>
      </c>
    </row>
    <row r="237" spans="1:10" s="328" customFormat="1" ht="15" customHeight="1" x14ac:dyDescent="0.2">
      <c r="A237" s="69"/>
      <c r="B237" s="69"/>
      <c r="C237" s="69"/>
      <c r="D237" s="67"/>
      <c r="E237" s="67"/>
      <c r="F237" s="67"/>
      <c r="G237" s="67"/>
      <c r="H237" s="68" t="str">
        <f>$H$7</f>
        <v>EN $</v>
      </c>
      <c r="I237" s="296"/>
      <c r="J237" s="295" t="str">
        <f>$J$7</f>
        <v>EN %</v>
      </c>
    </row>
    <row r="238" spans="1:10" s="328" customFormat="1" ht="15" customHeight="1" x14ac:dyDescent="0.2">
      <c r="A238" s="350"/>
      <c r="B238" s="350"/>
      <c r="C238" s="350"/>
      <c r="D238" s="300"/>
      <c r="E238" s="350"/>
      <c r="F238" s="300"/>
      <c r="G238" s="350"/>
      <c r="H238" s="95"/>
      <c r="I238" s="95"/>
      <c r="J238" s="50"/>
    </row>
    <row r="239" spans="1:10" s="328" customFormat="1" ht="15" customHeight="1" x14ac:dyDescent="0.2">
      <c r="A239" s="374"/>
      <c r="B239" s="375"/>
      <c r="C239" s="375"/>
      <c r="D239" s="357"/>
      <c r="E239" s="375"/>
      <c r="F239" s="357"/>
      <c r="G239" s="375"/>
      <c r="H239" s="376"/>
      <c r="I239" s="377"/>
      <c r="J239" s="378"/>
    </row>
    <row r="240" spans="1:10" s="328" customFormat="1" ht="15" customHeight="1" x14ac:dyDescent="0.2">
      <c r="A240" s="344" t="str">
        <f>'notas bce prueba1'!A140</f>
        <v>Costos y gastos por pagar</v>
      </c>
      <c r="B240" s="344"/>
      <c r="C240" s="375"/>
      <c r="D240" s="349">
        <f>'notas bce prueba1'!C140</f>
        <v>4928546</v>
      </c>
      <c r="E240" s="349"/>
      <c r="F240" s="349">
        <f>'notas bce prueba1'!D140</f>
        <v>4434833</v>
      </c>
      <c r="G240" s="349"/>
      <c r="H240" s="203">
        <f>D240-F240</f>
        <v>493713</v>
      </c>
      <c r="I240" s="36"/>
      <c r="J240" s="52">
        <f>IF((F240&lt;&gt;0),(H240/F240),1)</f>
        <v>0.11132617620550762</v>
      </c>
    </row>
    <row r="241" spans="1:10" s="328" customFormat="1" ht="15" customHeight="1" x14ac:dyDescent="0.2">
      <c r="A241" s="344" t="str">
        <f>'notas bce prueba1'!A141</f>
        <v>Retenciones y aportes de nómina</v>
      </c>
      <c r="B241" s="344"/>
      <c r="C241" s="375"/>
      <c r="D241" s="349">
        <f>'notas bce prueba1'!C141</f>
        <v>2743743</v>
      </c>
      <c r="E241" s="349"/>
      <c r="F241" s="349">
        <f>'notas bce prueba1'!D141</f>
        <v>2374582</v>
      </c>
      <c r="G241" s="349"/>
      <c r="H241" s="349">
        <f>D241-F241</f>
        <v>369161</v>
      </c>
      <c r="I241" s="36"/>
      <c r="J241" s="52">
        <f>IF((F241&lt;&gt;0),(H241/F241),1)</f>
        <v>0.15546357211500803</v>
      </c>
    </row>
    <row r="242" spans="1:10" s="328" customFormat="1" ht="15" customHeight="1" x14ac:dyDescent="0.2">
      <c r="A242" s="344" t="str">
        <f>'notas bce prueba1'!A142</f>
        <v>Acreedores varios</v>
      </c>
      <c r="B242" s="344"/>
      <c r="C242" s="344"/>
      <c r="D242" s="349">
        <f>'notas bce prueba1'!C142</f>
        <v>333696</v>
      </c>
      <c r="E242" s="349"/>
      <c r="F242" s="349">
        <f>'notas bce prueba1'!D142</f>
        <v>285779</v>
      </c>
      <c r="G242" s="349"/>
      <c r="H242" s="349">
        <f>D242-F242</f>
        <v>47917</v>
      </c>
      <c r="I242" s="36"/>
      <c r="J242" s="52">
        <f>IF((F242&lt;&gt;0),(H242/F242),1)</f>
        <v>0.16767152240017635</v>
      </c>
    </row>
    <row r="243" spans="1:10" s="328" customFormat="1" ht="15" customHeight="1" x14ac:dyDescent="0.2">
      <c r="A243" s="344" t="str">
        <f>'notas bce prueba1'!A143</f>
        <v>Retención en la fuente por pagar</v>
      </c>
      <c r="B243" s="344"/>
      <c r="C243" s="344"/>
      <c r="D243" s="349">
        <f>'notas bce prueba1'!C143</f>
        <v>1167085</v>
      </c>
      <c r="E243" s="203"/>
      <c r="F243" s="349">
        <f>'notas bce prueba1'!D143</f>
        <v>948141</v>
      </c>
      <c r="G243" s="203"/>
      <c r="H243" s="203">
        <f>D243-F243</f>
        <v>218944</v>
      </c>
      <c r="I243" s="36"/>
      <c r="J243" s="52">
        <f>IF((F243&lt;&gt;0),(H243/F243),1)</f>
        <v>0.23091924091458971</v>
      </c>
    </row>
    <row r="244" spans="1:10" s="328" customFormat="1" ht="12" customHeight="1" x14ac:dyDescent="0.2">
      <c r="A244" s="240"/>
      <c r="B244" s="240"/>
      <c r="C244" s="240"/>
      <c r="D244" s="203"/>
      <c r="E244" s="204"/>
      <c r="F244" s="204"/>
      <c r="G244" s="204"/>
      <c r="H244" s="204"/>
      <c r="J244" s="49"/>
    </row>
    <row r="245" spans="1:10" s="328" customFormat="1" ht="15" customHeight="1" x14ac:dyDescent="0.2">
      <c r="A245" s="345" t="str">
        <f>'notas bce prueba1'!A145</f>
        <v>TOTAL</v>
      </c>
      <c r="B245" s="345"/>
      <c r="C245" s="345"/>
      <c r="D245" s="197">
        <f>SUM(D240:D244)</f>
        <v>9173070</v>
      </c>
      <c r="E245" s="197"/>
      <c r="F245" s="197">
        <f>SUM(F240:F244)</f>
        <v>8043335</v>
      </c>
      <c r="G245" s="197"/>
      <c r="H245" s="197">
        <f>SUM(H240:H244)</f>
        <v>1129735</v>
      </c>
      <c r="I245" s="3"/>
      <c r="J245" s="14">
        <f>H245/F245</f>
        <v>0.14045604217653498</v>
      </c>
    </row>
    <row r="246" spans="1:10" s="328" customFormat="1" ht="15" customHeight="1" x14ac:dyDescent="0.2">
      <c r="A246" s="240"/>
      <c r="B246" s="240"/>
      <c r="C246" s="240"/>
      <c r="D246" s="257"/>
      <c r="E246" s="240"/>
      <c r="F246" s="257"/>
      <c r="G246" s="240"/>
      <c r="J246" s="49"/>
    </row>
    <row r="247" spans="1:10" s="254" customFormat="1" ht="18" x14ac:dyDescent="0.25">
      <c r="A247" s="37" t="str">
        <f>'notas bce prueba1'!A148</f>
        <v>13. OBLIGACIONES LABORALES</v>
      </c>
      <c r="B247" s="240"/>
      <c r="C247" s="240"/>
      <c r="D247" s="257"/>
      <c r="E247" s="240"/>
      <c r="F247" s="257"/>
      <c r="G247" s="240"/>
      <c r="J247" s="49"/>
    </row>
    <row r="248" spans="1:10" s="328" customFormat="1" ht="10.5" customHeight="1" x14ac:dyDescent="0.2">
      <c r="A248" s="4"/>
      <c r="B248" s="240"/>
      <c r="C248" s="240"/>
      <c r="D248" s="257"/>
      <c r="E248" s="240"/>
      <c r="F248" s="257"/>
      <c r="G248" s="240"/>
      <c r="J248" s="49"/>
    </row>
    <row r="249" spans="1:10" s="328" customFormat="1" ht="15" customHeight="1" x14ac:dyDescent="0.2">
      <c r="A249" s="69"/>
      <c r="B249" s="69"/>
      <c r="C249" s="69"/>
      <c r="D249" s="66">
        <f>$D$6</f>
        <v>2013</v>
      </c>
      <c r="E249" s="67"/>
      <c r="F249" s="66">
        <f>$F$6</f>
        <v>2012</v>
      </c>
      <c r="G249" s="67"/>
      <c r="H249" s="68" t="str">
        <f>$H$6</f>
        <v>DIFERENCIA</v>
      </c>
      <c r="I249" s="66"/>
      <c r="J249" s="295" t="str">
        <f>$J$6</f>
        <v>DIFERENCIA</v>
      </c>
    </row>
    <row r="250" spans="1:10" s="328" customFormat="1" ht="15" customHeight="1" x14ac:dyDescent="0.2">
      <c r="A250" s="69"/>
      <c r="B250" s="69"/>
      <c r="C250" s="69"/>
      <c r="D250" s="67"/>
      <c r="E250" s="67"/>
      <c r="F250" s="67"/>
      <c r="G250" s="67"/>
      <c r="H250" s="68" t="str">
        <f>$H$7</f>
        <v>EN $</v>
      </c>
      <c r="I250" s="296"/>
      <c r="J250" s="295" t="str">
        <f>$J$7</f>
        <v>EN %</v>
      </c>
    </row>
    <row r="251" spans="1:10" s="328" customFormat="1" ht="15" customHeight="1" x14ac:dyDescent="0.2">
      <c r="A251" s="240"/>
      <c r="B251" s="240"/>
      <c r="C251" s="240"/>
      <c r="D251" s="257"/>
      <c r="E251" s="240"/>
      <c r="F251" s="257"/>
      <c r="G251" s="240"/>
      <c r="J251" s="49"/>
    </row>
    <row r="252" spans="1:10" s="328" customFormat="1" ht="15" customHeight="1" x14ac:dyDescent="0.2">
      <c r="A252" s="379" t="str">
        <f>'notas bce prueba1'!A150</f>
        <v>Salarios por pagar</v>
      </c>
      <c r="B252" s="379"/>
      <c r="C252" s="379"/>
      <c r="D252" s="203">
        <f>'notas bce prueba1'!C150</f>
        <v>30359</v>
      </c>
      <c r="E252" s="203"/>
      <c r="F252" s="203">
        <f>'notas bce prueba1'!D150</f>
        <v>30359</v>
      </c>
      <c r="G252" s="203"/>
      <c r="H252" s="203">
        <f>D252-F252</f>
        <v>0</v>
      </c>
      <c r="I252" s="36"/>
      <c r="J252" s="52">
        <f>IF((F252&lt;&gt;0),(H252/F252),1)</f>
        <v>0</v>
      </c>
    </row>
    <row r="253" spans="1:10" s="328" customFormat="1" ht="12.75" x14ac:dyDescent="0.2">
      <c r="A253" s="379" t="str">
        <f>'notas bce prueba1'!A151</f>
        <v>Cesantías consolidadas</v>
      </c>
      <c r="B253" s="379"/>
      <c r="C253" s="379"/>
      <c r="D253" s="203">
        <f>'notas bce prueba1'!C151</f>
        <v>3200000</v>
      </c>
      <c r="E253" s="203"/>
      <c r="F253" s="203">
        <f>'notas bce prueba1'!D151</f>
        <v>2802034</v>
      </c>
      <c r="G253" s="203"/>
      <c r="H253" s="203">
        <f>D253-F253</f>
        <v>397966</v>
      </c>
      <c r="I253" s="36"/>
      <c r="J253" s="52">
        <f>IF((F253&lt;&gt;0),(H253/F253),1)</f>
        <v>0.14202754142169582</v>
      </c>
    </row>
    <row r="254" spans="1:10" s="328" customFormat="1" ht="12.75" x14ac:dyDescent="0.2">
      <c r="A254" s="379" t="str">
        <f>'notas bce prueba1'!A152</f>
        <v>Intereses sobre las cesantías por pagar</v>
      </c>
      <c r="B254" s="379"/>
      <c r="C254" s="379"/>
      <c r="D254" s="203">
        <f>'notas bce prueba1'!C152</f>
        <v>401442</v>
      </c>
      <c r="E254" s="203"/>
      <c r="F254" s="203">
        <f>'notas bce prueba1'!D152</f>
        <v>343583</v>
      </c>
      <c r="G254" s="203"/>
      <c r="H254" s="203">
        <f>D254-F254</f>
        <v>57859</v>
      </c>
      <c r="I254" s="36"/>
      <c r="J254" s="52">
        <f>IF((F254&lt;&gt;0),(H254/F254),1)</f>
        <v>0.16839890215755726</v>
      </c>
    </row>
    <row r="255" spans="1:10" s="328" customFormat="1" ht="15" customHeight="1" x14ac:dyDescent="0.2">
      <c r="A255" s="379" t="str">
        <f>'notas bce prueba1'!A153</f>
        <v>Vacaciones consolidadas</v>
      </c>
      <c r="B255" s="379"/>
      <c r="C255" s="379"/>
      <c r="D255" s="203">
        <f>'notas bce prueba1'!C153</f>
        <v>493796</v>
      </c>
      <c r="E255" s="203"/>
      <c r="F255" s="203">
        <f>'notas bce prueba1'!D153</f>
        <v>493796</v>
      </c>
      <c r="G255" s="203"/>
      <c r="H255" s="203">
        <f>D255-F255</f>
        <v>0</v>
      </c>
      <c r="I255" s="36"/>
      <c r="J255" s="52">
        <f>IF((F255&lt;&gt;0),(H255/F255),1)</f>
        <v>0</v>
      </c>
    </row>
    <row r="256" spans="1:10" s="328" customFormat="1" ht="15" customHeight="1" x14ac:dyDescent="0.2">
      <c r="A256" s="240"/>
      <c r="B256" s="240"/>
      <c r="C256" s="240"/>
      <c r="D256" s="204"/>
      <c r="E256" s="204"/>
      <c r="F256" s="204"/>
      <c r="G256" s="204"/>
      <c r="H256" s="204"/>
      <c r="J256" s="49"/>
    </row>
    <row r="257" spans="1:10" s="328" customFormat="1" ht="15" customHeight="1" x14ac:dyDescent="0.2">
      <c r="A257" s="345" t="str">
        <f>'notas bce prueba1'!A154</f>
        <v>TOTAL</v>
      </c>
      <c r="B257" s="345"/>
      <c r="C257" s="345"/>
      <c r="D257" s="197">
        <f>SUM(D252:D256)</f>
        <v>4125597</v>
      </c>
      <c r="E257" s="197"/>
      <c r="F257" s="197">
        <f>SUM(F252:F256)</f>
        <v>3669772</v>
      </c>
      <c r="G257" s="197"/>
      <c r="H257" s="197">
        <f>SUM(H252:H256)</f>
        <v>455825</v>
      </c>
      <c r="I257" s="3"/>
      <c r="J257" s="14">
        <f>H257/F257</f>
        <v>0.124210713908112</v>
      </c>
    </row>
    <row r="258" spans="1:10" s="328" customFormat="1" ht="15" customHeight="1" x14ac:dyDescent="0.2">
      <c r="A258" s="7"/>
      <c r="B258" s="7"/>
      <c r="C258" s="7"/>
      <c r="D258" s="13"/>
      <c r="E258" s="7"/>
      <c r="F258" s="13"/>
      <c r="G258" s="7"/>
      <c r="H258" s="13"/>
      <c r="I258" s="12"/>
      <c r="J258" s="17"/>
    </row>
    <row r="259" spans="1:10" s="328" customFormat="1" ht="15" customHeight="1" x14ac:dyDescent="0.2">
      <c r="A259" s="7"/>
      <c r="B259" s="7"/>
      <c r="C259" s="7"/>
      <c r="D259" s="13"/>
      <c r="E259" s="7"/>
      <c r="F259" s="13"/>
      <c r="G259" s="7"/>
      <c r="H259" s="13"/>
      <c r="I259" s="12"/>
      <c r="J259" s="17"/>
    </row>
    <row r="260" spans="1:10" s="328" customFormat="1" ht="15" customHeight="1" x14ac:dyDescent="0.2">
      <c r="A260" s="7"/>
      <c r="B260" s="7"/>
      <c r="C260" s="7"/>
      <c r="D260" s="13"/>
      <c r="E260" s="7"/>
      <c r="F260" s="13"/>
      <c r="G260" s="7"/>
      <c r="H260" s="13"/>
      <c r="I260" s="12"/>
      <c r="J260" s="17"/>
    </row>
    <row r="261" spans="1:10" s="254" customFormat="1" ht="18" x14ac:dyDescent="0.25">
      <c r="A261" s="41" t="str">
        <f>'notas bce prueba1'!A156</f>
        <v>14. DIFERIDOS</v>
      </c>
      <c r="B261" s="39"/>
      <c r="C261" s="240"/>
      <c r="D261" s="257"/>
      <c r="E261" s="240"/>
      <c r="F261" s="257"/>
      <c r="G261" s="240"/>
      <c r="J261" s="49"/>
    </row>
    <row r="262" spans="1:10" s="328" customFormat="1" ht="21.75" customHeight="1" x14ac:dyDescent="0.2">
      <c r="A262" s="380"/>
      <c r="B262" s="380"/>
      <c r="C262" s="240"/>
      <c r="D262" s="257"/>
      <c r="E262" s="240"/>
      <c r="F262" s="257"/>
      <c r="G262" s="240"/>
      <c r="J262" s="49"/>
    </row>
    <row r="263" spans="1:10" s="328" customFormat="1" ht="15" customHeight="1" x14ac:dyDescent="0.2">
      <c r="A263" s="69"/>
      <c r="B263" s="69"/>
      <c r="C263" s="69"/>
      <c r="D263" s="66">
        <f>$D$6</f>
        <v>2013</v>
      </c>
      <c r="E263" s="67"/>
      <c r="F263" s="66">
        <f>$F$6</f>
        <v>2012</v>
      </c>
      <c r="G263" s="67"/>
      <c r="H263" s="68" t="str">
        <f>$H$6</f>
        <v>DIFERENCIA</v>
      </c>
      <c r="I263" s="66"/>
      <c r="J263" s="295" t="str">
        <f>$J$6</f>
        <v>DIFERENCIA</v>
      </c>
    </row>
    <row r="264" spans="1:10" s="328" customFormat="1" ht="15" customHeight="1" x14ac:dyDescent="0.2">
      <c r="A264" s="69"/>
      <c r="B264" s="69"/>
      <c r="C264" s="69"/>
      <c r="D264" s="67"/>
      <c r="E264" s="67"/>
      <c r="F264" s="67"/>
      <c r="G264" s="67"/>
      <c r="H264" s="68" t="str">
        <f>$H$7</f>
        <v>EN $</v>
      </c>
      <c r="I264" s="296"/>
      <c r="J264" s="295" t="str">
        <f>$J$7</f>
        <v>EN %</v>
      </c>
    </row>
    <row r="265" spans="1:10" s="328" customFormat="1" ht="15" customHeight="1" x14ac:dyDescent="0.2">
      <c r="A265" s="240"/>
      <c r="B265" s="240"/>
      <c r="C265" s="240"/>
      <c r="D265" s="257"/>
      <c r="E265" s="240"/>
      <c r="F265" s="257"/>
      <c r="G265" s="240"/>
      <c r="J265" s="49"/>
    </row>
    <row r="266" spans="1:10" s="328" customFormat="1" ht="15" customHeight="1" x14ac:dyDescent="0.2">
      <c r="A266" s="344" t="str">
        <f>'notas bce prueba1'!A158</f>
        <v>Educación continua</v>
      </c>
      <c r="B266" s="344"/>
      <c r="C266" s="344"/>
      <c r="D266" s="203">
        <f>'notas bce prueba1'!C158</f>
        <v>571725</v>
      </c>
      <c r="E266" s="203"/>
      <c r="F266" s="203">
        <f>'notas bce prueba1'!D158</f>
        <v>331574</v>
      </c>
      <c r="G266" s="203"/>
      <c r="H266" s="203">
        <f>D266-F266</f>
        <v>240151</v>
      </c>
      <c r="I266" s="36"/>
      <c r="J266" s="52">
        <f>IF((F266&lt;&gt;0),(H266/F266),1)</f>
        <v>0.72427572728862943</v>
      </c>
    </row>
    <row r="267" spans="1:10" s="328" customFormat="1" ht="15" customHeight="1" x14ac:dyDescent="0.2">
      <c r="A267" s="344" t="str">
        <f>'notas bce prueba1'!A159</f>
        <v>Desarrollo artístico</v>
      </c>
      <c r="B267" s="344"/>
      <c r="C267" s="344"/>
      <c r="D267" s="203">
        <f>'notas bce prueba1'!C159</f>
        <v>55473</v>
      </c>
      <c r="E267" s="203"/>
      <c r="F267" s="203">
        <f>'notas bce prueba1'!D159</f>
        <v>40414</v>
      </c>
      <c r="G267" s="203"/>
      <c r="H267" s="381">
        <f>D267-F267</f>
        <v>15059</v>
      </c>
      <c r="I267" s="36"/>
      <c r="J267" s="52">
        <f>IF((F267&lt;&gt;0),(H267/F267),1)</f>
        <v>0.37261839956450737</v>
      </c>
    </row>
    <row r="268" spans="1:10" s="328" customFormat="1" ht="15" customHeight="1" x14ac:dyDescent="0.2">
      <c r="A268" s="344" t="str">
        <f>'notas bce prueba1'!A160</f>
        <v>Ingresos rec. por anticipado contratos cofinanciados</v>
      </c>
      <c r="B268" s="344"/>
      <c r="C268" s="344"/>
      <c r="D268" s="203">
        <f>'notas bce prueba1'!C160</f>
        <v>5567172</v>
      </c>
      <c r="E268" s="203"/>
      <c r="F268" s="203">
        <f>'notas bce prueba1'!D160</f>
        <v>1800789</v>
      </c>
      <c r="G268" s="203"/>
      <c r="H268" s="203">
        <f>D268-F268</f>
        <v>3766383</v>
      </c>
      <c r="I268" s="36"/>
      <c r="J268" s="52">
        <f>IF((F268&lt;&gt;0),(H268/F268),1)</f>
        <v>2.0915182178478435</v>
      </c>
    </row>
    <row r="269" spans="1:10" s="328" customFormat="1" ht="15" customHeight="1" x14ac:dyDescent="0.2">
      <c r="A269" s="344" t="str">
        <f>'notas bce prueba1'!A161</f>
        <v>Ingresos rec. por anticipado asesorias y consultorias</v>
      </c>
      <c r="B269" s="344"/>
      <c r="C269" s="344"/>
      <c r="D269" s="203">
        <f>'notas bce prueba1'!C161</f>
        <v>14816089</v>
      </c>
      <c r="E269" s="203"/>
      <c r="F269" s="203">
        <f>'notas bce prueba1'!D161</f>
        <v>2746950</v>
      </c>
      <c r="G269" s="203"/>
      <c r="H269" s="203">
        <f>D269-F269</f>
        <v>12069139</v>
      </c>
      <c r="I269" s="36"/>
      <c r="J269" s="52">
        <f>IF((F269&lt;&gt;0),(H269/F269),1)</f>
        <v>4.3936507763155497</v>
      </c>
    </row>
    <row r="270" spans="1:10" s="328" customFormat="1" ht="15" customHeight="1" x14ac:dyDescent="0.2">
      <c r="A270" s="240"/>
      <c r="B270" s="240"/>
      <c r="C270" s="240"/>
      <c r="D270" s="204"/>
      <c r="E270" s="204"/>
      <c r="F270" s="204"/>
      <c r="G270" s="204"/>
      <c r="H270" s="204"/>
      <c r="J270" s="49"/>
    </row>
    <row r="271" spans="1:10" s="328" customFormat="1" ht="15" customHeight="1" x14ac:dyDescent="0.2">
      <c r="A271" s="345" t="str">
        <f>'notas bce prueba1'!A162</f>
        <v>TOTAL</v>
      </c>
      <c r="B271" s="345"/>
      <c r="C271" s="345"/>
      <c r="D271" s="197">
        <f>SUM(D266:D270)</f>
        <v>21010459</v>
      </c>
      <c r="E271" s="197"/>
      <c r="F271" s="197">
        <f>SUM(F266:F270)</f>
        <v>4919727</v>
      </c>
      <c r="G271" s="197"/>
      <c r="H271" s="197">
        <f>SUM(H266:H270)</f>
        <v>16090732</v>
      </c>
      <c r="I271" s="3"/>
      <c r="J271" s="14">
        <f>H271/F271</f>
        <v>3.2706554652321156</v>
      </c>
    </row>
    <row r="272" spans="1:10" s="328" customFormat="1" ht="15" customHeight="1" x14ac:dyDescent="0.2">
      <c r="A272" s="240"/>
      <c r="B272" s="240"/>
      <c r="C272" s="240"/>
      <c r="D272" s="257"/>
      <c r="E272" s="240"/>
      <c r="F272" s="257"/>
      <c r="G272" s="240"/>
      <c r="J272" s="49"/>
    </row>
    <row r="273" spans="1:10" s="328" customFormat="1" ht="97.5" hidden="1" customHeight="1" x14ac:dyDescent="0.2">
      <c r="A273" s="460" t="s">
        <v>144</v>
      </c>
      <c r="B273" s="461"/>
      <c r="C273" s="461"/>
      <c r="D273" s="461"/>
      <c r="E273" s="461"/>
      <c r="F273" s="461"/>
      <c r="G273" s="461"/>
      <c r="H273" s="461"/>
      <c r="I273" s="461"/>
      <c r="J273" s="461"/>
    </row>
    <row r="274" spans="1:10" s="328" customFormat="1" ht="12.75" x14ac:dyDescent="0.2">
      <c r="A274" s="398"/>
      <c r="B274" s="399"/>
      <c r="C274" s="399"/>
      <c r="D274" s="399"/>
      <c r="E274" s="399"/>
      <c r="F274" s="399"/>
      <c r="G274" s="399"/>
      <c r="H274" s="399"/>
      <c r="I274" s="399"/>
      <c r="J274" s="399"/>
    </row>
    <row r="275" spans="1:10" s="328" customFormat="1" ht="12.75" x14ac:dyDescent="0.2">
      <c r="A275" s="382"/>
      <c r="B275" s="343"/>
      <c r="C275" s="343"/>
      <c r="D275" s="343"/>
      <c r="E275" s="343"/>
      <c r="F275" s="343"/>
      <c r="G275" s="343"/>
      <c r="H275" s="343"/>
      <c r="I275" s="343"/>
      <c r="J275" s="343"/>
    </row>
    <row r="276" spans="1:10" s="328" customFormat="1" ht="12.75" x14ac:dyDescent="0.2">
      <c r="A276" s="382"/>
      <c r="B276" s="343"/>
      <c r="C276" s="343"/>
      <c r="D276" s="343"/>
      <c r="E276" s="343"/>
      <c r="F276" s="343"/>
      <c r="G276" s="343"/>
      <c r="H276" s="343"/>
      <c r="I276" s="343"/>
      <c r="J276" s="343"/>
    </row>
    <row r="277" spans="1:10" s="254" customFormat="1" ht="18" x14ac:dyDescent="0.25">
      <c r="A277" s="41" t="str">
        <f>'notas bce prueba1'!A164</f>
        <v>15. OTROS PASIVOS</v>
      </c>
      <c r="B277" s="240"/>
      <c r="C277" s="240"/>
      <c r="D277" s="257"/>
      <c r="E277" s="240"/>
      <c r="F277" s="257"/>
      <c r="G277" s="240"/>
      <c r="J277" s="49"/>
    </row>
    <row r="278" spans="1:10" s="328" customFormat="1" ht="23.25" customHeight="1" x14ac:dyDescent="0.2">
      <c r="A278" s="240"/>
      <c r="B278" s="240"/>
      <c r="C278" s="240"/>
      <c r="D278" s="257"/>
      <c r="E278" s="240"/>
      <c r="F278" s="257"/>
      <c r="G278" s="240"/>
      <c r="J278" s="49"/>
    </row>
    <row r="279" spans="1:10" s="328" customFormat="1" ht="15" customHeight="1" x14ac:dyDescent="0.2">
      <c r="A279" s="69"/>
      <c r="B279" s="69"/>
      <c r="C279" s="69"/>
      <c r="D279" s="66">
        <f>$D$6</f>
        <v>2013</v>
      </c>
      <c r="E279" s="67"/>
      <c r="F279" s="66">
        <f>$F$6</f>
        <v>2012</v>
      </c>
      <c r="G279" s="67"/>
      <c r="H279" s="68" t="str">
        <f>$H$6</f>
        <v>DIFERENCIA</v>
      </c>
      <c r="I279" s="66"/>
      <c r="J279" s="295" t="str">
        <f>$J$6</f>
        <v>DIFERENCIA</v>
      </c>
    </row>
    <row r="280" spans="1:10" s="328" customFormat="1" ht="15" customHeight="1" x14ac:dyDescent="0.2">
      <c r="A280" s="69"/>
      <c r="B280" s="69"/>
      <c r="C280" s="69"/>
      <c r="D280" s="67"/>
      <c r="E280" s="67"/>
      <c r="F280" s="67"/>
      <c r="G280" s="67"/>
      <c r="H280" s="68" t="str">
        <f>$H$7</f>
        <v>EN $</v>
      </c>
      <c r="I280" s="296"/>
      <c r="J280" s="295" t="str">
        <f>$J$7</f>
        <v>EN %</v>
      </c>
    </row>
    <row r="281" spans="1:10" s="328" customFormat="1" ht="15" customHeight="1" x14ac:dyDescent="0.2">
      <c r="A281" s="240"/>
      <c r="B281" s="240"/>
      <c r="C281" s="240"/>
      <c r="D281" s="257"/>
      <c r="E281" s="240"/>
      <c r="F281" s="257"/>
      <c r="G281" s="240"/>
      <c r="J281" s="49"/>
    </row>
    <row r="282" spans="1:10" s="328" customFormat="1" ht="15" customHeight="1" x14ac:dyDescent="0.2">
      <c r="A282" s="379" t="str">
        <f>'notas bce prueba1'!A166</f>
        <v>Matrículas de formación universitaria</v>
      </c>
      <c r="B282" s="379"/>
      <c r="C282" s="379"/>
      <c r="D282" s="203">
        <f>'notas bce prueba1'!C166</f>
        <v>51437231</v>
      </c>
      <c r="E282" s="203"/>
      <c r="F282" s="203">
        <f>'notas bce prueba1'!D166</f>
        <v>50473863</v>
      </c>
      <c r="G282" s="203"/>
      <c r="H282" s="203">
        <f t="shared" ref="H282:H291" si="7">D282-F282</f>
        <v>963368</v>
      </c>
      <c r="I282" s="36"/>
      <c r="J282" s="52">
        <f t="shared" ref="J282:J291" si="8">IF((F282&lt;&gt;0),(H282/F282),1)</f>
        <v>1.9086472537281324E-2</v>
      </c>
    </row>
    <row r="283" spans="1:10" s="328" customFormat="1" ht="15" customHeight="1" x14ac:dyDescent="0.2">
      <c r="A283" s="379" t="str">
        <f>'notas bce prueba1'!A167</f>
        <v>Matrículas  de formación avanzada</v>
      </c>
      <c r="B283" s="379"/>
      <c r="C283" s="379"/>
      <c r="D283" s="203">
        <f>'notas bce prueba1'!C167</f>
        <v>16843014</v>
      </c>
      <c r="E283" s="203"/>
      <c r="F283" s="203">
        <f>'notas bce prueba1'!D167</f>
        <v>13839655</v>
      </c>
      <c r="G283" s="203"/>
      <c r="H283" s="203">
        <f t="shared" si="7"/>
        <v>3003359</v>
      </c>
      <c r="I283" s="36"/>
      <c r="J283" s="52">
        <f t="shared" si="8"/>
        <v>0.21701111769043377</v>
      </c>
    </row>
    <row r="284" spans="1:10" s="328" customFormat="1" ht="15" customHeight="1" x14ac:dyDescent="0.2">
      <c r="A284" s="379" t="str">
        <f>'notas bce prueba1'!A168</f>
        <v>Centro de idiomas</v>
      </c>
      <c r="B284" s="379"/>
      <c r="C284" s="379"/>
      <c r="D284" s="203">
        <f>'notas bce prueba1'!C168</f>
        <v>2706341</v>
      </c>
      <c r="E284" s="203"/>
      <c r="F284" s="203">
        <f>'notas bce prueba1'!D168</f>
        <v>2364382</v>
      </c>
      <c r="G284" s="203"/>
      <c r="H284" s="203">
        <f t="shared" si="7"/>
        <v>341959</v>
      </c>
      <c r="I284" s="36"/>
      <c r="J284" s="52">
        <f t="shared" si="8"/>
        <v>0.14462933654544824</v>
      </c>
    </row>
    <row r="285" spans="1:10" s="328" customFormat="1" ht="15" customHeight="1" x14ac:dyDescent="0.2">
      <c r="A285" s="379" t="str">
        <f>'notas bce prueba1'!A169</f>
        <v>Saldo a favor cancelación materia</v>
      </c>
      <c r="B285" s="379"/>
      <c r="C285" s="379"/>
      <c r="D285" s="203">
        <f>'notas bce prueba1'!C169</f>
        <v>82011</v>
      </c>
      <c r="E285" s="203"/>
      <c r="F285" s="203">
        <f>'notas bce prueba1'!D169</f>
        <v>41698</v>
      </c>
      <c r="G285" s="203"/>
      <c r="H285" s="203">
        <f t="shared" si="7"/>
        <v>40313</v>
      </c>
      <c r="I285" s="36"/>
      <c r="J285" s="52">
        <f t="shared" si="8"/>
        <v>0.96678497769677207</v>
      </c>
    </row>
    <row r="286" spans="1:10" s="328" customFormat="1" ht="15" customHeight="1" x14ac:dyDescent="0.2">
      <c r="A286" s="379" t="str">
        <f>'notas bce prueba1'!A170</f>
        <v>Saldo a favor ICETEX</v>
      </c>
      <c r="B286" s="379"/>
      <c r="C286" s="379"/>
      <c r="D286" s="203">
        <f>'notas bce prueba1'!C170</f>
        <v>101150</v>
      </c>
      <c r="E286" s="203"/>
      <c r="F286" s="203">
        <f>'notas bce prueba1'!D170</f>
        <v>183023</v>
      </c>
      <c r="G286" s="203"/>
      <c r="H286" s="203">
        <f t="shared" si="7"/>
        <v>-81873</v>
      </c>
      <c r="I286" s="36"/>
      <c r="J286" s="52">
        <f t="shared" si="8"/>
        <v>-0.44733721991225145</v>
      </c>
    </row>
    <row r="287" spans="1:10" s="328" customFormat="1" ht="15" customHeight="1" x14ac:dyDescent="0.2">
      <c r="A287" s="379" t="str">
        <f>'notas bce prueba1'!A171</f>
        <v>Otros saldos a favor de estudiantes</v>
      </c>
      <c r="B287" s="379"/>
      <c r="C287" s="379"/>
      <c r="D287" s="203">
        <f>'notas bce prueba1'!C171</f>
        <v>1026679</v>
      </c>
      <c r="E287" s="203"/>
      <c r="F287" s="203">
        <f>'notas bce prueba1'!D171</f>
        <v>234816</v>
      </c>
      <c r="G287" s="203"/>
      <c r="H287" s="203">
        <f t="shared" si="7"/>
        <v>791863</v>
      </c>
      <c r="I287" s="36"/>
      <c r="J287" s="52">
        <f t="shared" si="8"/>
        <v>3.3722702030526031</v>
      </c>
    </row>
    <row r="288" spans="1:10" s="328" customFormat="1" ht="15" customHeight="1" x14ac:dyDescent="0.2">
      <c r="A288" s="379" t="str">
        <f>'notas bce prueba1'!A172</f>
        <v>Anticipos intersemestrales</v>
      </c>
      <c r="B288" s="379"/>
      <c r="C288" s="379"/>
      <c r="D288" s="203">
        <f>'notas bce prueba1'!C172</f>
        <v>32324</v>
      </c>
      <c r="E288" s="203"/>
      <c r="F288" s="203">
        <f>'notas bce prueba1'!D172</f>
        <v>9511</v>
      </c>
      <c r="G288" s="203"/>
      <c r="H288" s="203">
        <f t="shared" si="7"/>
        <v>22813</v>
      </c>
      <c r="I288" s="36"/>
      <c r="J288" s="52">
        <f t="shared" si="8"/>
        <v>2.3985911050362736</v>
      </c>
    </row>
    <row r="289" spans="1:10" s="328" customFormat="1" ht="15" customHeight="1" x14ac:dyDescent="0.2">
      <c r="A289" s="379" t="str">
        <f>'notas bce prueba1'!A173</f>
        <v>Ant. y avances recibidos sobre contratos</v>
      </c>
      <c r="B289" s="379"/>
      <c r="C289" s="379"/>
      <c r="D289" s="203">
        <f>'notas bce prueba1'!C173</f>
        <v>6490532</v>
      </c>
      <c r="E289" s="203"/>
      <c r="F289" s="203">
        <f>'notas bce prueba1'!D173</f>
        <v>514517</v>
      </c>
      <c r="G289" s="203"/>
      <c r="H289" s="203">
        <f t="shared" si="7"/>
        <v>5976015</v>
      </c>
      <c r="I289" s="36"/>
      <c r="J289" s="52">
        <f t="shared" si="8"/>
        <v>11.614805730422901</v>
      </c>
    </row>
    <row r="290" spans="1:10" s="328" customFormat="1" ht="15" customHeight="1" x14ac:dyDescent="0.2">
      <c r="A290" s="379" t="str">
        <f>'notas bce prueba1'!A174</f>
        <v>Becas recibidas para terceros</v>
      </c>
      <c r="B290" s="379"/>
      <c r="C290" s="379"/>
      <c r="D290" s="203">
        <f>'notas bce prueba1'!C174</f>
        <v>1084971</v>
      </c>
      <c r="E290" s="203"/>
      <c r="F290" s="203">
        <f>'notas bce prueba1'!D174</f>
        <v>1312297</v>
      </c>
      <c r="G290" s="203"/>
      <c r="H290" s="203">
        <f t="shared" si="7"/>
        <v>-227326</v>
      </c>
      <c r="I290" s="36"/>
      <c r="J290" s="52">
        <f t="shared" si="8"/>
        <v>-0.17322755443318091</v>
      </c>
    </row>
    <row r="291" spans="1:10" s="328" customFormat="1" ht="15" customHeight="1" x14ac:dyDescent="0.2">
      <c r="A291" s="379" t="str">
        <f>'notas bce prueba1'!A175</f>
        <v>Otros valores recibidos para terceros</v>
      </c>
      <c r="B291" s="379"/>
      <c r="C291" s="379"/>
      <c r="D291" s="203">
        <f>'notas bce prueba1'!C175</f>
        <v>1985613</v>
      </c>
      <c r="E291" s="203"/>
      <c r="F291" s="203">
        <f>'notas bce prueba1'!D175</f>
        <v>1920866</v>
      </c>
      <c r="G291" s="203"/>
      <c r="H291" s="203">
        <f t="shared" si="7"/>
        <v>64747</v>
      </c>
      <c r="I291" s="36"/>
      <c r="J291" s="52">
        <f t="shared" si="8"/>
        <v>3.3707192485056221E-2</v>
      </c>
    </row>
    <row r="292" spans="1:10" s="328" customFormat="1" ht="15" customHeight="1" x14ac:dyDescent="0.2">
      <c r="A292" s="379"/>
      <c r="B292" s="379"/>
      <c r="C292" s="379"/>
      <c r="D292" s="203"/>
      <c r="E292" s="203"/>
      <c r="F292" s="203"/>
      <c r="G292" s="203"/>
      <c r="H292" s="203"/>
      <c r="I292" s="36"/>
      <c r="J292" s="52"/>
    </row>
    <row r="293" spans="1:10" s="328" customFormat="1" ht="17.25" customHeight="1" x14ac:dyDescent="0.2">
      <c r="A293" s="345" t="str">
        <f>'notas bce prueba1'!A176</f>
        <v>TOTAL</v>
      </c>
      <c r="B293" s="345"/>
      <c r="C293" s="345"/>
      <c r="D293" s="197">
        <f>SUM(D282:D292)</f>
        <v>81789866</v>
      </c>
      <c r="E293" s="197"/>
      <c r="F293" s="197">
        <f>SUM(F282:F292)</f>
        <v>70894628</v>
      </c>
      <c r="G293" s="197"/>
      <c r="H293" s="197">
        <f>SUM(H282:H292)</f>
        <v>10895238</v>
      </c>
      <c r="I293" s="3"/>
      <c r="J293" s="14">
        <f>H293/F293</f>
        <v>0.1536821379470388</v>
      </c>
    </row>
    <row r="294" spans="1:10" s="328" customFormat="1" ht="18" customHeight="1" x14ac:dyDescent="0.2">
      <c r="A294" s="7"/>
      <c r="B294" s="7"/>
      <c r="C294" s="7"/>
      <c r="D294" s="13"/>
      <c r="E294" s="7"/>
      <c r="F294" s="13"/>
      <c r="G294" s="7"/>
      <c r="H294" s="368"/>
      <c r="I294" s="12"/>
      <c r="J294" s="17"/>
    </row>
    <row r="295" spans="1:10" s="328" customFormat="1" ht="15" hidden="1" customHeight="1" x14ac:dyDescent="0.2">
      <c r="A295" s="460" t="s">
        <v>144</v>
      </c>
      <c r="B295" s="461"/>
      <c r="C295" s="461"/>
      <c r="D295" s="461"/>
      <c r="E295" s="461"/>
      <c r="F295" s="461"/>
      <c r="G295" s="461"/>
      <c r="H295" s="461"/>
      <c r="I295" s="461"/>
      <c r="J295" s="461"/>
    </row>
    <row r="296" spans="1:10" s="328" customFormat="1" ht="15" customHeight="1" x14ac:dyDescent="0.2">
      <c r="A296" s="398"/>
      <c r="B296" s="399"/>
      <c r="C296" s="399"/>
      <c r="D296" s="399"/>
      <c r="E296" s="399"/>
      <c r="F296" s="399"/>
      <c r="G296" s="399"/>
      <c r="H296" s="399"/>
      <c r="I296" s="399"/>
      <c r="J296" s="399"/>
    </row>
    <row r="297" spans="1:10" s="328" customFormat="1" ht="12.75" x14ac:dyDescent="0.2">
      <c r="A297" s="382"/>
      <c r="B297" s="343"/>
      <c r="C297" s="343"/>
      <c r="D297" s="343"/>
      <c r="E297" s="343"/>
      <c r="F297" s="343"/>
      <c r="G297" s="343"/>
      <c r="H297" s="343"/>
      <c r="I297" s="343"/>
      <c r="J297" s="343"/>
    </row>
    <row r="298" spans="1:10" s="328" customFormat="1" ht="12.75" x14ac:dyDescent="0.2">
      <c r="A298" s="7"/>
      <c r="B298" s="7"/>
      <c r="C298" s="7"/>
      <c r="D298" s="13"/>
      <c r="E298" s="7"/>
      <c r="F298" s="13"/>
      <c r="G298" s="7"/>
      <c r="H298" s="368"/>
      <c r="I298" s="12"/>
      <c r="J298" s="17"/>
    </row>
    <row r="299" spans="1:10" s="254" customFormat="1" ht="18" x14ac:dyDescent="0.25">
      <c r="A299" s="41" t="str">
        <f>'notas bce prueba1'!A178</f>
        <v>16. SUPERAVIT DE CAPITAL</v>
      </c>
      <c r="B299" s="7"/>
      <c r="C299" s="7"/>
      <c r="D299" s="13"/>
      <c r="E299" s="7"/>
      <c r="F299" s="13"/>
      <c r="G299" s="7"/>
      <c r="H299" s="21"/>
      <c r="I299" s="12"/>
      <c r="J299" s="17"/>
    </row>
    <row r="300" spans="1:10" s="328" customFormat="1" ht="15" customHeight="1" x14ac:dyDescent="0.2">
      <c r="A300" s="4"/>
      <c r="B300" s="299"/>
      <c r="C300" s="299"/>
      <c r="D300" s="300"/>
      <c r="E300" s="300"/>
      <c r="F300" s="300"/>
      <c r="G300" s="300"/>
      <c r="H300" s="300"/>
      <c r="I300" s="95"/>
      <c r="J300" s="50"/>
    </row>
    <row r="301" spans="1:10" s="328" customFormat="1" ht="15" customHeight="1" x14ac:dyDescent="0.2">
      <c r="A301" s="69"/>
      <c r="B301" s="69"/>
      <c r="C301" s="69"/>
      <c r="D301" s="66">
        <f>$D$6</f>
        <v>2013</v>
      </c>
      <c r="E301" s="67"/>
      <c r="F301" s="66">
        <f>$F$6</f>
        <v>2012</v>
      </c>
      <c r="G301" s="67"/>
      <c r="H301" s="68" t="str">
        <f>$H$6</f>
        <v>DIFERENCIA</v>
      </c>
      <c r="I301" s="66"/>
      <c r="J301" s="295" t="str">
        <f>$J$6</f>
        <v>DIFERENCIA</v>
      </c>
    </row>
    <row r="302" spans="1:10" s="328" customFormat="1" ht="15" customHeight="1" x14ac:dyDescent="0.2">
      <c r="A302" s="69"/>
      <c r="B302" s="69"/>
      <c r="C302" s="69"/>
      <c r="D302" s="67"/>
      <c r="E302" s="67"/>
      <c r="F302" s="67"/>
      <c r="G302" s="67"/>
      <c r="H302" s="68" t="str">
        <f>$H$7</f>
        <v>EN $</v>
      </c>
      <c r="I302" s="296"/>
      <c r="J302" s="295" t="str">
        <f>$J$7</f>
        <v>EN %</v>
      </c>
    </row>
    <row r="303" spans="1:10" s="328" customFormat="1" ht="15" customHeight="1" x14ac:dyDescent="0.2">
      <c r="A303" s="379"/>
      <c r="B303" s="379"/>
      <c r="C303" s="379"/>
      <c r="D303" s="327"/>
      <c r="E303" s="327"/>
      <c r="F303" s="327"/>
      <c r="G303" s="327"/>
      <c r="H303" s="327"/>
      <c r="I303" s="36"/>
      <c r="J303" s="52"/>
    </row>
    <row r="304" spans="1:10" s="328" customFormat="1" ht="15" customHeight="1" x14ac:dyDescent="0.2">
      <c r="A304" s="397" t="str">
        <f>'notas bce prueba1'!A180</f>
        <v>DONACIONES</v>
      </c>
      <c r="B304" s="379"/>
      <c r="C304" s="379"/>
      <c r="D304" s="327"/>
      <c r="E304" s="327"/>
      <c r="F304" s="327"/>
      <c r="G304" s="327"/>
      <c r="H304" s="327"/>
      <c r="I304" s="36"/>
      <c r="J304" s="52"/>
    </row>
    <row r="305" spans="1:10" s="328" customFormat="1" ht="15" customHeight="1" x14ac:dyDescent="0.2">
      <c r="A305" s="379" t="str">
        <f>'notas bce prueba1'!A181</f>
        <v>Donaciones en dinero</v>
      </c>
      <c r="B305" s="379"/>
      <c r="C305" s="379"/>
      <c r="D305" s="203">
        <f>'notas bce prueba1'!C181</f>
        <v>1718195</v>
      </c>
      <c r="E305" s="203"/>
      <c r="F305" s="203">
        <f>'notas bce prueba1'!D181</f>
        <v>1718195</v>
      </c>
      <c r="G305" s="203"/>
      <c r="H305" s="203">
        <f>D305-F305</f>
        <v>0</v>
      </c>
      <c r="I305" s="36"/>
      <c r="J305" s="52">
        <f>IF((F305&lt;&gt;0),(H305/F305),1)</f>
        <v>0</v>
      </c>
    </row>
    <row r="306" spans="1:10" s="328" customFormat="1" ht="15" customHeight="1" x14ac:dyDescent="0.2">
      <c r="A306" s="379" t="str">
        <f>'notas bce prueba1'!A182</f>
        <v>Donaciones en valores mobiliarios</v>
      </c>
      <c r="B306" s="379"/>
      <c r="C306" s="379"/>
      <c r="D306" s="203">
        <f>'notas bce prueba1'!C182</f>
        <v>5679702</v>
      </c>
      <c r="E306" s="203"/>
      <c r="F306" s="203">
        <f>'notas bce prueba1'!D182</f>
        <v>5679702</v>
      </c>
      <c r="G306" s="203"/>
      <c r="H306" s="203">
        <f>D306-F306</f>
        <v>0</v>
      </c>
      <c r="I306" s="36"/>
      <c r="J306" s="52">
        <f>IF((F306&lt;&gt;0),(H306/F306),1)</f>
        <v>0</v>
      </c>
    </row>
    <row r="307" spans="1:10" s="328" customFormat="1" ht="15" customHeight="1" x14ac:dyDescent="0.2">
      <c r="A307" s="379" t="str">
        <f>'notas bce prueba1'!A183</f>
        <v>Donaciones en bienes muebles</v>
      </c>
      <c r="B307" s="379"/>
      <c r="C307" s="379"/>
      <c r="D307" s="203">
        <f>'notas bce prueba1'!C183</f>
        <v>344484</v>
      </c>
      <c r="E307" s="203"/>
      <c r="F307" s="203">
        <f>'notas bce prueba1'!D183</f>
        <v>344484</v>
      </c>
      <c r="G307" s="203"/>
      <c r="H307" s="203">
        <f>D307-F307</f>
        <v>0</v>
      </c>
      <c r="I307" s="36"/>
      <c r="J307" s="52">
        <f>IF((F307&lt;&gt;0),(H307/F307),1)</f>
        <v>0</v>
      </c>
    </row>
    <row r="308" spans="1:10" s="328" customFormat="1" ht="15" customHeight="1" x14ac:dyDescent="0.2">
      <c r="A308" s="379" t="str">
        <f>'notas bce prueba1'!A184</f>
        <v>Donaciones en bienes inmuebles</v>
      </c>
      <c r="B308" s="379"/>
      <c r="C308" s="379"/>
      <c r="D308" s="203">
        <f>'notas bce prueba1'!C184</f>
        <v>987865</v>
      </c>
      <c r="E308" s="203"/>
      <c r="F308" s="203">
        <f>'notas bce prueba1'!D184</f>
        <v>987865</v>
      </c>
      <c r="G308" s="203"/>
      <c r="H308" s="203">
        <f>D308-F308</f>
        <v>0</v>
      </c>
      <c r="I308" s="36"/>
      <c r="J308" s="52">
        <f>IF((F308&lt;&gt;0),(H308/F308),1)</f>
        <v>0</v>
      </c>
    </row>
    <row r="309" spans="1:10" s="328" customFormat="1" ht="15" customHeight="1" x14ac:dyDescent="0.2">
      <c r="A309" s="379"/>
      <c r="B309" s="379"/>
      <c r="C309" s="379"/>
      <c r="D309" s="203"/>
      <c r="E309" s="203"/>
      <c r="F309" s="203"/>
      <c r="G309" s="203"/>
      <c r="H309" s="206"/>
      <c r="I309" s="36"/>
      <c r="J309" s="52"/>
    </row>
    <row r="310" spans="1:10" s="328" customFormat="1" ht="18" customHeight="1" x14ac:dyDescent="0.2">
      <c r="A310" s="345" t="str">
        <f>'notas bce prueba1'!A185</f>
        <v>Subtotal</v>
      </c>
      <c r="B310" s="345"/>
      <c r="C310" s="345"/>
      <c r="D310" s="197">
        <f>SUM(D305:D309)</f>
        <v>8730246</v>
      </c>
      <c r="E310" s="197"/>
      <c r="F310" s="197">
        <f>SUM(F305:F309)</f>
        <v>8730246</v>
      </c>
      <c r="G310" s="197"/>
      <c r="H310" s="197">
        <f>SUM(H305:H309)</f>
        <v>0</v>
      </c>
      <c r="I310" s="3"/>
      <c r="J310" s="14">
        <f>H310/F310</f>
        <v>0</v>
      </c>
    </row>
    <row r="311" spans="1:10" s="328" customFormat="1" ht="18" customHeight="1" x14ac:dyDescent="0.2">
      <c r="A311" s="352"/>
      <c r="B311" s="7"/>
      <c r="C311" s="7"/>
      <c r="D311" s="198"/>
      <c r="E311" s="198"/>
      <c r="F311" s="198"/>
      <c r="G311" s="198"/>
      <c r="H311" s="198"/>
      <c r="I311" s="12"/>
      <c r="J311" s="17"/>
    </row>
    <row r="312" spans="1:10" s="328" customFormat="1" ht="18" customHeight="1" x14ac:dyDescent="0.2">
      <c r="A312" s="397" t="str">
        <f>'notas bce prueba1'!A187</f>
        <v>INTANGIBLES</v>
      </c>
      <c r="B312" s="379"/>
      <c r="C312" s="379"/>
      <c r="D312" s="327"/>
      <c r="E312" s="327"/>
      <c r="F312" s="327"/>
      <c r="G312" s="327"/>
      <c r="H312" s="327"/>
      <c r="I312" s="36"/>
      <c r="J312" s="52"/>
    </row>
    <row r="313" spans="1:10" s="328" customFormat="1" ht="18" customHeight="1" x14ac:dyDescent="0.2">
      <c r="A313" s="379" t="str">
        <f>'notas bce prueba1'!A188</f>
        <v>Otros intangibles</v>
      </c>
      <c r="B313" s="379"/>
      <c r="C313" s="379"/>
      <c r="D313" s="203">
        <f>'notas bce prueba1'!C188</f>
        <v>705586</v>
      </c>
      <c r="E313" s="203"/>
      <c r="F313" s="203">
        <f>'notas bce prueba1'!D188</f>
        <v>0</v>
      </c>
      <c r="G313" s="203"/>
      <c r="H313" s="206">
        <f>D313-F313</f>
        <v>705586</v>
      </c>
      <c r="I313" s="36"/>
      <c r="J313" s="52">
        <f>IF((F313&lt;&gt;0),(H313/F313),1)</f>
        <v>1</v>
      </c>
    </row>
    <row r="314" spans="1:10" s="328" customFormat="1" ht="18" customHeight="1" x14ac:dyDescent="0.2">
      <c r="A314" s="345" t="str">
        <f>'notas bce prueba1'!A189</f>
        <v>Subtotal</v>
      </c>
      <c r="B314" s="345"/>
      <c r="C314" s="345"/>
      <c r="D314" s="197">
        <f>SUM(D313)</f>
        <v>705586</v>
      </c>
      <c r="E314" s="197"/>
      <c r="F314" s="197">
        <f>SUM(F313)</f>
        <v>0</v>
      </c>
      <c r="G314" s="197"/>
      <c r="H314" s="197">
        <f>SUM(H309:H313)</f>
        <v>705586</v>
      </c>
      <c r="I314" s="3"/>
      <c r="J314" s="14">
        <f>IF((F314&lt;&gt;0),(H314/F314),1)</f>
        <v>1</v>
      </c>
    </row>
    <row r="315" spans="1:10" s="328" customFormat="1" ht="18" customHeight="1" x14ac:dyDescent="0.2">
      <c r="A315" s="345"/>
      <c r="B315" s="7"/>
      <c r="C315" s="7"/>
      <c r="D315" s="198"/>
      <c r="E315" s="198"/>
      <c r="F315" s="198"/>
      <c r="G315" s="198"/>
      <c r="H315" s="198"/>
      <c r="I315" s="12"/>
      <c r="J315" s="17"/>
    </row>
    <row r="316" spans="1:10" s="328" customFormat="1" ht="18" customHeight="1" x14ac:dyDescent="0.2">
      <c r="A316" s="345" t="str">
        <f>'notas bce prueba1'!A191</f>
        <v>TOTAL</v>
      </c>
      <c r="B316" s="345"/>
      <c r="C316" s="345"/>
      <c r="D316" s="197">
        <f>D310+D314</f>
        <v>9435832</v>
      </c>
      <c r="E316" s="197"/>
      <c r="F316" s="197">
        <f>F310+F314</f>
        <v>8730246</v>
      </c>
      <c r="G316" s="197"/>
      <c r="H316" s="197">
        <f>SUM(H311:H315)</f>
        <v>1411172</v>
      </c>
      <c r="I316" s="3"/>
      <c r="J316" s="14">
        <f>H316/F316</f>
        <v>0.16164172235238275</v>
      </c>
    </row>
    <row r="317" spans="1:10" s="328" customFormat="1" ht="15" customHeight="1" x14ac:dyDescent="0.2">
      <c r="A317" s="352"/>
      <c r="B317" s="7"/>
      <c r="C317" s="7"/>
      <c r="D317" s="198"/>
      <c r="E317" s="198"/>
      <c r="F317" s="198"/>
      <c r="G317" s="198"/>
      <c r="H317" s="198"/>
      <c r="I317" s="12"/>
      <c r="J317" s="17"/>
    </row>
    <row r="318" spans="1:10" s="328" customFormat="1" ht="15" customHeight="1" x14ac:dyDescent="0.2">
      <c r="A318" s="7"/>
      <c r="B318" s="7"/>
      <c r="C318" s="7"/>
      <c r="D318" s="198"/>
      <c r="E318" s="198"/>
      <c r="F318" s="198"/>
      <c r="G318" s="198"/>
      <c r="H318" s="198"/>
      <c r="I318" s="12"/>
      <c r="J318" s="17"/>
    </row>
    <row r="319" spans="1:10" s="328" customFormat="1" ht="15" customHeight="1" x14ac:dyDescent="0.2">
      <c r="A319" s="7"/>
      <c r="B319" s="7"/>
      <c r="C319" s="7"/>
      <c r="D319" s="198"/>
      <c r="E319" s="198"/>
      <c r="F319" s="198"/>
      <c r="G319" s="198"/>
      <c r="H319" s="198"/>
      <c r="I319" s="12"/>
      <c r="J319" s="17"/>
    </row>
    <row r="320" spans="1:10" s="328" customFormat="1" ht="15" customHeight="1" x14ac:dyDescent="0.2">
      <c r="A320" s="7"/>
      <c r="B320" s="7"/>
      <c r="C320" s="7"/>
      <c r="D320" s="198"/>
      <c r="E320" s="198"/>
      <c r="F320" s="198"/>
      <c r="G320" s="198"/>
      <c r="H320" s="198"/>
      <c r="I320" s="12"/>
      <c r="J320" s="17"/>
    </row>
    <row r="321" spans="1:10" s="328" customFormat="1" ht="15" customHeight="1" x14ac:dyDescent="0.2">
      <c r="A321" s="7"/>
      <c r="B321" s="7"/>
      <c r="C321" s="7"/>
      <c r="D321" s="198"/>
      <c r="E321" s="198"/>
      <c r="F321" s="198"/>
      <c r="G321" s="198"/>
      <c r="H321" s="198"/>
      <c r="I321" s="12"/>
      <c r="J321" s="17"/>
    </row>
    <row r="322" spans="1:10" s="328" customFormat="1" ht="15" customHeight="1" x14ac:dyDescent="0.2">
      <c r="A322" s="7"/>
      <c r="B322" s="7"/>
      <c r="C322" s="7"/>
      <c r="D322" s="198"/>
      <c r="E322" s="198"/>
      <c r="F322" s="198"/>
      <c r="G322" s="198"/>
      <c r="H322" s="198"/>
      <c r="I322" s="12"/>
      <c r="J322" s="17"/>
    </row>
    <row r="323" spans="1:10" s="328" customFormat="1" ht="15" customHeight="1" x14ac:dyDescent="0.2">
      <c r="A323" s="7"/>
      <c r="B323" s="7"/>
      <c r="C323" s="7"/>
      <c r="D323" s="198"/>
      <c r="E323" s="198"/>
      <c r="F323" s="198"/>
      <c r="G323" s="198"/>
      <c r="H323" s="198"/>
      <c r="I323" s="12"/>
      <c r="J323" s="17"/>
    </row>
    <row r="324" spans="1:10" s="254" customFormat="1" ht="18" x14ac:dyDescent="0.25">
      <c r="A324" s="42" t="str">
        <f>'pyg y notas'!A44</f>
        <v>17. SERVICIOS DE ENSEÑANZA</v>
      </c>
      <c r="D324" s="257"/>
      <c r="F324" s="257"/>
      <c r="J324" s="49"/>
    </row>
    <row r="325" spans="1:10" s="328" customFormat="1" ht="15" customHeight="1" x14ac:dyDescent="0.2">
      <c r="A325" s="6"/>
      <c r="D325" s="257"/>
      <c r="F325" s="257"/>
      <c r="J325" s="49"/>
    </row>
    <row r="326" spans="1:10" s="328" customFormat="1" ht="15" customHeight="1" x14ac:dyDescent="0.2">
      <c r="A326" s="69"/>
      <c r="B326" s="69"/>
      <c r="C326" s="69"/>
      <c r="D326" s="66">
        <f>$D$6</f>
        <v>2013</v>
      </c>
      <c r="E326" s="67"/>
      <c r="F326" s="66">
        <f>$F$6</f>
        <v>2012</v>
      </c>
      <c r="G326" s="67"/>
      <c r="H326" s="68" t="str">
        <f>$H$6</f>
        <v>DIFERENCIA</v>
      </c>
      <c r="I326" s="66"/>
      <c r="J326" s="295" t="str">
        <f>$J$6</f>
        <v>DIFERENCIA</v>
      </c>
    </row>
    <row r="327" spans="1:10" s="328" customFormat="1" ht="15" customHeight="1" x14ac:dyDescent="0.2">
      <c r="A327" s="69"/>
      <c r="B327" s="69"/>
      <c r="C327" s="69"/>
      <c r="D327" s="67"/>
      <c r="E327" s="67"/>
      <c r="F327" s="67"/>
      <c r="G327" s="67"/>
      <c r="H327" s="68" t="str">
        <f>$H$7</f>
        <v>EN $</v>
      </c>
      <c r="I327" s="296"/>
      <c r="J327" s="295" t="str">
        <f>$J$7</f>
        <v>EN %</v>
      </c>
    </row>
    <row r="328" spans="1:10" s="328" customFormat="1" ht="12.75" customHeight="1" x14ac:dyDescent="0.2">
      <c r="D328" s="257"/>
      <c r="F328" s="257"/>
      <c r="J328" s="49"/>
    </row>
    <row r="329" spans="1:10" s="328" customFormat="1" ht="15" customHeight="1" x14ac:dyDescent="0.2">
      <c r="A329" s="445" t="str">
        <f>'pyg y notas'!A46</f>
        <v>Formación universitaria</v>
      </c>
      <c r="B329" s="445"/>
      <c r="C329" s="36"/>
      <c r="D329" s="203">
        <f>'pyg y notas'!D46</f>
        <v>105267259</v>
      </c>
      <c r="E329" s="203"/>
      <c r="F329" s="203">
        <f>'pyg y notas'!F46</f>
        <v>96934530</v>
      </c>
      <c r="G329" s="203"/>
      <c r="H329" s="203">
        <f>D329-F329</f>
        <v>8332729</v>
      </c>
      <c r="I329" s="36"/>
      <c r="J329" s="52">
        <f t="shared" ref="J329:J341" si="9">IF((F329&lt;&gt;0),(H329/F329),1)</f>
        <v>8.5962442898314978E-2</v>
      </c>
    </row>
    <row r="330" spans="1:10" s="328" customFormat="1" ht="15" customHeight="1" x14ac:dyDescent="0.2">
      <c r="A330" s="445" t="str">
        <f>'pyg y notas'!A47</f>
        <v>Formación avanzada</v>
      </c>
      <c r="B330" s="445"/>
      <c r="C330" s="36"/>
      <c r="D330" s="203">
        <f>'pyg y notas'!D47</f>
        <v>33649304</v>
      </c>
      <c r="E330" s="203"/>
      <c r="F330" s="203">
        <f>'pyg y notas'!F47</f>
        <v>31679369</v>
      </c>
      <c r="G330" s="203"/>
      <c r="H330" s="203">
        <f>D330-F330</f>
        <v>1969935</v>
      </c>
      <c r="I330" s="36"/>
      <c r="J330" s="52">
        <f t="shared" si="9"/>
        <v>6.218353023382505E-2</v>
      </c>
    </row>
    <row r="331" spans="1:10" s="328" customFormat="1" ht="15" customHeight="1" x14ac:dyDescent="0.2">
      <c r="A331" s="445" t="str">
        <f>'pyg y notas'!A48</f>
        <v>Centro de educación continua</v>
      </c>
      <c r="B331" s="445"/>
      <c r="C331" s="36"/>
    </row>
    <row r="332" spans="1:10" s="328" customFormat="1" ht="15" customHeight="1" x14ac:dyDescent="0.2">
      <c r="A332" s="445"/>
      <c r="B332" s="445" t="s">
        <v>487</v>
      </c>
      <c r="C332" s="36"/>
      <c r="D332" s="203">
        <f>'pyg y notas'!D48-D333</f>
        <v>12911319</v>
      </c>
      <c r="E332" s="203"/>
      <c r="F332" s="203">
        <f>'pyg y notas'!F48</f>
        <v>10622747</v>
      </c>
      <c r="G332" s="203"/>
      <c r="H332" s="203">
        <f t="shared" ref="H332:H341" si="10">D332-F332</f>
        <v>2288572</v>
      </c>
      <c r="I332" s="36"/>
      <c r="J332" s="52">
        <f>IF((F332&lt;&gt;0),(H332/F332),1)</f>
        <v>0.21544069533050161</v>
      </c>
    </row>
    <row r="333" spans="1:10" s="328" customFormat="1" ht="15" customHeight="1" x14ac:dyDescent="0.2">
      <c r="A333" s="445"/>
      <c r="B333" s="445" t="s">
        <v>486</v>
      </c>
      <c r="C333" s="36"/>
      <c r="D333" s="203">
        <f>Validaciones!B8</f>
        <v>6270995</v>
      </c>
      <c r="E333" s="203"/>
      <c r="F333" s="203">
        <v>0</v>
      </c>
      <c r="G333" s="203"/>
      <c r="H333" s="203">
        <f t="shared" si="10"/>
        <v>6270995</v>
      </c>
      <c r="I333" s="36"/>
      <c r="J333" s="52">
        <f>IF((F333&lt;&gt;0),(H333/F333),1)</f>
        <v>1</v>
      </c>
    </row>
    <row r="334" spans="1:10" s="328" customFormat="1" ht="15" customHeight="1" x14ac:dyDescent="0.2">
      <c r="A334" s="445" t="str">
        <f>'pyg y notas'!A49</f>
        <v>Centro de idiomas</v>
      </c>
      <c r="B334" s="445"/>
      <c r="C334" s="36"/>
      <c r="D334" s="203">
        <f>'pyg y notas'!D49</f>
        <v>13710309</v>
      </c>
      <c r="E334" s="203"/>
      <c r="F334" s="203">
        <f>'pyg y notas'!F49</f>
        <v>11871563</v>
      </c>
      <c r="G334" s="203"/>
      <c r="H334" s="203">
        <f t="shared" si="10"/>
        <v>1838746</v>
      </c>
      <c r="I334" s="36"/>
      <c r="J334" s="52">
        <f t="shared" si="9"/>
        <v>0.15488659749352296</v>
      </c>
    </row>
    <row r="335" spans="1:10" s="328" customFormat="1" ht="15" customHeight="1" x14ac:dyDescent="0.2">
      <c r="A335" s="445" t="str">
        <f>'pyg y notas'!A50</f>
        <v>Sislenguas</v>
      </c>
      <c r="B335" s="445"/>
      <c r="C335" s="36"/>
      <c r="D335" s="203">
        <f>'pyg y notas'!D50</f>
        <v>4850758</v>
      </c>
      <c r="E335" s="203"/>
      <c r="F335" s="203">
        <f>'pyg y notas'!F50</f>
        <v>3732169</v>
      </c>
      <c r="G335" s="203"/>
      <c r="H335" s="203">
        <f t="shared" si="10"/>
        <v>1118589</v>
      </c>
      <c r="I335" s="36"/>
      <c r="J335" s="52">
        <f t="shared" si="9"/>
        <v>0.29971552735152135</v>
      </c>
    </row>
    <row r="336" spans="1:10" s="328" customFormat="1" ht="15" customHeight="1" x14ac:dyDescent="0.2">
      <c r="A336" s="445" t="str">
        <f>'pyg y notas'!A51</f>
        <v>Departamento de deportes</v>
      </c>
      <c r="B336" s="445"/>
      <c r="C336" s="36"/>
      <c r="D336" s="203">
        <f>'pyg y notas'!D51</f>
        <v>71268</v>
      </c>
      <c r="E336" s="203"/>
      <c r="F336" s="203">
        <f>'pyg y notas'!F51</f>
        <v>59410</v>
      </c>
      <c r="G336" s="203"/>
      <c r="H336" s="203">
        <f t="shared" si="10"/>
        <v>11858</v>
      </c>
      <c r="I336" s="36"/>
      <c r="J336" s="52">
        <f t="shared" si="9"/>
        <v>0.19959602760478035</v>
      </c>
    </row>
    <row r="337" spans="1:10" s="328" customFormat="1" ht="15" customHeight="1" x14ac:dyDescent="0.2">
      <c r="A337" s="445" t="str">
        <f>'pyg y notas'!A52</f>
        <v>Derechos académicos</v>
      </c>
      <c r="B337" s="445"/>
      <c r="C337" s="36"/>
      <c r="D337" s="203">
        <f>'pyg y notas'!D52</f>
        <v>3431160</v>
      </c>
      <c r="E337" s="203"/>
      <c r="F337" s="203">
        <f>'pyg y notas'!F52</f>
        <v>3177005</v>
      </c>
      <c r="G337" s="203"/>
      <c r="H337" s="203">
        <f t="shared" si="10"/>
        <v>254155</v>
      </c>
      <c r="I337" s="36"/>
      <c r="J337" s="52">
        <f t="shared" si="9"/>
        <v>7.9998300285961152E-2</v>
      </c>
    </row>
    <row r="338" spans="1:10" s="328" customFormat="1" ht="15" customHeight="1" x14ac:dyDescent="0.2">
      <c r="A338" s="445" t="str">
        <f>'pyg y notas'!A53</f>
        <v>Promoción cultural</v>
      </c>
      <c r="B338" s="445"/>
      <c r="C338" s="36"/>
      <c r="D338" s="203">
        <f>'pyg y notas'!D53</f>
        <v>386499</v>
      </c>
      <c r="E338" s="203"/>
      <c r="F338" s="203">
        <f>'pyg y notas'!F53</f>
        <v>305935</v>
      </c>
      <c r="G338" s="203"/>
      <c r="H338" s="203">
        <f t="shared" si="10"/>
        <v>80564</v>
      </c>
      <c r="I338" s="36"/>
      <c r="J338" s="52">
        <f t="shared" si="9"/>
        <v>0.26333698334613564</v>
      </c>
    </row>
    <row r="339" spans="1:10" s="328" customFormat="1" ht="15" customHeight="1" x14ac:dyDescent="0.2">
      <c r="A339" s="445" t="str">
        <f>'pyg y notas'!A54</f>
        <v>Convenios</v>
      </c>
      <c r="B339" s="445"/>
      <c r="C339" s="36"/>
      <c r="D339" s="203">
        <f>'pyg y notas'!D54</f>
        <v>1888864</v>
      </c>
      <c r="E339" s="203"/>
      <c r="F339" s="203">
        <f>'pyg y notas'!F54</f>
        <v>581142</v>
      </c>
      <c r="G339" s="203"/>
      <c r="H339" s="203">
        <f t="shared" si="10"/>
        <v>1307722</v>
      </c>
      <c r="I339" s="36"/>
      <c r="J339" s="52">
        <f t="shared" si="9"/>
        <v>2.250262414349677</v>
      </c>
    </row>
    <row r="340" spans="1:10" s="328" customFormat="1" ht="15" customHeight="1" x14ac:dyDescent="0.2">
      <c r="A340" s="445" t="str">
        <f>'pyg y notas'!A55</f>
        <v>Eventos departamentos académicos</v>
      </c>
      <c r="B340" s="445"/>
      <c r="C340" s="36"/>
      <c r="D340" s="203">
        <f>'pyg y notas'!D55</f>
        <v>56761</v>
      </c>
      <c r="E340" s="203"/>
      <c r="F340" s="203">
        <f>'pyg y notas'!F55</f>
        <v>16377</v>
      </c>
      <c r="G340" s="203"/>
      <c r="H340" s="203">
        <f t="shared" si="10"/>
        <v>40384</v>
      </c>
      <c r="I340" s="36"/>
      <c r="J340" s="52">
        <f t="shared" si="9"/>
        <v>2.4658972949868718</v>
      </c>
    </row>
    <row r="341" spans="1:10" s="328" customFormat="1" ht="15" customHeight="1" x14ac:dyDescent="0.2">
      <c r="A341" s="445" t="str">
        <f>'pyg y notas'!A56</f>
        <v>Orquesta sinfónica</v>
      </c>
      <c r="B341" s="445"/>
      <c r="C341" s="36"/>
      <c r="D341" s="203">
        <f>'pyg y notas'!D56</f>
        <v>854738</v>
      </c>
      <c r="E341" s="203"/>
      <c r="F341" s="203">
        <f>'pyg y notas'!F56</f>
        <v>759846</v>
      </c>
      <c r="G341" s="203"/>
      <c r="H341" s="203">
        <f t="shared" si="10"/>
        <v>94892</v>
      </c>
      <c r="I341" s="36"/>
      <c r="J341" s="52">
        <f t="shared" si="9"/>
        <v>0.12488320001684552</v>
      </c>
    </row>
    <row r="342" spans="1:10" s="328" customFormat="1" ht="15" customHeight="1" x14ac:dyDescent="0.2">
      <c r="D342" s="204"/>
      <c r="E342" s="204"/>
      <c r="F342" s="204"/>
      <c r="G342" s="204"/>
      <c r="H342" s="205"/>
      <c r="I342" s="95"/>
      <c r="J342" s="50"/>
    </row>
    <row r="343" spans="1:10" s="328" customFormat="1" ht="18" customHeight="1" x14ac:dyDescent="0.2">
      <c r="A343" s="3" t="str">
        <f>'pyg y notas'!A58</f>
        <v>TOTAL</v>
      </c>
      <c r="B343" s="3"/>
      <c r="C343" s="3"/>
      <c r="D343" s="197">
        <f>SUM(D329:D342)</f>
        <v>183349234</v>
      </c>
      <c r="E343" s="197"/>
      <c r="F343" s="197">
        <f>SUM(F329:F342)</f>
        <v>159740093</v>
      </c>
      <c r="G343" s="197"/>
      <c r="H343" s="197">
        <f>SUM(H329:H342)</f>
        <v>23609141</v>
      </c>
      <c r="I343" s="3"/>
      <c r="J343" s="14">
        <f>H343/F343</f>
        <v>0.1477972158185735</v>
      </c>
    </row>
    <row r="344" spans="1:10" s="328" customFormat="1" ht="15" customHeight="1" x14ac:dyDescent="0.2">
      <c r="A344" s="12"/>
      <c r="B344" s="12"/>
      <c r="C344" s="12"/>
      <c r="D344" s="198"/>
      <c r="E344" s="198"/>
      <c r="F344" s="198"/>
      <c r="G344" s="198"/>
      <c r="H344" s="198"/>
      <c r="I344" s="12"/>
      <c r="J344" s="17"/>
    </row>
    <row r="345" spans="1:10" s="328" customFormat="1" ht="15" customHeight="1" x14ac:dyDescent="0.2">
      <c r="A345" s="12"/>
      <c r="B345" s="12"/>
      <c r="C345" s="12"/>
      <c r="D345" s="198"/>
      <c r="E345" s="198"/>
      <c r="F345" s="198"/>
      <c r="G345" s="198"/>
      <c r="H345" s="198"/>
      <c r="I345" s="12"/>
      <c r="J345" s="17"/>
    </row>
    <row r="346" spans="1:10" s="328" customFormat="1" ht="15" customHeight="1" x14ac:dyDescent="0.2">
      <c r="A346" s="12"/>
      <c r="B346" s="12"/>
      <c r="C346" s="12"/>
      <c r="D346" s="198"/>
      <c r="E346" s="198"/>
      <c r="F346" s="198"/>
      <c r="G346" s="198"/>
      <c r="H346" s="198"/>
      <c r="I346" s="12"/>
      <c r="J346" s="17"/>
    </row>
    <row r="347" spans="1:10" s="254" customFormat="1" ht="18" x14ac:dyDescent="0.25">
      <c r="A347" s="42" t="str">
        <f>'pyg y notas'!A60</f>
        <v>18. OTROS SERVICIOS OPERACIONALES</v>
      </c>
      <c r="D347" s="257"/>
      <c r="F347" s="257"/>
      <c r="J347" s="49"/>
    </row>
    <row r="348" spans="1:10" s="328" customFormat="1" ht="15" customHeight="1" x14ac:dyDescent="0.2">
      <c r="D348" s="257"/>
      <c r="F348" s="257"/>
      <c r="H348" s="257"/>
      <c r="I348" s="257"/>
      <c r="J348" s="49"/>
    </row>
    <row r="349" spans="1:10" s="328" customFormat="1" ht="15" customHeight="1" x14ac:dyDescent="0.2">
      <c r="A349" s="69"/>
      <c r="B349" s="69"/>
      <c r="C349" s="69"/>
      <c r="D349" s="66">
        <f>$D$6</f>
        <v>2013</v>
      </c>
      <c r="E349" s="67"/>
      <c r="F349" s="66">
        <f>$F$6</f>
        <v>2012</v>
      </c>
      <c r="G349" s="67"/>
      <c r="H349" s="68" t="str">
        <f>$H$6</f>
        <v>DIFERENCIA</v>
      </c>
      <c r="I349" s="66"/>
      <c r="J349" s="295" t="str">
        <f>$J$6</f>
        <v>DIFERENCIA</v>
      </c>
    </row>
    <row r="350" spans="1:10" s="328" customFormat="1" ht="15" customHeight="1" x14ac:dyDescent="0.2">
      <c r="A350" s="69"/>
      <c r="B350" s="69"/>
      <c r="C350" s="69"/>
      <c r="D350" s="67"/>
      <c r="E350" s="67"/>
      <c r="F350" s="67"/>
      <c r="G350" s="67"/>
      <c r="H350" s="68" t="str">
        <f>$H$7</f>
        <v>EN $</v>
      </c>
      <c r="I350" s="296"/>
      <c r="J350" s="295" t="str">
        <f>$J$7</f>
        <v>EN %</v>
      </c>
    </row>
    <row r="351" spans="1:10" s="328" customFormat="1" ht="11.25" customHeight="1" x14ac:dyDescent="0.2">
      <c r="D351" s="257"/>
      <c r="F351" s="257"/>
      <c r="H351" s="257"/>
      <c r="I351" s="257"/>
      <c r="J351" s="257"/>
    </row>
    <row r="352" spans="1:10" s="328" customFormat="1" ht="15" customHeight="1" x14ac:dyDescent="0.2">
      <c r="A352" s="445" t="str">
        <f>'pyg y notas'!A62</f>
        <v>Asesorías y consultorías</v>
      </c>
      <c r="B352" s="445"/>
      <c r="C352" s="36"/>
      <c r="D352" s="203">
        <f>'pyg y notas'!D62</f>
        <v>24563566</v>
      </c>
      <c r="E352" s="203"/>
      <c r="F352" s="203">
        <f>'pyg y notas'!F62</f>
        <v>16711504</v>
      </c>
      <c r="G352" s="203"/>
      <c r="H352" s="203">
        <f t="shared" ref="H352:H363" si="11">D352-F352</f>
        <v>7852062</v>
      </c>
      <c r="I352" s="36"/>
      <c r="J352" s="52">
        <f t="shared" ref="J352:J363" si="12">IF((F352&lt;&gt;0),(H352/F352),1)</f>
        <v>0.46985968468188144</v>
      </c>
    </row>
    <row r="353" spans="1:10" s="328" customFormat="1" ht="15" customHeight="1" x14ac:dyDescent="0.2">
      <c r="A353" s="445" t="str">
        <f>'pyg y notas'!A63</f>
        <v>Servicios de laboratorio</v>
      </c>
      <c r="B353" s="445"/>
      <c r="C353" s="36"/>
      <c r="D353" s="203">
        <f>'pyg y notas'!D63</f>
        <v>684126</v>
      </c>
      <c r="E353" s="203"/>
      <c r="F353" s="203">
        <f>'pyg y notas'!F63</f>
        <v>697376</v>
      </c>
      <c r="G353" s="203"/>
      <c r="H353" s="203">
        <f t="shared" si="11"/>
        <v>-13250</v>
      </c>
      <c r="I353" s="36"/>
      <c r="J353" s="52">
        <f t="shared" si="12"/>
        <v>-1.8999793511678062E-2</v>
      </c>
    </row>
    <row r="354" spans="1:10" s="328" customFormat="1" ht="15" customHeight="1" x14ac:dyDescent="0.2">
      <c r="A354" s="445" t="str">
        <f>'pyg y notas'!A64</f>
        <v>Proyectos de investigación</v>
      </c>
      <c r="B354" s="445"/>
      <c r="C354" s="36"/>
      <c r="D354" s="203">
        <f>'pyg y notas'!D64</f>
        <v>8759282</v>
      </c>
      <c r="E354" s="203"/>
      <c r="F354" s="203">
        <f>'pyg y notas'!F64</f>
        <v>6323613</v>
      </c>
      <c r="G354" s="203"/>
      <c r="H354" s="203">
        <f t="shared" si="11"/>
        <v>2435669</v>
      </c>
      <c r="I354" s="36"/>
      <c r="J354" s="52">
        <f t="shared" si="12"/>
        <v>0.38517047137451327</v>
      </c>
    </row>
    <row r="355" spans="1:10" s="328" customFormat="1" ht="15" customHeight="1" x14ac:dyDescent="0.2">
      <c r="A355" s="445" t="str">
        <f>'pyg y notas'!A65</f>
        <v>Centro de estudios asia pacífico</v>
      </c>
      <c r="B355" s="445"/>
      <c r="C355" s="36"/>
      <c r="D355" s="203">
        <f>'pyg y notas'!D65</f>
        <v>595945</v>
      </c>
      <c r="E355" s="203"/>
      <c r="F355" s="203">
        <f>'pyg y notas'!F65</f>
        <v>204225</v>
      </c>
      <c r="G355" s="203"/>
      <c r="H355" s="203">
        <f t="shared" si="11"/>
        <v>391720</v>
      </c>
      <c r="I355" s="36"/>
      <c r="J355" s="52">
        <f t="shared" si="12"/>
        <v>1.9180805484147387</v>
      </c>
    </row>
    <row r="356" spans="1:10" s="328" customFormat="1" ht="15" customHeight="1" x14ac:dyDescent="0.2">
      <c r="A356" s="445" t="str">
        <f>'pyg y notas'!A66</f>
        <v>Fondo editorial</v>
      </c>
      <c r="B356" s="445"/>
      <c r="C356" s="36"/>
      <c r="D356" s="203">
        <f>'pyg y notas'!D66</f>
        <v>202592</v>
      </c>
      <c r="E356" s="203"/>
      <c r="F356" s="203">
        <f>'pyg y notas'!F66</f>
        <v>148205</v>
      </c>
      <c r="G356" s="203"/>
      <c r="H356" s="203">
        <f t="shared" si="11"/>
        <v>54387</v>
      </c>
      <c r="I356" s="36"/>
      <c r="J356" s="52">
        <f t="shared" si="12"/>
        <v>0.36697142471576533</v>
      </c>
    </row>
    <row r="357" spans="1:10" s="328" customFormat="1" ht="15" customHeight="1" x14ac:dyDescent="0.2">
      <c r="A357" s="445" t="str">
        <f>'pyg y notas'!A67</f>
        <v>Acentos</v>
      </c>
      <c r="B357" s="445"/>
      <c r="C357" s="36"/>
      <c r="D357" s="203">
        <f>'pyg y notas'!D67</f>
        <v>542260</v>
      </c>
      <c r="E357" s="203"/>
      <c r="F357" s="203">
        <f>'pyg y notas'!F67</f>
        <v>537549</v>
      </c>
      <c r="G357" s="203"/>
      <c r="H357" s="203">
        <f t="shared" si="11"/>
        <v>4711</v>
      </c>
      <c r="I357" s="36"/>
      <c r="J357" s="52">
        <f t="shared" si="12"/>
        <v>8.7638522255645539E-3</v>
      </c>
    </row>
    <row r="358" spans="1:10" s="328" customFormat="1" ht="15" customHeight="1" x14ac:dyDescent="0.2">
      <c r="A358" s="445" t="str">
        <f>'pyg y notas'!A68</f>
        <v>Tienda</v>
      </c>
      <c r="B358" s="445"/>
      <c r="C358" s="36"/>
      <c r="D358" s="203">
        <f>'pyg y notas'!D68</f>
        <v>178422</v>
      </c>
      <c r="E358" s="203"/>
      <c r="F358" s="203">
        <f>'pyg y notas'!F68</f>
        <v>99284</v>
      </c>
      <c r="G358" s="203"/>
      <c r="H358" s="203">
        <f t="shared" si="11"/>
        <v>79138</v>
      </c>
      <c r="I358" s="36"/>
      <c r="J358" s="52">
        <f t="shared" si="12"/>
        <v>0.79708714395068692</v>
      </c>
    </row>
    <row r="359" spans="1:10" s="328" customFormat="1" ht="15" customHeight="1" x14ac:dyDescent="0.2">
      <c r="A359" s="445" t="str">
        <f>'pyg y notas'!A69</f>
        <v>Sol y melón</v>
      </c>
      <c r="B359" s="445"/>
      <c r="C359" s="36"/>
      <c r="D359" s="203">
        <f>'pyg y notas'!D69</f>
        <v>350831</v>
      </c>
      <c r="E359" s="203"/>
      <c r="F359" s="203">
        <f>'pyg y notas'!F69</f>
        <v>307659</v>
      </c>
      <c r="G359" s="203"/>
      <c r="H359" s="203">
        <f t="shared" si="11"/>
        <v>43172</v>
      </c>
      <c r="I359" s="36"/>
      <c r="J359" s="52">
        <f t="shared" si="12"/>
        <v>0.14032419009357763</v>
      </c>
    </row>
    <row r="360" spans="1:10" s="328" customFormat="1" ht="15" customHeight="1" x14ac:dyDescent="0.2">
      <c r="A360" s="445" t="str">
        <f>'pyg y notas'!A70</f>
        <v>Máquinas snack</v>
      </c>
      <c r="B360" s="445"/>
      <c r="C360" s="36"/>
      <c r="D360" s="203">
        <f>'pyg y notas'!D70</f>
        <v>122902</v>
      </c>
      <c r="E360" s="203"/>
      <c r="F360" s="203">
        <f>'pyg y notas'!F70</f>
        <v>98372</v>
      </c>
      <c r="G360" s="203"/>
      <c r="H360" s="203">
        <f t="shared" si="11"/>
        <v>24530</v>
      </c>
      <c r="I360" s="36"/>
      <c r="J360" s="52">
        <f t="shared" si="12"/>
        <v>0.2493595738624812</v>
      </c>
    </row>
    <row r="361" spans="1:10" s="328" customFormat="1" ht="15" customHeight="1" x14ac:dyDescent="0.2">
      <c r="A361" s="445" t="str">
        <f>'pyg y notas'!A71</f>
        <v>Vivo</v>
      </c>
      <c r="B361" s="445"/>
      <c r="C361" s="36"/>
      <c r="D361" s="203">
        <f>'pyg y notas'!D71</f>
        <v>972668</v>
      </c>
      <c r="E361" s="203"/>
      <c r="F361" s="203">
        <f>'pyg y notas'!F71</f>
        <v>922850</v>
      </c>
      <c r="G361" s="203"/>
      <c r="H361" s="203">
        <f t="shared" si="11"/>
        <v>49818</v>
      </c>
      <c r="I361" s="36"/>
      <c r="J361" s="52">
        <f t="shared" si="12"/>
        <v>5.3982770764479604E-2</v>
      </c>
    </row>
    <row r="362" spans="1:10" s="328" customFormat="1" ht="15" customHeight="1" x14ac:dyDescent="0.2">
      <c r="A362" s="445" t="str">
        <f>'pyg y notas'!A72</f>
        <v>Ingresos por arrendamiento de lockers</v>
      </c>
      <c r="B362" s="445"/>
      <c r="C362" s="36"/>
      <c r="D362" s="203">
        <f>'pyg y notas'!D72</f>
        <v>7644</v>
      </c>
      <c r="E362" s="203"/>
      <c r="F362" s="203">
        <f>'pyg y notas'!F72</f>
        <v>2638</v>
      </c>
      <c r="G362" s="203"/>
      <c r="H362" s="203">
        <f t="shared" si="11"/>
        <v>5006</v>
      </c>
      <c r="I362" s="36"/>
      <c r="J362" s="52">
        <f>IF((F362&lt;&gt;0),(H362/F362),1)</f>
        <v>1.8976497346474601</v>
      </c>
    </row>
    <row r="363" spans="1:10" s="328" customFormat="1" ht="15" customHeight="1" x14ac:dyDescent="0.2">
      <c r="A363" s="445" t="str">
        <f>'pyg y notas'!A73</f>
        <v>Otros ingresos actividades varias</v>
      </c>
      <c r="B363" s="445"/>
      <c r="C363" s="36"/>
      <c r="D363" s="203">
        <f>'pyg y notas'!D73</f>
        <v>286543</v>
      </c>
      <c r="E363" s="203"/>
      <c r="F363" s="203">
        <f>'pyg y notas'!F73</f>
        <v>84953</v>
      </c>
      <c r="G363" s="203"/>
      <c r="H363" s="203">
        <f t="shared" si="11"/>
        <v>201590</v>
      </c>
      <c r="I363" s="36"/>
      <c r="J363" s="52">
        <f t="shared" si="12"/>
        <v>2.372959165656304</v>
      </c>
    </row>
    <row r="364" spans="1:10" s="328" customFormat="1" ht="15" customHeight="1" x14ac:dyDescent="0.2">
      <c r="D364" s="204"/>
      <c r="E364" s="204"/>
      <c r="F364" s="204"/>
      <c r="G364" s="204"/>
      <c r="H364" s="204"/>
      <c r="J364" s="49"/>
    </row>
    <row r="365" spans="1:10" s="328" customFormat="1" ht="15" customHeight="1" x14ac:dyDescent="0.2">
      <c r="A365" s="3" t="str">
        <f>'pyg y notas'!A75</f>
        <v>TOTAL</v>
      </c>
      <c r="B365" s="3"/>
      <c r="C365" s="3"/>
      <c r="D365" s="197">
        <f>SUM(D352:D364)</f>
        <v>37266781</v>
      </c>
      <c r="E365" s="197"/>
      <c r="F365" s="197">
        <f>SUM(F352:F364)</f>
        <v>26138228</v>
      </c>
      <c r="G365" s="197"/>
      <c r="H365" s="197">
        <f>SUM(H352:H364)</f>
        <v>11128553</v>
      </c>
      <c r="I365" s="2"/>
      <c r="J365" s="14">
        <f>H365/F365</f>
        <v>0.42575774455712911</v>
      </c>
    </row>
    <row r="366" spans="1:10" s="328" customFormat="1" ht="15" customHeight="1" x14ac:dyDescent="0.2">
      <c r="A366" s="12"/>
      <c r="B366" s="12"/>
      <c r="C366" s="12"/>
      <c r="D366" s="13"/>
      <c r="E366" s="13"/>
      <c r="F366" s="13"/>
      <c r="G366" s="13"/>
      <c r="H366" s="13"/>
      <c r="I366" s="13"/>
      <c r="J366" s="17"/>
    </row>
    <row r="367" spans="1:10" s="328" customFormat="1" ht="15" customHeight="1" x14ac:dyDescent="0.2">
      <c r="A367" s="12"/>
      <c r="B367" s="12"/>
      <c r="C367" s="12"/>
      <c r="D367" s="13"/>
      <c r="E367" s="13"/>
      <c r="F367" s="13"/>
      <c r="G367" s="13"/>
      <c r="H367" s="13"/>
      <c r="I367" s="13"/>
      <c r="J367" s="17"/>
    </row>
    <row r="368" spans="1:10" s="328" customFormat="1" ht="15" customHeight="1" x14ac:dyDescent="0.2">
      <c r="A368" s="12"/>
      <c r="B368" s="12"/>
      <c r="C368" s="12"/>
      <c r="D368" s="13"/>
      <c r="E368" s="13"/>
      <c r="F368" s="13"/>
      <c r="G368" s="13"/>
      <c r="H368" s="13"/>
      <c r="I368" s="13"/>
      <c r="J368" s="17"/>
    </row>
    <row r="369" spans="1:10" s="328" customFormat="1" ht="15" customHeight="1" x14ac:dyDescent="0.2">
      <c r="A369" s="12"/>
      <c r="B369" s="12"/>
      <c r="C369" s="12"/>
      <c r="D369" s="13"/>
      <c r="E369" s="13"/>
      <c r="F369" s="13"/>
      <c r="G369" s="13"/>
      <c r="H369" s="13"/>
      <c r="I369" s="13"/>
      <c r="J369" s="17"/>
    </row>
    <row r="370" spans="1:10" s="254" customFormat="1" ht="18" x14ac:dyDescent="0.25">
      <c r="A370" s="43" t="str">
        <f>'pyg y notas'!A77</f>
        <v>19. DEVOLUCIONES</v>
      </c>
      <c r="B370" s="12"/>
      <c r="C370" s="12"/>
      <c r="D370" s="13"/>
      <c r="E370" s="13"/>
      <c r="F370" s="13"/>
      <c r="G370" s="13"/>
      <c r="H370" s="13"/>
      <c r="I370" s="13"/>
      <c r="J370" s="17"/>
    </row>
    <row r="371" spans="1:10" s="328" customFormat="1" ht="15" customHeight="1" x14ac:dyDescent="0.2">
      <c r="D371" s="257"/>
      <c r="F371" s="257"/>
      <c r="J371" s="49"/>
    </row>
    <row r="372" spans="1:10" s="328" customFormat="1" ht="15" customHeight="1" x14ac:dyDescent="0.2">
      <c r="A372" s="69"/>
      <c r="B372" s="69"/>
      <c r="C372" s="69"/>
      <c r="D372" s="66">
        <f>$D$6</f>
        <v>2013</v>
      </c>
      <c r="E372" s="67"/>
      <c r="F372" s="66">
        <f>$F$6</f>
        <v>2012</v>
      </c>
      <c r="G372" s="67"/>
      <c r="H372" s="68" t="str">
        <f>$H$6</f>
        <v>DIFERENCIA</v>
      </c>
      <c r="I372" s="66"/>
      <c r="J372" s="295" t="str">
        <f>$J$6</f>
        <v>DIFERENCIA</v>
      </c>
    </row>
    <row r="373" spans="1:10" s="328" customFormat="1" ht="15" customHeight="1" x14ac:dyDescent="0.2">
      <c r="A373" s="69"/>
      <c r="B373" s="69"/>
      <c r="C373" s="69"/>
      <c r="D373" s="67"/>
      <c r="E373" s="67"/>
      <c r="F373" s="67"/>
      <c r="G373" s="67"/>
      <c r="H373" s="68" t="str">
        <f>$H$7</f>
        <v>EN $</v>
      </c>
      <c r="I373" s="296"/>
      <c r="J373" s="295" t="str">
        <f>$J$7</f>
        <v>EN %</v>
      </c>
    </row>
    <row r="374" spans="1:10" s="328" customFormat="1" ht="12.75" customHeight="1" x14ac:dyDescent="0.2">
      <c r="D374" s="257"/>
      <c r="F374" s="257"/>
      <c r="J374" s="49"/>
    </row>
    <row r="375" spans="1:10" s="328" customFormat="1" ht="15" customHeight="1" x14ac:dyDescent="0.2">
      <c r="A375" s="36" t="str">
        <f>'pyg y notas'!A79</f>
        <v>Pregrado</v>
      </c>
      <c r="B375" s="36"/>
      <c r="C375" s="36"/>
      <c r="D375" s="203">
        <f>'pyg y notas'!D79*-1</f>
        <v>-1173924</v>
      </c>
      <c r="E375" s="203"/>
      <c r="F375" s="203">
        <f>'pyg y notas'!F79*-1</f>
        <v>-879322</v>
      </c>
      <c r="G375" s="203"/>
      <c r="H375" s="203">
        <f t="shared" ref="H375:H382" si="13">D375-F375</f>
        <v>-294602</v>
      </c>
      <c r="I375" s="36"/>
      <c r="J375" s="52">
        <f t="shared" ref="J375:J382" si="14">IF((F375&lt;&gt;0),(H375/F375),1)</f>
        <v>0.33503312779618843</v>
      </c>
    </row>
    <row r="376" spans="1:10" s="328" customFormat="1" ht="15" customHeight="1" x14ac:dyDescent="0.2">
      <c r="A376" s="36" t="str">
        <f>'pyg y notas'!A80</f>
        <v>Formación avanzada</v>
      </c>
      <c r="B376" s="36"/>
      <c r="C376" s="36"/>
      <c r="D376" s="203">
        <f>'pyg y notas'!D80*-1</f>
        <v>-536809</v>
      </c>
      <c r="E376" s="203"/>
      <c r="F376" s="203">
        <f>'pyg y notas'!F80*-1</f>
        <v>-396239</v>
      </c>
      <c r="G376" s="203"/>
      <c r="H376" s="203">
        <f t="shared" si="13"/>
        <v>-140570</v>
      </c>
      <c r="I376" s="36"/>
      <c r="J376" s="52">
        <f t="shared" si="14"/>
        <v>0.35476063688834264</v>
      </c>
    </row>
    <row r="377" spans="1:10" s="328" customFormat="1" ht="15" customHeight="1" x14ac:dyDescent="0.2">
      <c r="A377" s="36" t="str">
        <f>'pyg y notas'!A81</f>
        <v>Educación continua</v>
      </c>
      <c r="B377" s="36"/>
      <c r="C377" s="36"/>
      <c r="D377" s="203">
        <f>'pyg y notas'!D81*-1</f>
        <v>-966334</v>
      </c>
      <c r="E377" s="203"/>
      <c r="F377" s="203">
        <f>'pyg y notas'!F81*-1</f>
        <v>-813175</v>
      </c>
      <c r="G377" s="203"/>
      <c r="H377" s="203">
        <f t="shared" si="13"/>
        <v>-153159</v>
      </c>
      <c r="I377" s="36"/>
      <c r="J377" s="52">
        <f t="shared" si="14"/>
        <v>0.18834691179635379</v>
      </c>
    </row>
    <row r="378" spans="1:10" s="328" customFormat="1" ht="15" customHeight="1" x14ac:dyDescent="0.2">
      <c r="A378" s="36" t="str">
        <f>'pyg y notas'!A82</f>
        <v>Centro de idiomas</v>
      </c>
      <c r="B378" s="36"/>
      <c r="C378" s="36"/>
      <c r="D378" s="203">
        <f>'pyg y notas'!D82*-1</f>
        <v>-74916</v>
      </c>
      <c r="E378" s="203"/>
      <c r="F378" s="203">
        <f>'pyg y notas'!F82*-1</f>
        <v>-61399</v>
      </c>
      <c r="G378" s="203"/>
      <c r="H378" s="203">
        <f t="shared" si="13"/>
        <v>-13517</v>
      </c>
      <c r="I378" s="36"/>
      <c r="J378" s="52">
        <f t="shared" si="14"/>
        <v>0.22015016531213863</v>
      </c>
    </row>
    <row r="379" spans="1:10" s="328" customFormat="1" ht="15" customHeight="1" x14ac:dyDescent="0.2">
      <c r="A379" s="36" t="str">
        <f>'pyg y notas'!A83</f>
        <v>Derechos académicos</v>
      </c>
      <c r="B379" s="36"/>
      <c r="C379" s="36"/>
      <c r="D379" s="203">
        <f>'pyg y notas'!D83*-1</f>
        <v>-23533</v>
      </c>
      <c r="E379" s="203"/>
      <c r="F379" s="203">
        <f>'pyg y notas'!F83*-1</f>
        <v>-13507</v>
      </c>
      <c r="G379" s="203"/>
      <c r="H379" s="203">
        <f t="shared" si="13"/>
        <v>-10026</v>
      </c>
      <c r="I379" s="36"/>
      <c r="J379" s="52">
        <f t="shared" si="14"/>
        <v>0.74228177981787224</v>
      </c>
    </row>
    <row r="380" spans="1:10" s="328" customFormat="1" ht="15" customHeight="1" x14ac:dyDescent="0.2">
      <c r="A380" s="36" t="str">
        <f>'pyg y notas'!A84</f>
        <v>Otros ingresos operacionales</v>
      </c>
      <c r="B380" s="36"/>
      <c r="C380" s="36"/>
      <c r="D380" s="203">
        <f>'pyg y notas'!D84*-1</f>
        <v>0</v>
      </c>
      <c r="E380" s="203"/>
      <c r="F380" s="203">
        <f>'pyg y notas'!F84*-1</f>
        <v>-860</v>
      </c>
      <c r="G380" s="203"/>
      <c r="H380" s="203">
        <f t="shared" si="13"/>
        <v>860</v>
      </c>
      <c r="I380" s="36"/>
      <c r="J380" s="52">
        <f t="shared" si="14"/>
        <v>-1</v>
      </c>
    </row>
    <row r="381" spans="1:10" s="328" customFormat="1" ht="15" customHeight="1" x14ac:dyDescent="0.2">
      <c r="A381" s="36" t="str">
        <f>'pyg y notas'!A85</f>
        <v>Desarrollo artístico</v>
      </c>
      <c r="B381" s="36"/>
      <c r="C381" s="36"/>
      <c r="D381" s="203">
        <f>'pyg y notas'!D85*-1</f>
        <v>-25565</v>
      </c>
      <c r="E381" s="203"/>
      <c r="F381" s="203">
        <f>'pyg y notas'!F85*-1</f>
        <v>-17529</v>
      </c>
      <c r="G381" s="203"/>
      <c r="H381" s="203">
        <f t="shared" si="13"/>
        <v>-8036</v>
      </c>
      <c r="I381" s="36"/>
      <c r="J381" s="52">
        <f t="shared" si="14"/>
        <v>0.45844029893319643</v>
      </c>
    </row>
    <row r="382" spans="1:10" s="328" customFormat="1" ht="15" customHeight="1" x14ac:dyDescent="0.2">
      <c r="A382" s="36" t="str">
        <f>'pyg y notas'!A86</f>
        <v>Deportes</v>
      </c>
      <c r="B382" s="36"/>
      <c r="C382" s="36"/>
      <c r="D382" s="203">
        <f>'pyg y notas'!D86*-1</f>
        <v>-570</v>
      </c>
      <c r="E382" s="203"/>
      <c r="F382" s="203">
        <f>'pyg y notas'!F86*-1</f>
        <v>-811</v>
      </c>
      <c r="G382" s="203"/>
      <c r="H382" s="203">
        <f t="shared" si="13"/>
        <v>241</v>
      </c>
      <c r="I382" s="36"/>
      <c r="J382" s="52">
        <f t="shared" si="14"/>
        <v>-0.29716399506781749</v>
      </c>
    </row>
    <row r="383" spans="1:10" s="328" customFormat="1" ht="15" customHeight="1" x14ac:dyDescent="0.2">
      <c r="D383" s="204"/>
      <c r="E383" s="204"/>
      <c r="F383" s="204"/>
      <c r="G383" s="204"/>
      <c r="H383" s="204"/>
      <c r="J383" s="49"/>
    </row>
    <row r="384" spans="1:10" s="328" customFormat="1" ht="15" customHeight="1" x14ac:dyDescent="0.2">
      <c r="A384" s="3" t="str">
        <f>'pyg y notas'!A88</f>
        <v>TOTAL</v>
      </c>
      <c r="B384" s="3"/>
      <c r="C384" s="3"/>
      <c r="D384" s="197">
        <f>SUM(D375:D383)</f>
        <v>-2801651</v>
      </c>
      <c r="E384" s="197"/>
      <c r="F384" s="197">
        <f>SUM(F375:F383)</f>
        <v>-2182842</v>
      </c>
      <c r="G384" s="197"/>
      <c r="H384" s="197">
        <f>SUM(H375:H383)</f>
        <v>-618809</v>
      </c>
      <c r="I384" s="3"/>
      <c r="J384" s="14">
        <f>H384/F384</f>
        <v>0.28348776503292494</v>
      </c>
    </row>
    <row r="385" spans="1:10" s="328" customFormat="1" ht="15" customHeight="1" x14ac:dyDescent="0.2">
      <c r="A385" s="12"/>
      <c r="B385" s="12"/>
      <c r="C385" s="12"/>
      <c r="D385" s="198"/>
      <c r="E385" s="198"/>
      <c r="F385" s="198"/>
      <c r="G385" s="198"/>
      <c r="H385" s="198"/>
      <c r="I385" s="12"/>
      <c r="J385" s="17"/>
    </row>
    <row r="386" spans="1:10" s="328" customFormat="1" ht="15" customHeight="1" x14ac:dyDescent="0.2">
      <c r="A386" s="12"/>
      <c r="B386" s="12"/>
      <c r="C386" s="12"/>
      <c r="D386" s="198"/>
      <c r="E386" s="198"/>
      <c r="F386" s="198"/>
      <c r="G386" s="198"/>
      <c r="H386" s="198"/>
      <c r="I386" s="12"/>
      <c r="J386" s="17"/>
    </row>
    <row r="387" spans="1:10" s="328" customFormat="1" ht="15" customHeight="1" x14ac:dyDescent="0.2">
      <c r="A387" s="12"/>
      <c r="B387" s="12"/>
      <c r="C387" s="12"/>
      <c r="D387" s="198"/>
      <c r="E387" s="198"/>
      <c r="F387" s="198"/>
      <c r="G387" s="198"/>
      <c r="H387" s="198"/>
      <c r="I387" s="12"/>
      <c r="J387" s="17"/>
    </row>
    <row r="388" spans="1:10" s="254" customFormat="1" ht="18" x14ac:dyDescent="0.25">
      <c r="A388" s="43" t="str">
        <f>'pyg y notas'!A90</f>
        <v>20. BECAS</v>
      </c>
      <c r="B388" s="12"/>
      <c r="C388" s="12"/>
      <c r="D388" s="13"/>
      <c r="E388" s="13"/>
      <c r="F388" s="13"/>
      <c r="G388" s="13"/>
      <c r="H388" s="13"/>
      <c r="I388" s="13"/>
      <c r="J388" s="17"/>
    </row>
    <row r="389" spans="1:10" s="328" customFormat="1" ht="6.75" customHeight="1" x14ac:dyDescent="0.2">
      <c r="D389" s="257"/>
      <c r="F389" s="257"/>
      <c r="J389" s="49"/>
    </row>
    <row r="390" spans="1:10" s="328" customFormat="1" ht="15" customHeight="1" x14ac:dyDescent="0.2">
      <c r="A390" s="69"/>
      <c r="B390" s="69"/>
      <c r="C390" s="69"/>
      <c r="D390" s="66">
        <f>$D$6</f>
        <v>2013</v>
      </c>
      <c r="E390" s="67"/>
      <c r="F390" s="66">
        <f>$F$6</f>
        <v>2012</v>
      </c>
      <c r="G390" s="67"/>
      <c r="H390" s="68" t="str">
        <f>$H$6</f>
        <v>DIFERENCIA</v>
      </c>
      <c r="I390" s="66"/>
      <c r="J390" s="295" t="str">
        <f>$J$6</f>
        <v>DIFERENCIA</v>
      </c>
    </row>
    <row r="391" spans="1:10" s="328" customFormat="1" ht="15" customHeight="1" x14ac:dyDescent="0.2">
      <c r="A391" s="69"/>
      <c r="B391" s="69"/>
      <c r="C391" s="69"/>
      <c r="D391" s="67"/>
      <c r="E391" s="67"/>
      <c r="F391" s="67"/>
      <c r="G391" s="67"/>
      <c r="H391" s="68" t="str">
        <f>$H$7</f>
        <v>EN $</v>
      </c>
      <c r="I391" s="296"/>
      <c r="J391" s="295" t="str">
        <f>$J$7</f>
        <v>EN %</v>
      </c>
    </row>
    <row r="392" spans="1:10" s="328" customFormat="1" ht="9.9499999999999993" customHeight="1" x14ac:dyDescent="0.2">
      <c r="D392" s="257"/>
      <c r="F392" s="257"/>
      <c r="J392" s="49"/>
    </row>
    <row r="393" spans="1:10" s="328" customFormat="1" ht="15" customHeight="1" x14ac:dyDescent="0.2">
      <c r="A393" s="36" t="str">
        <f>'pyg y notas'!A92</f>
        <v>Pregrado</v>
      </c>
      <c r="B393" s="36"/>
      <c r="C393" s="36"/>
      <c r="D393" s="203">
        <f>'pyg y notas'!D92*-1</f>
        <v>-4915421</v>
      </c>
      <c r="E393" s="203"/>
      <c r="F393" s="203">
        <f>'pyg y notas'!F92*-1</f>
        <v>-4811429</v>
      </c>
      <c r="G393" s="203"/>
      <c r="H393" s="203">
        <f>D393-F393</f>
        <v>-103992</v>
      </c>
      <c r="I393" s="36"/>
      <c r="J393" s="52">
        <f t="shared" ref="J393:J398" si="15">IF((F393&lt;&gt;0),(H393/F393),1)</f>
        <v>2.1613537267202738E-2</v>
      </c>
    </row>
    <row r="394" spans="1:10" s="328" customFormat="1" ht="15" customHeight="1" x14ac:dyDescent="0.2">
      <c r="A394" s="36" t="str">
        <f>'pyg y notas'!A93</f>
        <v>Formación avanzada</v>
      </c>
      <c r="B394" s="36"/>
      <c r="C394" s="36"/>
      <c r="D394" s="203">
        <f>'pyg y notas'!D93*-1</f>
        <v>-2488673</v>
      </c>
      <c r="E394" s="203"/>
      <c r="F394" s="203">
        <f>'pyg y notas'!F93*-1</f>
        <v>-2179551</v>
      </c>
      <c r="G394" s="203"/>
      <c r="H394" s="203">
        <f>D394-F394</f>
        <v>-309122</v>
      </c>
      <c r="I394" s="36"/>
      <c r="J394" s="52">
        <f t="shared" si="15"/>
        <v>0.14182829399266178</v>
      </c>
    </row>
    <row r="395" spans="1:10" s="328" customFormat="1" ht="15" customHeight="1" x14ac:dyDescent="0.2">
      <c r="A395" s="36" t="str">
        <f>'pyg y notas'!A94</f>
        <v>Educación continua</v>
      </c>
      <c r="B395" s="36"/>
      <c r="C395" s="36"/>
    </row>
    <row r="396" spans="1:10" s="328" customFormat="1" ht="15" customHeight="1" x14ac:dyDescent="0.2">
      <c r="A396" s="36"/>
      <c r="B396" s="36" t="s">
        <v>487</v>
      </c>
      <c r="C396" s="36"/>
      <c r="D396" s="203">
        <f>'pyg y notas'!D94*-1-D397</f>
        <v>-154028</v>
      </c>
      <c r="E396" s="203"/>
      <c r="F396" s="203">
        <f>'pyg y notas'!F94*-1</f>
        <v>-21915</v>
      </c>
      <c r="G396" s="203"/>
      <c r="H396" s="203">
        <f>D396-F396</f>
        <v>-132113</v>
      </c>
      <c r="I396" s="36"/>
      <c r="J396" s="52">
        <f>IF((F396&lt;&gt;0),(H396/F396),1)</f>
        <v>6.0284280173397216</v>
      </c>
    </row>
    <row r="397" spans="1:10" s="328" customFormat="1" ht="15" customHeight="1" x14ac:dyDescent="0.2">
      <c r="A397" s="36"/>
      <c r="B397" s="36" t="s">
        <v>486</v>
      </c>
      <c r="C397" s="36"/>
      <c r="D397" s="203">
        <f>Validaciones!B9</f>
        <v>-4450000</v>
      </c>
      <c r="E397" s="203"/>
      <c r="F397" s="203">
        <v>0</v>
      </c>
      <c r="G397" s="203"/>
      <c r="H397" s="203">
        <f>D397-F397</f>
        <v>-4450000</v>
      </c>
      <c r="I397" s="36"/>
      <c r="J397" s="52">
        <f>IF((F397&lt;&gt;0),(H397/F397),1)</f>
        <v>1</v>
      </c>
    </row>
    <row r="398" spans="1:10" s="328" customFormat="1" ht="15" customHeight="1" x14ac:dyDescent="0.2">
      <c r="A398" s="36" t="str">
        <f>'pyg y notas'!A95</f>
        <v>Centro de idiomas</v>
      </c>
      <c r="B398" s="36"/>
      <c r="C398" s="36"/>
      <c r="D398" s="203">
        <f>'pyg y notas'!D95*-1</f>
        <v>-138370</v>
      </c>
      <c r="E398" s="203"/>
      <c r="F398" s="203">
        <f>'pyg y notas'!F95*-1</f>
        <v>-103422</v>
      </c>
      <c r="G398" s="203"/>
      <c r="H398" s="203">
        <f>D398-F398</f>
        <v>-34948</v>
      </c>
      <c r="I398" s="36"/>
      <c r="J398" s="52">
        <f t="shared" si="15"/>
        <v>0.33791649745702074</v>
      </c>
    </row>
    <row r="399" spans="1:10" s="328" customFormat="1" ht="6" customHeight="1" x14ac:dyDescent="0.2">
      <c r="D399" s="204"/>
      <c r="E399" s="204"/>
      <c r="F399" s="204"/>
      <c r="G399" s="204"/>
      <c r="H399" s="204"/>
      <c r="J399" s="49"/>
    </row>
    <row r="400" spans="1:10" s="328" customFormat="1" ht="15" customHeight="1" x14ac:dyDescent="0.2">
      <c r="A400" s="3" t="str">
        <f>'pyg y notas'!A96</f>
        <v>TOTAL</v>
      </c>
      <c r="B400" s="3"/>
      <c r="C400" s="3"/>
      <c r="D400" s="197">
        <f>SUM(D393:D399)</f>
        <v>-12146492</v>
      </c>
      <c r="E400" s="197"/>
      <c r="F400" s="197">
        <f>SUM(F393:F399)</f>
        <v>-7116317</v>
      </c>
      <c r="G400" s="197"/>
      <c r="H400" s="197">
        <f>SUM(H393:H399)</f>
        <v>-5030175</v>
      </c>
      <c r="I400" s="3"/>
      <c r="J400" s="14">
        <f>H400/F400</f>
        <v>0.70685088930130568</v>
      </c>
    </row>
    <row r="401" spans="1:10" s="328" customFormat="1" ht="9.9499999999999993" customHeight="1" x14ac:dyDescent="0.2">
      <c r="A401" s="12"/>
      <c r="B401" s="12"/>
      <c r="C401" s="12"/>
      <c r="D401" s="365"/>
      <c r="E401" s="383"/>
      <c r="F401" s="365"/>
      <c r="G401" s="383"/>
      <c r="H401" s="365"/>
      <c r="I401" s="12"/>
      <c r="J401" s="17"/>
    </row>
    <row r="402" spans="1:10" s="254" customFormat="1" ht="18" x14ac:dyDescent="0.25">
      <c r="A402" s="43" t="str">
        <f>'pyg y notas'!A98</f>
        <v>21. DESCUENTOS</v>
      </c>
      <c r="D402" s="257"/>
      <c r="F402" s="257"/>
      <c r="J402" s="49"/>
    </row>
    <row r="403" spans="1:10" s="328" customFormat="1" ht="5.25" customHeight="1" x14ac:dyDescent="0.2">
      <c r="A403" s="12"/>
      <c r="D403" s="257"/>
      <c r="F403" s="257"/>
      <c r="J403" s="49"/>
    </row>
    <row r="404" spans="1:10" s="328" customFormat="1" ht="15" customHeight="1" x14ac:dyDescent="0.2">
      <c r="A404" s="69"/>
      <c r="B404" s="69"/>
      <c r="C404" s="69"/>
      <c r="D404" s="66">
        <f>$D$6</f>
        <v>2013</v>
      </c>
      <c r="E404" s="67"/>
      <c r="F404" s="66">
        <f>$F$6</f>
        <v>2012</v>
      </c>
      <c r="G404" s="67"/>
      <c r="H404" s="68" t="str">
        <f>$H$6</f>
        <v>DIFERENCIA</v>
      </c>
      <c r="I404" s="66"/>
      <c r="J404" s="295" t="str">
        <f>$J$6</f>
        <v>DIFERENCIA</v>
      </c>
    </row>
    <row r="405" spans="1:10" s="328" customFormat="1" ht="15" customHeight="1" x14ac:dyDescent="0.2">
      <c r="A405" s="69"/>
      <c r="B405" s="69"/>
      <c r="C405" s="69"/>
      <c r="D405" s="67"/>
      <c r="E405" s="67"/>
      <c r="F405" s="67"/>
      <c r="G405" s="67"/>
      <c r="H405" s="68" t="str">
        <f>$H$7</f>
        <v>EN $</v>
      </c>
      <c r="I405" s="296"/>
      <c r="J405" s="295" t="str">
        <f>$J$7</f>
        <v>EN %</v>
      </c>
    </row>
    <row r="406" spans="1:10" s="328" customFormat="1" ht="9.9499999999999993" customHeight="1" x14ac:dyDescent="0.2">
      <c r="D406" s="257"/>
      <c r="F406" s="257"/>
      <c r="J406" s="49"/>
    </row>
    <row r="407" spans="1:10" s="328" customFormat="1" ht="15" customHeight="1" x14ac:dyDescent="0.2">
      <c r="A407" s="36" t="str">
        <f>'pyg y notas'!A100</f>
        <v>Pregrado</v>
      </c>
      <c r="B407" s="36"/>
      <c r="C407" s="36"/>
      <c r="D407" s="203">
        <f>'pyg y notas'!D100*-1</f>
        <v>-3496984</v>
      </c>
      <c r="E407" s="203"/>
      <c r="F407" s="203">
        <f>'pyg y notas'!F100*-1</f>
        <v>-2808813</v>
      </c>
      <c r="G407" s="203"/>
      <c r="H407" s="203">
        <f t="shared" ref="H407:H415" si="16">D407-F407</f>
        <v>-688171</v>
      </c>
      <c r="I407" s="36"/>
      <c r="J407" s="52">
        <f t="shared" ref="J407:J414" si="17">IF((F407&lt;&gt;0),(H407/F407),1)</f>
        <v>0.24500420640320306</v>
      </c>
    </row>
    <row r="408" spans="1:10" s="328" customFormat="1" ht="15" customHeight="1" x14ac:dyDescent="0.2">
      <c r="A408" s="36" t="str">
        <f>'pyg y notas'!A101</f>
        <v>Formación avanzada</v>
      </c>
      <c r="B408" s="36"/>
      <c r="C408" s="36"/>
      <c r="D408" s="203">
        <f>'pyg y notas'!D101*-1</f>
        <v>-393135</v>
      </c>
      <c r="E408" s="203"/>
      <c r="F408" s="203">
        <f>'pyg y notas'!F101*-1</f>
        <v>-319181</v>
      </c>
      <c r="G408" s="203"/>
      <c r="H408" s="203">
        <f t="shared" si="16"/>
        <v>-73954</v>
      </c>
      <c r="I408" s="36"/>
      <c r="J408" s="52">
        <f t="shared" si="17"/>
        <v>0.23169925528148605</v>
      </c>
    </row>
    <row r="409" spans="1:10" s="328" customFormat="1" ht="15" customHeight="1" x14ac:dyDescent="0.2">
      <c r="A409" s="36" t="str">
        <f>'pyg y notas'!A102</f>
        <v>Educación continua</v>
      </c>
      <c r="B409" s="36"/>
      <c r="C409" s="36"/>
      <c r="D409" s="203">
        <f>'pyg y notas'!D102*-1</f>
        <v>-742873</v>
      </c>
      <c r="E409" s="203"/>
      <c r="F409" s="203">
        <f>'pyg y notas'!F102*-1</f>
        <v>-820434</v>
      </c>
      <c r="G409" s="203"/>
      <c r="H409" s="203">
        <f t="shared" si="16"/>
        <v>77561</v>
      </c>
      <c r="I409" s="36"/>
      <c r="J409" s="52">
        <f t="shared" si="17"/>
        <v>-9.453655016735045E-2</v>
      </c>
    </row>
    <row r="410" spans="1:10" s="328" customFormat="1" ht="15" customHeight="1" x14ac:dyDescent="0.2">
      <c r="A410" s="36" t="str">
        <f>'pyg y notas'!A103</f>
        <v>Centro de idiomas</v>
      </c>
      <c r="B410" s="36"/>
      <c r="C410" s="36"/>
      <c r="D410" s="203">
        <f>'pyg y notas'!D103*-1</f>
        <v>-947992</v>
      </c>
      <c r="E410" s="203"/>
      <c r="F410" s="203">
        <f>'pyg y notas'!F103*-1</f>
        <v>-813426</v>
      </c>
      <c r="G410" s="203"/>
      <c r="H410" s="203">
        <f t="shared" si="16"/>
        <v>-134566</v>
      </c>
      <c r="I410" s="36"/>
      <c r="J410" s="52">
        <f t="shared" si="17"/>
        <v>0.16543115169665096</v>
      </c>
    </row>
    <row r="411" spans="1:10" s="328" customFormat="1" ht="14.25" customHeight="1" x14ac:dyDescent="0.2">
      <c r="A411" s="36" t="str">
        <f>'pyg y notas'!A104</f>
        <v>Derechos academicos</v>
      </c>
      <c r="B411" s="36"/>
      <c r="C411" s="36"/>
      <c r="D411" s="203">
        <v>-1330</v>
      </c>
      <c r="E411" s="203"/>
      <c r="F411" s="203">
        <v>0</v>
      </c>
      <c r="G411" s="203"/>
      <c r="H411" s="203">
        <f t="shared" si="16"/>
        <v>-1330</v>
      </c>
      <c r="I411" s="36"/>
      <c r="J411" s="52">
        <f t="shared" si="17"/>
        <v>1</v>
      </c>
    </row>
    <row r="412" spans="1:10" s="328" customFormat="1" ht="15" customHeight="1" x14ac:dyDescent="0.2">
      <c r="A412" s="36" t="str">
        <f>'pyg y notas'!A105</f>
        <v>Desarrollo artístico</v>
      </c>
      <c r="B412" s="36"/>
      <c r="C412" s="36"/>
      <c r="D412" s="203">
        <f>'pyg y notas'!D105*-1</f>
        <v>-117140</v>
      </c>
      <c r="E412" s="203"/>
      <c r="F412" s="203">
        <f>'pyg y notas'!F105*-1</f>
        <v>-86584</v>
      </c>
      <c r="G412" s="203"/>
      <c r="H412" s="203">
        <f t="shared" si="16"/>
        <v>-30556</v>
      </c>
      <c r="I412" s="36"/>
      <c r="J412" s="52">
        <f t="shared" si="17"/>
        <v>0.35290584865564079</v>
      </c>
    </row>
    <row r="413" spans="1:10" s="328" customFormat="1" ht="15" customHeight="1" x14ac:dyDescent="0.2">
      <c r="A413" s="36" t="str">
        <f>'pyg y notas'!A106</f>
        <v>Fondo editorial</v>
      </c>
      <c r="B413" s="36"/>
      <c r="C413" s="36"/>
      <c r="D413" s="203">
        <f>'pyg y notas'!D106*-1</f>
        <v>-106439</v>
      </c>
      <c r="E413" s="203"/>
      <c r="F413" s="203">
        <f>'pyg y notas'!F106*-1</f>
        <v>-65474</v>
      </c>
      <c r="G413" s="203"/>
      <c r="H413" s="203">
        <f t="shared" si="16"/>
        <v>-40965</v>
      </c>
      <c r="I413" s="36"/>
      <c r="J413" s="52">
        <f t="shared" si="17"/>
        <v>0.62566820417264868</v>
      </c>
    </row>
    <row r="414" spans="1:10" s="328" customFormat="1" ht="15" customHeight="1" x14ac:dyDescent="0.2">
      <c r="A414" s="36" t="str">
        <f>'pyg y notas'!A107</f>
        <v>Acentos</v>
      </c>
      <c r="B414" s="36"/>
      <c r="C414" s="36"/>
      <c r="D414" s="203">
        <f>'pyg y notas'!D107*-1</f>
        <v>-44990</v>
      </c>
      <c r="E414" s="203"/>
      <c r="F414" s="203">
        <f>'pyg y notas'!F107*-1</f>
        <v>-32834</v>
      </c>
      <c r="G414" s="203"/>
      <c r="H414" s="203">
        <f t="shared" si="16"/>
        <v>-12156</v>
      </c>
      <c r="I414" s="36"/>
      <c r="J414" s="52">
        <f t="shared" si="17"/>
        <v>0.37022598525918254</v>
      </c>
    </row>
    <row r="415" spans="1:10" s="328" customFormat="1" ht="15" customHeight="1" x14ac:dyDescent="0.2">
      <c r="A415" s="36" t="str">
        <f>'pyg y notas'!A108</f>
        <v>Vivo</v>
      </c>
      <c r="B415" s="36"/>
      <c r="C415" s="36"/>
      <c r="D415" s="203">
        <f>'pyg y notas'!D108*-1</f>
        <v>-63986</v>
      </c>
      <c r="E415" s="203"/>
      <c r="F415" s="203">
        <f>'pyg y notas'!F108*-1</f>
        <v>-29100</v>
      </c>
      <c r="G415" s="203"/>
      <c r="H415" s="203">
        <f t="shared" si="16"/>
        <v>-34886</v>
      </c>
      <c r="I415" s="36"/>
      <c r="J415" s="52">
        <f>IF((F415&lt;&gt;0),(H415/F415),1)</f>
        <v>1.1988316151202749</v>
      </c>
    </row>
    <row r="416" spans="1:10" s="328" customFormat="1" ht="9.9499999999999993" customHeight="1" x14ac:dyDescent="0.2">
      <c r="D416" s="204"/>
      <c r="E416" s="204"/>
      <c r="F416" s="204"/>
      <c r="G416" s="204"/>
      <c r="H416" s="204"/>
      <c r="J416" s="49"/>
    </row>
    <row r="417" spans="1:10" s="328" customFormat="1" ht="15" customHeight="1" x14ac:dyDescent="0.2">
      <c r="A417" s="3" t="str">
        <f>'pyg y notas'!A110</f>
        <v>TOTAL</v>
      </c>
      <c r="B417" s="3"/>
      <c r="C417" s="3"/>
      <c r="D417" s="197">
        <f>SUM(D407:D416)</f>
        <v>-5914869</v>
      </c>
      <c r="E417" s="197"/>
      <c r="F417" s="197">
        <f>SUM(F407:F416)</f>
        <v>-4975846</v>
      </c>
      <c r="G417" s="197"/>
      <c r="H417" s="197">
        <f>SUM(H407:H416)</f>
        <v>-939023</v>
      </c>
      <c r="I417" s="3"/>
      <c r="J417" s="14">
        <f>H417/F417</f>
        <v>0.18871625046273538</v>
      </c>
    </row>
    <row r="418" spans="1:10" s="328" customFormat="1" ht="9.9499999999999993" customHeight="1" x14ac:dyDescent="0.2">
      <c r="A418" s="12"/>
      <c r="B418" s="12"/>
      <c r="C418" s="12"/>
      <c r="D418" s="365"/>
      <c r="E418" s="383"/>
      <c r="F418" s="365"/>
      <c r="G418" s="383"/>
      <c r="H418" s="97"/>
      <c r="I418" s="12"/>
      <c r="J418" s="17"/>
    </row>
    <row r="419" spans="1:10" s="254" customFormat="1" ht="18" x14ac:dyDescent="0.25">
      <c r="A419" s="42" t="str">
        <f>'pyg y notas'!A112</f>
        <v>22. GASTOS DE ADMINISTRACIÓN</v>
      </c>
      <c r="D419" s="257"/>
      <c r="F419" s="257"/>
      <c r="J419" s="49"/>
    </row>
    <row r="420" spans="1:10" s="328" customFormat="1" ht="9.9499999999999993" customHeight="1" x14ac:dyDescent="0.2">
      <c r="D420" s="257"/>
      <c r="F420" s="257"/>
      <c r="J420" s="49"/>
    </row>
    <row r="421" spans="1:10" s="328" customFormat="1" ht="15" customHeight="1" x14ac:dyDescent="0.2">
      <c r="A421" s="69"/>
      <c r="B421" s="69"/>
      <c r="C421" s="69"/>
      <c r="D421" s="66">
        <f>$D$6</f>
        <v>2013</v>
      </c>
      <c r="E421" s="67"/>
      <c r="F421" s="66">
        <f>$F$6</f>
        <v>2012</v>
      </c>
      <c r="G421" s="67"/>
      <c r="H421" s="68" t="str">
        <f>$H$6</f>
        <v>DIFERENCIA</v>
      </c>
      <c r="I421" s="66"/>
      <c r="J421" s="295" t="str">
        <f>$J$6</f>
        <v>DIFERENCIA</v>
      </c>
    </row>
    <row r="422" spans="1:10" s="328" customFormat="1" ht="12.75" customHeight="1" x14ac:dyDescent="0.2">
      <c r="A422" s="69"/>
      <c r="B422" s="69"/>
      <c r="C422" s="69"/>
      <c r="D422" s="67"/>
      <c r="E422" s="67"/>
      <c r="F422" s="67"/>
      <c r="G422" s="67"/>
      <c r="H422" s="68" t="str">
        <f>$H$7</f>
        <v>EN $</v>
      </c>
      <c r="I422" s="296"/>
      <c r="J422" s="295" t="str">
        <f>$J$7</f>
        <v>EN %</v>
      </c>
    </row>
    <row r="423" spans="1:10" s="328" customFormat="1" ht="9.9499999999999993" customHeight="1" x14ac:dyDescent="0.2">
      <c r="D423" s="257"/>
      <c r="F423" s="257"/>
      <c r="J423" s="49"/>
    </row>
    <row r="424" spans="1:10" s="328" customFormat="1" ht="15" customHeight="1" x14ac:dyDescent="0.2">
      <c r="A424" s="451" t="str">
        <f>'pyg y notas'!A115</f>
        <v>De Personal</v>
      </c>
      <c r="B424" s="447"/>
      <c r="C424" s="36"/>
      <c r="D424" s="203">
        <f>'pyg y notas'!D115</f>
        <v>110236564</v>
      </c>
      <c r="E424" s="203"/>
      <c r="F424" s="203">
        <f>'pyg y notas'!F115</f>
        <v>96130774</v>
      </c>
      <c r="G424" s="203"/>
      <c r="H424" s="203">
        <f t="shared" ref="H424:H455" si="18">D424-F424</f>
        <v>14105790</v>
      </c>
      <c r="I424" s="36"/>
      <c r="J424" s="52">
        <f t="shared" ref="J424:J455" si="19">IF((F424&lt;&gt;0),(H424/F424),1)</f>
        <v>0.14673542522397667</v>
      </c>
    </row>
    <row r="425" spans="1:10" s="328" customFormat="1" ht="15" customHeight="1" x14ac:dyDescent="0.2">
      <c r="A425" s="447" t="str">
        <f>'pyg y notas'!A116</f>
        <v>Honorarios</v>
      </c>
      <c r="B425" s="447"/>
      <c r="C425" s="36"/>
      <c r="D425" s="203">
        <f>'pyg y notas'!D116</f>
        <v>20200427</v>
      </c>
      <c r="E425" s="203"/>
      <c r="F425" s="203">
        <f>'pyg y notas'!F116</f>
        <v>16324513</v>
      </c>
      <c r="G425" s="203"/>
      <c r="H425" s="203">
        <f t="shared" si="18"/>
        <v>3875914</v>
      </c>
      <c r="I425" s="36"/>
      <c r="J425" s="52">
        <f t="shared" si="19"/>
        <v>0.23742907368814004</v>
      </c>
    </row>
    <row r="426" spans="1:10" s="328" customFormat="1" ht="15" customHeight="1" x14ac:dyDescent="0.2">
      <c r="A426" s="447" t="str">
        <f>'pyg y notas'!A117</f>
        <v xml:space="preserve">Impuestos </v>
      </c>
      <c r="B426" s="447"/>
      <c r="C426" s="36"/>
      <c r="D426" s="203">
        <f>'pyg y notas'!D117</f>
        <v>2606347</v>
      </c>
      <c r="E426" s="203"/>
      <c r="F426" s="203">
        <f>'pyg y notas'!F117</f>
        <v>1048916</v>
      </c>
      <c r="G426" s="203"/>
      <c r="H426" s="203">
        <f t="shared" si="18"/>
        <v>1557431</v>
      </c>
      <c r="I426" s="36"/>
      <c r="J426" s="52">
        <f t="shared" si="19"/>
        <v>1.4848004988006667</v>
      </c>
    </row>
    <row r="427" spans="1:10" s="328" customFormat="1" ht="15" customHeight="1" x14ac:dyDescent="0.2">
      <c r="A427" s="447" t="str">
        <f>'pyg y notas'!A118</f>
        <v>Arrendamientos</v>
      </c>
      <c r="B427" s="447"/>
      <c r="C427" s="36"/>
      <c r="D427" s="203">
        <f>'pyg y notas'!D118</f>
        <v>2468925</v>
      </c>
      <c r="E427" s="203"/>
      <c r="F427" s="203">
        <f>'pyg y notas'!F118</f>
        <v>2375151</v>
      </c>
      <c r="G427" s="203"/>
      <c r="H427" s="203">
        <f t="shared" si="18"/>
        <v>93774</v>
      </c>
      <c r="I427" s="36"/>
      <c r="J427" s="52">
        <f t="shared" si="19"/>
        <v>3.9481279295505843E-2</v>
      </c>
    </row>
    <row r="428" spans="1:10" s="328" customFormat="1" ht="15" customHeight="1" x14ac:dyDescent="0.2">
      <c r="A428" s="447" t="str">
        <f>'pyg y notas'!A119</f>
        <v>Contribuciones y afiliaciones</v>
      </c>
      <c r="B428" s="447"/>
      <c r="C428" s="36"/>
      <c r="D428" s="203">
        <f>'pyg y notas'!D119</f>
        <v>734237</v>
      </c>
      <c r="E428" s="203"/>
      <c r="F428" s="203">
        <f>'pyg y notas'!F119</f>
        <v>1173602</v>
      </c>
      <c r="G428" s="203"/>
      <c r="H428" s="203">
        <f t="shared" si="18"/>
        <v>-439365</v>
      </c>
      <c r="I428" s="36"/>
      <c r="J428" s="52">
        <f t="shared" si="19"/>
        <v>-0.3743730838904501</v>
      </c>
    </row>
    <row r="429" spans="1:10" s="328" customFormat="1" ht="15" customHeight="1" x14ac:dyDescent="0.2">
      <c r="A429" s="447" t="str">
        <f>'pyg y notas'!A120</f>
        <v>Seguros</v>
      </c>
      <c r="B429" s="447"/>
      <c r="C429" s="36"/>
      <c r="D429" s="203">
        <f>'pyg y notas'!D120</f>
        <v>886414</v>
      </c>
      <c r="E429" s="203"/>
      <c r="F429" s="203">
        <f>'pyg y notas'!F120</f>
        <v>765034</v>
      </c>
      <c r="G429" s="203"/>
      <c r="H429" s="203">
        <f t="shared" si="18"/>
        <v>121380</v>
      </c>
      <c r="I429" s="36"/>
      <c r="J429" s="52">
        <f t="shared" si="19"/>
        <v>0.15865961512821652</v>
      </c>
    </row>
    <row r="430" spans="1:10" s="328" customFormat="1" ht="15" customHeight="1" x14ac:dyDescent="0.2">
      <c r="A430" s="447" t="str">
        <f>'pyg y notas'!A121</f>
        <v>Servicios</v>
      </c>
      <c r="B430" s="447"/>
      <c r="C430" s="36"/>
      <c r="D430" s="203">
        <f>'pyg y notas'!D121</f>
        <v>10435192</v>
      </c>
      <c r="E430" s="203"/>
      <c r="F430" s="203">
        <f>'pyg y notas'!F121</f>
        <v>10136407</v>
      </c>
      <c r="G430" s="203"/>
      <c r="H430" s="203">
        <f t="shared" si="18"/>
        <v>298785</v>
      </c>
      <c r="I430" s="36"/>
      <c r="J430" s="52">
        <f t="shared" si="19"/>
        <v>2.9476420984279734E-2</v>
      </c>
    </row>
    <row r="431" spans="1:10" s="328" customFormat="1" ht="15" customHeight="1" x14ac:dyDescent="0.2">
      <c r="A431" s="447" t="str">
        <f>'pyg y notas'!A122</f>
        <v>Gastos legales</v>
      </c>
      <c r="B431" s="447"/>
      <c r="C431" s="36"/>
      <c r="D431" s="203">
        <f>'pyg y notas'!D122</f>
        <v>269142</v>
      </c>
      <c r="E431" s="203"/>
      <c r="F431" s="203">
        <f>'pyg y notas'!F122</f>
        <v>283778</v>
      </c>
      <c r="G431" s="203"/>
      <c r="H431" s="203">
        <f t="shared" si="18"/>
        <v>-14636</v>
      </c>
      <c r="I431" s="36"/>
      <c r="J431" s="52">
        <f t="shared" si="19"/>
        <v>-5.157552734884311E-2</v>
      </c>
    </row>
    <row r="432" spans="1:10" s="328" customFormat="1" ht="15" customHeight="1" x14ac:dyDescent="0.2">
      <c r="A432" s="447" t="str">
        <f>'pyg y notas'!A123</f>
        <v>Mantenimiento y reparación</v>
      </c>
      <c r="B432" s="447"/>
      <c r="C432" s="36"/>
      <c r="D432" s="203">
        <f>'pyg y notas'!D123</f>
        <v>2311337</v>
      </c>
      <c r="E432" s="203"/>
      <c r="F432" s="203">
        <f>'pyg y notas'!F123</f>
        <v>2348805</v>
      </c>
      <c r="G432" s="203"/>
      <c r="H432" s="203">
        <f t="shared" si="18"/>
        <v>-37468</v>
      </c>
      <c r="I432" s="36"/>
      <c r="J432" s="52">
        <f t="shared" si="19"/>
        <v>-1.595194151919806E-2</v>
      </c>
    </row>
    <row r="433" spans="1:10" s="328" customFormat="1" ht="15" customHeight="1" x14ac:dyDescent="0.2">
      <c r="A433" s="447" t="str">
        <f>'pyg y notas'!A124</f>
        <v>Adecuación e instalación</v>
      </c>
      <c r="B433" s="447"/>
      <c r="C433" s="36"/>
      <c r="D433" s="203">
        <f>'pyg y notas'!D124</f>
        <v>1734963</v>
      </c>
      <c r="E433" s="203"/>
      <c r="F433" s="203">
        <f>'pyg y notas'!F124</f>
        <v>1387127</v>
      </c>
      <c r="G433" s="203"/>
      <c r="H433" s="203">
        <f t="shared" si="18"/>
        <v>347836</v>
      </c>
      <c r="I433" s="36"/>
      <c r="J433" s="52">
        <f t="shared" si="19"/>
        <v>0.25076002413621823</v>
      </c>
    </row>
    <row r="434" spans="1:10" s="328" customFormat="1" ht="15" customHeight="1" x14ac:dyDescent="0.2">
      <c r="A434" s="451" t="str">
        <f>'pyg y notas'!A125</f>
        <v>Gastos de viaje</v>
      </c>
      <c r="B434" s="447"/>
      <c r="C434" s="36"/>
      <c r="D434" s="203">
        <f>'pyg y notas'!D125</f>
        <v>5586060</v>
      </c>
      <c r="E434" s="203"/>
      <c r="F434" s="203">
        <f>'pyg y notas'!F125</f>
        <v>4518474</v>
      </c>
      <c r="G434" s="203"/>
      <c r="H434" s="203">
        <f t="shared" si="18"/>
        <v>1067586</v>
      </c>
      <c r="I434" s="36"/>
      <c r="J434" s="52">
        <f t="shared" si="19"/>
        <v>0.23627136064078272</v>
      </c>
    </row>
    <row r="435" spans="1:10" s="328" customFormat="1" ht="15" customHeight="1" x14ac:dyDescent="0.2">
      <c r="A435" s="447" t="str">
        <f>'pyg y notas'!A126</f>
        <v>Depreciaciones</v>
      </c>
      <c r="B435" s="447"/>
      <c r="C435" s="36"/>
      <c r="D435" s="203">
        <f>'pyg y notas'!D126</f>
        <v>13114994</v>
      </c>
      <c r="E435" s="203"/>
      <c r="F435" s="203">
        <f>'pyg y notas'!F126</f>
        <v>11371626</v>
      </c>
      <c r="G435" s="203"/>
      <c r="H435" s="203">
        <f t="shared" si="18"/>
        <v>1743368</v>
      </c>
      <c r="I435" s="36"/>
      <c r="J435" s="52">
        <f t="shared" si="19"/>
        <v>0.15330859456686316</v>
      </c>
    </row>
    <row r="436" spans="1:10" s="328" customFormat="1" ht="15" customHeight="1" x14ac:dyDescent="0.2">
      <c r="A436" s="447" t="str">
        <f>'pyg y notas'!A127</f>
        <v>Amortizaciones</v>
      </c>
      <c r="B436" s="447"/>
      <c r="C436" s="36"/>
      <c r="D436" s="203">
        <f>'pyg y notas'!D127</f>
        <v>1419704</v>
      </c>
      <c r="E436" s="203"/>
      <c r="F436" s="203">
        <f>'pyg y notas'!F127</f>
        <v>1183913</v>
      </c>
      <c r="G436" s="203"/>
      <c r="H436" s="203">
        <f t="shared" si="18"/>
        <v>235791</v>
      </c>
      <c r="I436" s="36"/>
      <c r="J436" s="52">
        <f t="shared" si="19"/>
        <v>0.19916243845620413</v>
      </c>
    </row>
    <row r="437" spans="1:10" s="328" customFormat="1" ht="15" customHeight="1" x14ac:dyDescent="0.2">
      <c r="A437" s="451" t="str">
        <f>'pyg y notas'!A128</f>
        <v>Libros y revistas</v>
      </c>
      <c r="B437" s="447"/>
      <c r="C437" s="36"/>
      <c r="D437" s="203">
        <f>'pyg y notas'!D128</f>
        <v>2460349</v>
      </c>
      <c r="E437" s="203"/>
      <c r="F437" s="203">
        <f>'pyg y notas'!F128</f>
        <v>2558353</v>
      </c>
      <c r="G437" s="203"/>
      <c r="H437" s="203">
        <f t="shared" si="18"/>
        <v>-98004</v>
      </c>
      <c r="I437" s="36"/>
      <c r="J437" s="52">
        <f t="shared" si="19"/>
        <v>-3.830745796221241E-2</v>
      </c>
    </row>
    <row r="438" spans="1:10" s="328" customFormat="1" ht="15" customHeight="1" x14ac:dyDescent="0.2">
      <c r="A438" s="451" t="str">
        <f>'pyg y notas'!A129</f>
        <v>Publicidad material promocional</v>
      </c>
      <c r="B438" s="447"/>
      <c r="C438" s="36"/>
      <c r="D438" s="203">
        <f>'pyg y notas'!D129</f>
        <v>1141737</v>
      </c>
      <c r="E438" s="203"/>
      <c r="F438" s="203">
        <f>'pyg y notas'!F129</f>
        <v>1197059</v>
      </c>
      <c r="G438" s="203"/>
      <c r="H438" s="203">
        <f t="shared" si="18"/>
        <v>-55322</v>
      </c>
      <c r="I438" s="36"/>
      <c r="J438" s="52">
        <f t="shared" si="19"/>
        <v>-4.6214931761926523E-2</v>
      </c>
    </row>
    <row r="439" spans="1:10" s="328" customFormat="1" ht="15" customHeight="1" x14ac:dyDescent="0.2">
      <c r="A439" s="447" t="str">
        <f>'pyg y notas'!A130</f>
        <v>Anuncios medios masivos</v>
      </c>
      <c r="B439" s="447"/>
      <c r="C439" s="36"/>
      <c r="D439" s="203">
        <f>'pyg y notas'!D130</f>
        <v>1833157</v>
      </c>
      <c r="E439" s="203"/>
      <c r="F439" s="203">
        <f>'pyg y notas'!F130</f>
        <v>1323765</v>
      </c>
      <c r="G439" s="203"/>
      <c r="H439" s="203">
        <f t="shared" si="18"/>
        <v>509392</v>
      </c>
      <c r="I439" s="36"/>
      <c r="J439" s="52">
        <f t="shared" si="19"/>
        <v>0.38480546018364287</v>
      </c>
    </row>
    <row r="440" spans="1:10" s="328" customFormat="1" ht="15" customHeight="1" x14ac:dyDescent="0.2">
      <c r="A440" s="451" t="str">
        <f>'pyg y notas'!A131</f>
        <v>Relaciones públicas cortesías</v>
      </c>
      <c r="B440" s="447"/>
      <c r="C440" s="36"/>
      <c r="D440" s="203">
        <f>'pyg y notas'!D131</f>
        <v>285549</v>
      </c>
      <c r="E440" s="203"/>
      <c r="F440" s="203">
        <f>'pyg y notas'!F131</f>
        <v>221726</v>
      </c>
      <c r="G440" s="203"/>
      <c r="H440" s="203">
        <f t="shared" si="18"/>
        <v>63823</v>
      </c>
      <c r="I440" s="36"/>
      <c r="J440" s="52">
        <f t="shared" si="19"/>
        <v>0.28784626070014341</v>
      </c>
    </row>
    <row r="441" spans="1:10" s="328" customFormat="1" ht="15" customHeight="1" x14ac:dyDescent="0.2">
      <c r="A441" s="451" t="str">
        <f>'pyg y notas'!A132</f>
        <v>Gastos de representación y otros</v>
      </c>
      <c r="B441" s="447"/>
      <c r="C441" s="36"/>
      <c r="D441" s="203">
        <f>'pyg y notas'!D132</f>
        <v>488787</v>
      </c>
      <c r="E441" s="203"/>
      <c r="F441" s="203">
        <f>'pyg y notas'!F132</f>
        <v>539629</v>
      </c>
      <c r="G441" s="203"/>
      <c r="H441" s="203">
        <f t="shared" si="18"/>
        <v>-50842</v>
      </c>
      <c r="I441" s="36"/>
      <c r="J441" s="52">
        <f t="shared" si="19"/>
        <v>-9.4216582133280463E-2</v>
      </c>
    </row>
    <row r="442" spans="1:10" s="328" customFormat="1" ht="15" customHeight="1" x14ac:dyDescent="0.2">
      <c r="A442" s="451" t="str">
        <f>'pyg y notas'!A133</f>
        <v>Papelería útiles y fotocopias</v>
      </c>
      <c r="B442" s="447"/>
      <c r="C442" s="36"/>
      <c r="D442" s="203">
        <f>'pyg y notas'!D133</f>
        <v>415097</v>
      </c>
      <c r="E442" s="203"/>
      <c r="F442" s="203">
        <f>'pyg y notas'!F133</f>
        <v>466315</v>
      </c>
      <c r="G442" s="203"/>
      <c r="H442" s="203">
        <f t="shared" si="18"/>
        <v>-51218</v>
      </c>
      <c r="I442" s="36"/>
      <c r="J442" s="52">
        <f t="shared" si="19"/>
        <v>-0.10983562613254988</v>
      </c>
    </row>
    <row r="443" spans="1:10" s="328" customFormat="1" ht="15" customHeight="1" x14ac:dyDescent="0.2">
      <c r="A443" s="451" t="str">
        <f>'pyg y notas'!A134</f>
        <v>Material y recurso docente</v>
      </c>
      <c r="B443" s="447"/>
      <c r="C443" s="36"/>
      <c r="D443" s="203">
        <f>'pyg y notas'!D134</f>
        <v>2560908</v>
      </c>
      <c r="E443" s="203"/>
      <c r="F443" s="203">
        <f>'pyg y notas'!F134</f>
        <v>1995592</v>
      </c>
      <c r="G443" s="203"/>
      <c r="H443" s="203">
        <f t="shared" si="18"/>
        <v>565316</v>
      </c>
      <c r="I443" s="36"/>
      <c r="J443" s="52">
        <f t="shared" si="19"/>
        <v>0.28328235430889681</v>
      </c>
    </row>
    <row r="444" spans="1:10" s="328" customFormat="1" ht="15" customHeight="1" x14ac:dyDescent="0.2">
      <c r="A444" s="447" t="str">
        <f>'pyg y notas'!A135</f>
        <v>Elementos de aseo y cafetería</v>
      </c>
      <c r="B444" s="447"/>
      <c r="C444" s="36"/>
      <c r="D444" s="203">
        <f>'pyg y notas'!D135</f>
        <v>486598</v>
      </c>
      <c r="E444" s="203"/>
      <c r="F444" s="203">
        <f>'pyg y notas'!F135</f>
        <v>422359</v>
      </c>
      <c r="G444" s="203"/>
      <c r="H444" s="203">
        <f t="shared" si="18"/>
        <v>64239</v>
      </c>
      <c r="I444" s="36"/>
      <c r="J444" s="52">
        <f t="shared" si="19"/>
        <v>0.15209572898884599</v>
      </c>
    </row>
    <row r="445" spans="1:10" s="328" customFormat="1" ht="15" customHeight="1" x14ac:dyDescent="0.2">
      <c r="A445" s="447" t="str">
        <f>'pyg y notas'!A136</f>
        <v>Reintegro gastos</v>
      </c>
      <c r="B445" s="447"/>
      <c r="C445" s="36"/>
      <c r="D445" s="203">
        <f>'pyg y notas'!D136</f>
        <v>813303</v>
      </c>
      <c r="E445" s="203"/>
      <c r="F445" s="203">
        <f>'pyg y notas'!F136</f>
        <v>728329</v>
      </c>
      <c r="G445" s="203"/>
      <c r="H445" s="203">
        <f t="shared" si="18"/>
        <v>84974</v>
      </c>
      <c r="I445" s="36"/>
      <c r="J445" s="52">
        <f t="shared" si="19"/>
        <v>0.11666980169676067</v>
      </c>
    </row>
    <row r="446" spans="1:10" s="328" customFormat="1" ht="15" customHeight="1" x14ac:dyDescent="0.2">
      <c r="A446" s="447" t="str">
        <f>'pyg y notas'!A137</f>
        <v>Otros apoyos</v>
      </c>
      <c r="B446" s="447"/>
      <c r="C446" s="36"/>
      <c r="D446" s="203">
        <f>'pyg y notas'!D137</f>
        <v>2820537</v>
      </c>
      <c r="E446" s="203"/>
      <c r="F446" s="203">
        <f>'pyg y notas'!F137</f>
        <v>2394899</v>
      </c>
      <c r="G446" s="203"/>
      <c r="H446" s="203">
        <f t="shared" si="18"/>
        <v>425638</v>
      </c>
      <c r="I446" s="36"/>
      <c r="J446" s="52">
        <f t="shared" si="19"/>
        <v>0.17772691040415484</v>
      </c>
    </row>
    <row r="447" spans="1:10" s="328" customFormat="1" ht="15" customHeight="1" x14ac:dyDescent="0.2">
      <c r="A447" s="447" t="str">
        <f>'pyg y notas'!A138</f>
        <v>Herramientas</v>
      </c>
      <c r="B447" s="447"/>
      <c r="C447" s="36"/>
      <c r="D447" s="203">
        <f>'pyg y notas'!D138</f>
        <v>200646</v>
      </c>
      <c r="E447" s="203"/>
      <c r="F447" s="203">
        <f>'pyg y notas'!F138</f>
        <v>148897</v>
      </c>
      <c r="G447" s="203"/>
      <c r="H447" s="203">
        <f t="shared" si="18"/>
        <v>51749</v>
      </c>
      <c r="I447" s="36"/>
      <c r="J447" s="52">
        <f t="shared" si="19"/>
        <v>0.34754897680947233</v>
      </c>
    </row>
    <row r="448" spans="1:10" s="328" customFormat="1" ht="15" customHeight="1" x14ac:dyDescent="0.2">
      <c r="A448" s="447" t="str">
        <f>'pyg y notas'!A139</f>
        <v>Ferretería</v>
      </c>
      <c r="B448" s="447"/>
      <c r="C448" s="36"/>
      <c r="D448" s="203">
        <f>'pyg y notas'!D139</f>
        <v>467426</v>
      </c>
      <c r="E448" s="203"/>
      <c r="F448" s="203">
        <f>'pyg y notas'!F139</f>
        <v>259350</v>
      </c>
      <c r="G448" s="203"/>
      <c r="H448" s="203">
        <f t="shared" si="18"/>
        <v>208076</v>
      </c>
      <c r="I448" s="36"/>
      <c r="J448" s="52">
        <f t="shared" si="19"/>
        <v>0.80229805282436861</v>
      </c>
    </row>
    <row r="449" spans="1:10" s="328" customFormat="1" ht="15" customHeight="1" x14ac:dyDescent="0.2">
      <c r="A449" s="451" t="str">
        <f>'pyg y notas'!A140</f>
        <v>Regalos de protocolo</v>
      </c>
      <c r="B449" s="447"/>
      <c r="C449" s="36"/>
      <c r="D449" s="203">
        <f>'pyg y notas'!D140</f>
        <v>130117</v>
      </c>
      <c r="E449" s="203"/>
      <c r="F449" s="203">
        <f>'pyg y notas'!F140</f>
        <v>44364</v>
      </c>
      <c r="G449" s="203"/>
      <c r="H449" s="203">
        <f t="shared" si="18"/>
        <v>85753</v>
      </c>
      <c r="I449" s="36"/>
      <c r="J449" s="52">
        <f t="shared" si="19"/>
        <v>1.9329411234334144</v>
      </c>
    </row>
    <row r="450" spans="1:10" s="328" customFormat="1" ht="15" customHeight="1" x14ac:dyDescent="0.2">
      <c r="A450" s="451" t="str">
        <f>'pyg y notas'!A141</f>
        <v>Souvenirs</v>
      </c>
      <c r="B450" s="447"/>
      <c r="C450" s="36"/>
      <c r="D450" s="203">
        <f>'pyg y notas'!D141</f>
        <v>93691</v>
      </c>
      <c r="E450" s="203"/>
      <c r="F450" s="203">
        <f>'pyg y notas'!F141</f>
        <v>139556</v>
      </c>
      <c r="G450" s="203"/>
      <c r="H450" s="203">
        <f t="shared" si="18"/>
        <v>-45865</v>
      </c>
      <c r="I450" s="36"/>
      <c r="J450" s="52">
        <f t="shared" si="19"/>
        <v>-0.32864943105276734</v>
      </c>
    </row>
    <row r="451" spans="1:10" s="328" customFormat="1" ht="15" customHeight="1" x14ac:dyDescent="0.2">
      <c r="A451" s="447" t="str">
        <f>'pyg y notas'!A142</f>
        <v>Diversos</v>
      </c>
      <c r="B451" s="447"/>
      <c r="C451" s="36"/>
      <c r="D451" s="203">
        <f>'pyg y notas'!D142</f>
        <v>1411405</v>
      </c>
      <c r="E451" s="203"/>
      <c r="F451" s="203">
        <f>'pyg y notas'!F142</f>
        <v>5006498</v>
      </c>
      <c r="G451" s="203"/>
      <c r="H451" s="203">
        <f t="shared" si="18"/>
        <v>-3595093</v>
      </c>
      <c r="I451" s="36"/>
      <c r="J451" s="52">
        <f t="shared" si="19"/>
        <v>-0.71808537624503199</v>
      </c>
    </row>
    <row r="452" spans="1:10" s="328" customFormat="1" ht="15" customHeight="1" x14ac:dyDescent="0.2">
      <c r="A452" s="451" t="str">
        <f>'pyg y notas'!A143</f>
        <v>Gastos asociados a asesorías y consultorías</v>
      </c>
      <c r="B452" s="447"/>
      <c r="C452" s="36"/>
      <c r="D452" s="203">
        <f>'pyg y notas'!D143</f>
        <v>164607</v>
      </c>
      <c r="E452" s="203"/>
      <c r="F452" s="203">
        <f>'pyg y notas'!F143</f>
        <v>1173671</v>
      </c>
      <c r="G452" s="203"/>
      <c r="H452" s="203">
        <f t="shared" si="18"/>
        <v>-1009064</v>
      </c>
      <c r="I452" s="36"/>
      <c r="J452" s="52">
        <f>IF((F452&lt;&gt;0),(H452/F452),1)</f>
        <v>-0.85975030481284787</v>
      </c>
    </row>
    <row r="453" spans="1:10" s="328" customFormat="1" ht="15" customHeight="1" x14ac:dyDescent="0.2">
      <c r="A453" s="451" t="str">
        <f>'pyg y notas'!A144</f>
        <v>Taxis y buses</v>
      </c>
      <c r="B453" s="447"/>
      <c r="C453" s="36"/>
      <c r="D453" s="203">
        <f>'pyg y notas'!D144</f>
        <v>252872</v>
      </c>
      <c r="E453" s="203"/>
      <c r="F453" s="203">
        <f>'pyg y notas'!F144</f>
        <v>226094</v>
      </c>
      <c r="G453" s="203"/>
      <c r="H453" s="203">
        <f t="shared" si="18"/>
        <v>26778</v>
      </c>
      <c r="I453" s="36"/>
      <c r="J453" s="52">
        <f t="shared" si="19"/>
        <v>0.11843746406361956</v>
      </c>
    </row>
    <row r="454" spans="1:10" s="328" customFormat="1" ht="15" customHeight="1" x14ac:dyDescent="0.2">
      <c r="A454" s="451" t="str">
        <f>'pyg y notas'!A145</f>
        <v>Casino y restaurante</v>
      </c>
      <c r="B454" s="447"/>
      <c r="C454" s="36"/>
      <c r="D454" s="203">
        <f>'pyg y notas'!D145</f>
        <v>1356404</v>
      </c>
      <c r="E454" s="203"/>
      <c r="F454" s="203">
        <f>'pyg y notas'!F145</f>
        <v>1232459</v>
      </c>
      <c r="G454" s="203"/>
      <c r="H454" s="203">
        <f t="shared" si="18"/>
        <v>123945</v>
      </c>
      <c r="I454" s="36"/>
      <c r="J454" s="52">
        <f t="shared" si="19"/>
        <v>0.10056723996498058</v>
      </c>
    </row>
    <row r="455" spans="1:10" s="328" customFormat="1" ht="15" customHeight="1" x14ac:dyDescent="0.2">
      <c r="A455" s="447" t="str">
        <f>'pyg y notas'!A146</f>
        <v>Implementos deportivos y culturales</v>
      </c>
      <c r="B455" s="447"/>
      <c r="C455" s="36"/>
      <c r="D455" s="203">
        <f>'pyg y notas'!D146</f>
        <v>173174</v>
      </c>
      <c r="E455" s="203"/>
      <c r="F455" s="203">
        <f>'pyg y notas'!F146</f>
        <v>158806</v>
      </c>
      <c r="G455" s="203"/>
      <c r="H455" s="203">
        <f t="shared" si="18"/>
        <v>14368</v>
      </c>
      <c r="I455" s="36"/>
      <c r="J455" s="52">
        <f t="shared" si="19"/>
        <v>9.0475170963313728E-2</v>
      </c>
    </row>
    <row r="456" spans="1:10" s="328" customFormat="1" ht="9.9499999999999993" customHeight="1" x14ac:dyDescent="0.2">
      <c r="D456" s="204"/>
      <c r="E456" s="204"/>
      <c r="F456" s="204"/>
      <c r="G456" s="204"/>
      <c r="H456" s="205"/>
      <c r="I456" s="95"/>
      <c r="J456" s="50"/>
    </row>
    <row r="457" spans="1:10" s="328" customFormat="1" ht="15" customHeight="1" x14ac:dyDescent="0.2">
      <c r="A457" s="3" t="str">
        <f>'pyg y notas'!A148</f>
        <v>TOTAL</v>
      </c>
      <c r="B457" s="384"/>
      <c r="C457" s="384"/>
      <c r="D457" s="367">
        <f>SUM(D424:D455)</f>
        <v>189560670</v>
      </c>
      <c r="E457" s="197"/>
      <c r="F457" s="197">
        <f>SUM(F424:F455)</f>
        <v>169285841</v>
      </c>
      <c r="G457" s="197"/>
      <c r="H457" s="197">
        <f>SUM(H424:H455)</f>
        <v>20274829</v>
      </c>
      <c r="I457" s="384"/>
      <c r="J457" s="14">
        <f>H457/F457</f>
        <v>0.11976683271461551</v>
      </c>
    </row>
    <row r="458" spans="1:10" s="328" customFormat="1" ht="15" customHeight="1" x14ac:dyDescent="0.2">
      <c r="A458" s="12"/>
      <c r="B458" s="95"/>
      <c r="C458" s="95"/>
      <c r="D458" s="198"/>
      <c r="E458" s="198"/>
      <c r="F458" s="198"/>
      <c r="G458" s="198"/>
      <c r="H458" s="198"/>
      <c r="I458" s="95"/>
      <c r="J458" s="17"/>
    </row>
    <row r="459" spans="1:10" s="328" customFormat="1" ht="10.5" customHeight="1" x14ac:dyDescent="0.2">
      <c r="A459" s="12"/>
      <c r="B459" s="95"/>
      <c r="C459" s="95"/>
      <c r="D459" s="198"/>
      <c r="E459" s="198"/>
      <c r="F459" s="198"/>
      <c r="G459" s="198"/>
      <c r="H459" s="198"/>
      <c r="I459" s="95"/>
      <c r="J459" s="17"/>
    </row>
    <row r="460" spans="1:10" s="254" customFormat="1" ht="18" x14ac:dyDescent="0.25">
      <c r="A460" s="42" t="str">
        <f>'pyg y notas'!A150</f>
        <v>23. INGRESOS FINANCIEROS</v>
      </c>
      <c r="B460" s="89"/>
      <c r="C460" s="89"/>
      <c r="D460" s="45"/>
      <c r="E460" s="256"/>
      <c r="F460" s="45"/>
      <c r="G460" s="256"/>
      <c r="H460" s="93"/>
      <c r="I460" s="89"/>
      <c r="J460" s="46"/>
    </row>
    <row r="461" spans="1:10" s="328" customFormat="1" ht="15" customHeight="1" x14ac:dyDescent="0.2">
      <c r="A461" s="12"/>
      <c r="B461" s="95"/>
      <c r="C461" s="95"/>
      <c r="D461" s="13"/>
      <c r="E461" s="12"/>
      <c r="F461" s="13"/>
      <c r="G461" s="12"/>
      <c r="H461" s="97"/>
      <c r="I461" s="95"/>
      <c r="J461" s="17"/>
    </row>
    <row r="462" spans="1:10" s="328" customFormat="1" ht="15" customHeight="1" x14ac:dyDescent="0.2">
      <c r="A462" s="69"/>
      <c r="B462" s="69"/>
      <c r="C462" s="69"/>
      <c r="D462" s="66">
        <f>$D$6</f>
        <v>2013</v>
      </c>
      <c r="E462" s="67"/>
      <c r="F462" s="66">
        <f>$F$6</f>
        <v>2012</v>
      </c>
      <c r="G462" s="67"/>
      <c r="H462" s="68" t="str">
        <f>$H$6</f>
        <v>DIFERENCIA</v>
      </c>
      <c r="I462" s="66"/>
      <c r="J462" s="295" t="str">
        <f>$J$6</f>
        <v>DIFERENCIA</v>
      </c>
    </row>
    <row r="463" spans="1:10" s="328" customFormat="1" ht="15" customHeight="1" x14ac:dyDescent="0.2">
      <c r="A463" s="69"/>
      <c r="B463" s="69"/>
      <c r="C463" s="69"/>
      <c r="D463" s="67"/>
      <c r="E463" s="67"/>
      <c r="F463" s="67"/>
      <c r="G463" s="67"/>
      <c r="H463" s="68" t="str">
        <f>$H$7</f>
        <v>EN $</v>
      </c>
      <c r="I463" s="296"/>
      <c r="J463" s="295" t="str">
        <f>$J$7</f>
        <v>EN %</v>
      </c>
    </row>
    <row r="464" spans="1:10" s="328" customFormat="1" ht="15" customHeight="1" x14ac:dyDescent="0.2">
      <c r="A464" s="12"/>
      <c r="B464" s="95"/>
      <c r="C464" s="95"/>
      <c r="D464" s="13"/>
      <c r="E464" s="12"/>
      <c r="F464" s="13"/>
      <c r="G464" s="12"/>
      <c r="H464" s="97"/>
      <c r="I464" s="95"/>
      <c r="J464" s="17"/>
    </row>
    <row r="465" spans="1:10" s="328" customFormat="1" ht="15" customHeight="1" x14ac:dyDescent="0.2">
      <c r="A465" s="36" t="str">
        <f>'pyg y notas'!A152</f>
        <v>Rendimientos de inversiones</v>
      </c>
      <c r="B465" s="36"/>
      <c r="C465" s="36"/>
      <c r="D465" s="203">
        <f>'pyg y notas'!D152</f>
        <v>1312476</v>
      </c>
      <c r="E465" s="203"/>
      <c r="F465" s="203">
        <f>'pyg y notas'!F152</f>
        <v>1935606</v>
      </c>
      <c r="G465" s="203"/>
      <c r="H465" s="203">
        <f t="shared" ref="H465:H472" si="20">D465-F465</f>
        <v>-623130</v>
      </c>
      <c r="I465" s="36"/>
      <c r="J465" s="52">
        <f t="shared" ref="J465:J472" si="21">IF((F465&lt;&gt;0),(H465/F465),1)</f>
        <v>-0.32193018620525043</v>
      </c>
    </row>
    <row r="466" spans="1:10" s="328" customFormat="1" ht="15" customHeight="1" x14ac:dyDescent="0.2">
      <c r="A466" s="36" t="str">
        <f>'pyg y notas'!A153</f>
        <v>Financiación matrículas</v>
      </c>
      <c r="B466" s="36"/>
      <c r="C466" s="36"/>
      <c r="D466" s="203">
        <f>'pyg y notas'!D153</f>
        <v>34621</v>
      </c>
      <c r="E466" s="203"/>
      <c r="F466" s="203">
        <f>'pyg y notas'!F153</f>
        <v>132603</v>
      </c>
      <c r="G466" s="203"/>
      <c r="H466" s="203">
        <f t="shared" si="20"/>
        <v>-97982</v>
      </c>
      <c r="I466" s="36"/>
      <c r="J466" s="52">
        <f t="shared" si="21"/>
        <v>-0.73891239263063435</v>
      </c>
    </row>
    <row r="467" spans="1:10" s="328" customFormat="1" ht="15" customHeight="1" x14ac:dyDescent="0.2">
      <c r="A467" s="36" t="str">
        <f>'pyg y notas'!A154</f>
        <v>Intereses por préstamos a empleados</v>
      </c>
      <c r="B467" s="36"/>
      <c r="C467" s="36"/>
      <c r="D467" s="203">
        <f>'pyg y notas'!D154</f>
        <v>33481</v>
      </c>
      <c r="E467" s="203"/>
      <c r="F467" s="203">
        <f>'pyg y notas'!F154</f>
        <v>36083</v>
      </c>
      <c r="G467" s="203"/>
      <c r="H467" s="203">
        <f t="shared" si="20"/>
        <v>-2602</v>
      </c>
      <c r="I467" s="36"/>
      <c r="J467" s="52">
        <f t="shared" si="21"/>
        <v>-7.2111520660698938E-2</v>
      </c>
    </row>
    <row r="468" spans="1:10" s="328" customFormat="1" ht="15" customHeight="1" x14ac:dyDescent="0.2">
      <c r="A468" s="36" t="str">
        <f>'pyg y notas'!A155</f>
        <v>Otros intereses</v>
      </c>
      <c r="B468" s="36"/>
      <c r="C468" s="36"/>
      <c r="D468" s="203">
        <f>'pyg y notas'!D155</f>
        <v>954722</v>
      </c>
      <c r="E468" s="203"/>
      <c r="F468" s="203">
        <f>'pyg y notas'!F155</f>
        <v>25679</v>
      </c>
      <c r="G468" s="203"/>
      <c r="H468" s="203">
        <f t="shared" si="20"/>
        <v>929043</v>
      </c>
      <c r="I468" s="36"/>
      <c r="J468" s="52">
        <f t="shared" si="21"/>
        <v>36.179095759180655</v>
      </c>
    </row>
    <row r="469" spans="1:10" s="328" customFormat="1" ht="15" customHeight="1" x14ac:dyDescent="0.2">
      <c r="A469" s="36" t="str">
        <f>'pyg y notas'!A156</f>
        <v>Otros intereses Municipio de Medellín</v>
      </c>
      <c r="B469" s="36"/>
      <c r="C469" s="36"/>
      <c r="D469" s="203">
        <f>'pyg y notas'!D156</f>
        <v>461633</v>
      </c>
      <c r="E469" s="203"/>
      <c r="F469" s="203">
        <f>'pyg y notas'!F156</f>
        <v>1281028</v>
      </c>
      <c r="G469" s="203"/>
      <c r="H469" s="203">
        <f t="shared" si="20"/>
        <v>-819395</v>
      </c>
      <c r="I469" s="36"/>
      <c r="J469" s="52">
        <f t="shared" si="21"/>
        <v>-0.6396386339720912</v>
      </c>
    </row>
    <row r="470" spans="1:10" s="328" customFormat="1" ht="15" customHeight="1" x14ac:dyDescent="0.2">
      <c r="A470" s="36" t="str">
        <f>'pyg y notas'!A157</f>
        <v>Diferencia en cambio</v>
      </c>
      <c r="B470" s="36"/>
      <c r="C470" s="36"/>
      <c r="D470" s="203">
        <f>'pyg y notas'!D157</f>
        <v>190977</v>
      </c>
      <c r="E470" s="203"/>
      <c r="F470" s="203">
        <f>'pyg y notas'!F157</f>
        <v>183387</v>
      </c>
      <c r="G470" s="203"/>
      <c r="H470" s="203">
        <f t="shared" si="20"/>
        <v>7590</v>
      </c>
      <c r="I470" s="36"/>
      <c r="J470" s="52">
        <f t="shared" si="21"/>
        <v>4.1387884637406142E-2</v>
      </c>
    </row>
    <row r="471" spans="1:10" s="328" customFormat="1" ht="15" customHeight="1" x14ac:dyDescent="0.2">
      <c r="A471" s="36" t="str">
        <f>'pyg y notas'!A158</f>
        <v>Descuentos financieros</v>
      </c>
      <c r="B471" s="36"/>
      <c r="C471" s="36"/>
      <c r="D471" s="203">
        <f>'pyg y notas'!D158</f>
        <v>78635</v>
      </c>
      <c r="E471" s="203"/>
      <c r="F471" s="203">
        <f>'pyg y notas'!F158</f>
        <v>93505</v>
      </c>
      <c r="G471" s="203"/>
      <c r="H471" s="203">
        <f t="shared" si="20"/>
        <v>-14870</v>
      </c>
      <c r="I471" s="36"/>
      <c r="J471" s="52">
        <f t="shared" si="21"/>
        <v>-0.15902892893428158</v>
      </c>
    </row>
    <row r="472" spans="1:10" s="328" customFormat="1" ht="15" customHeight="1" x14ac:dyDescent="0.2">
      <c r="A472" s="36" t="str">
        <f>'pyg y notas'!A159</f>
        <v>Otros ingresos financieros</v>
      </c>
      <c r="B472" s="36"/>
      <c r="C472" s="36"/>
      <c r="D472" s="203">
        <f>'pyg y notas'!D159</f>
        <v>10892</v>
      </c>
      <c r="E472" s="203"/>
      <c r="F472" s="203">
        <f>'pyg y notas'!F159</f>
        <v>1399</v>
      </c>
      <c r="G472" s="203"/>
      <c r="H472" s="203">
        <f t="shared" si="20"/>
        <v>9493</v>
      </c>
      <c r="I472" s="36"/>
      <c r="J472" s="52">
        <f t="shared" si="21"/>
        <v>6.7855611150822019</v>
      </c>
    </row>
    <row r="473" spans="1:10" s="328" customFormat="1" ht="15" customHeight="1" x14ac:dyDescent="0.2">
      <c r="D473" s="204"/>
      <c r="E473" s="204"/>
      <c r="F473" s="204"/>
      <c r="G473" s="204"/>
      <c r="H473" s="205"/>
      <c r="I473" s="95"/>
      <c r="J473" s="50"/>
    </row>
    <row r="474" spans="1:10" s="328" customFormat="1" ht="12.75" x14ac:dyDescent="0.2">
      <c r="A474" s="3" t="str">
        <f>'pyg y notas'!A161</f>
        <v>TOTAL</v>
      </c>
      <c r="B474" s="384"/>
      <c r="C474" s="384"/>
      <c r="D474" s="197">
        <f>SUM(D465:D473)</f>
        <v>3077437</v>
      </c>
      <c r="E474" s="197"/>
      <c r="F474" s="197">
        <f>SUM(F465:F473)</f>
        <v>3689290</v>
      </c>
      <c r="G474" s="197"/>
      <c r="H474" s="197">
        <f>SUM(H465:H473)</f>
        <v>-611853</v>
      </c>
      <c r="I474" s="384"/>
      <c r="J474" s="14">
        <f>H474/F474</f>
        <v>-0.16584573183458065</v>
      </c>
    </row>
    <row r="475" spans="1:10" s="328" customFormat="1" ht="15" customHeight="1" x14ac:dyDescent="0.2">
      <c r="A475" s="12"/>
      <c r="B475" s="95"/>
      <c r="C475" s="95"/>
      <c r="D475" s="13"/>
      <c r="E475" s="12"/>
      <c r="F475" s="13"/>
      <c r="G475" s="12"/>
      <c r="H475" s="13"/>
      <c r="I475" s="95"/>
      <c r="J475" s="17"/>
    </row>
    <row r="476" spans="1:10" s="328" customFormat="1" ht="15" customHeight="1" x14ac:dyDescent="0.2">
      <c r="A476" s="12"/>
      <c r="B476" s="95"/>
      <c r="C476" s="95"/>
      <c r="D476" s="13"/>
      <c r="E476" s="12"/>
      <c r="F476" s="13"/>
      <c r="G476" s="12"/>
      <c r="H476" s="13"/>
      <c r="I476" s="95"/>
      <c r="J476" s="17"/>
    </row>
    <row r="477" spans="1:10" s="328" customFormat="1" ht="10.5" customHeight="1" x14ac:dyDescent="0.2">
      <c r="A477" s="12"/>
      <c r="B477" s="95"/>
      <c r="C477" s="95"/>
      <c r="D477" s="13"/>
      <c r="E477" s="12"/>
      <c r="F477" s="13"/>
      <c r="G477" s="12"/>
      <c r="H477" s="13"/>
      <c r="I477" s="95"/>
      <c r="J477" s="17"/>
    </row>
    <row r="478" spans="1:10" s="254" customFormat="1" ht="18" x14ac:dyDescent="0.25">
      <c r="A478" s="42" t="str">
        <f>'pyg y notas'!A163</f>
        <v>24. DONACIONES</v>
      </c>
      <c r="B478" s="89"/>
      <c r="C478" s="89"/>
      <c r="D478" s="45"/>
      <c r="E478" s="256"/>
      <c r="F478" s="45"/>
      <c r="G478" s="256"/>
      <c r="H478" s="93"/>
      <c r="I478" s="89"/>
      <c r="J478" s="46"/>
    </row>
    <row r="479" spans="1:10" s="328" customFormat="1" ht="12" customHeight="1" x14ac:dyDescent="0.2">
      <c r="A479" s="12"/>
      <c r="B479" s="95"/>
      <c r="C479" s="95"/>
      <c r="D479" s="13"/>
      <c r="E479" s="12"/>
      <c r="F479" s="13"/>
      <c r="G479" s="12"/>
      <c r="H479" s="97"/>
      <c r="I479" s="95"/>
      <c r="J479" s="17"/>
    </row>
    <row r="480" spans="1:10" s="328" customFormat="1" ht="15" customHeight="1" x14ac:dyDescent="0.2">
      <c r="A480" s="69"/>
      <c r="B480" s="69"/>
      <c r="C480" s="69"/>
      <c r="D480" s="66">
        <f>$D$6</f>
        <v>2013</v>
      </c>
      <c r="E480" s="67"/>
      <c r="F480" s="66">
        <f>$F$6</f>
        <v>2012</v>
      </c>
      <c r="G480" s="67"/>
      <c r="H480" s="68" t="str">
        <f>$H$6</f>
        <v>DIFERENCIA</v>
      </c>
      <c r="I480" s="66"/>
      <c r="J480" s="295" t="str">
        <f>$J$6</f>
        <v>DIFERENCIA</v>
      </c>
    </row>
    <row r="481" spans="1:10" s="328" customFormat="1" ht="15" customHeight="1" x14ac:dyDescent="0.2">
      <c r="A481" s="69"/>
      <c r="B481" s="69"/>
      <c r="C481" s="69"/>
      <c r="D481" s="67"/>
      <c r="E481" s="67"/>
      <c r="F481" s="67"/>
      <c r="G481" s="67"/>
      <c r="H481" s="68" t="str">
        <f>$H$7</f>
        <v>EN $</v>
      </c>
      <c r="I481" s="296"/>
      <c r="J481" s="295" t="str">
        <f>$J$7</f>
        <v>EN %</v>
      </c>
    </row>
    <row r="482" spans="1:10" s="328" customFormat="1" ht="15" customHeight="1" x14ac:dyDescent="0.2">
      <c r="A482" s="12"/>
      <c r="B482" s="95"/>
      <c r="C482" s="95"/>
      <c r="D482" s="13"/>
      <c r="E482" s="12"/>
      <c r="F482" s="13"/>
      <c r="G482" s="12"/>
      <c r="H482" s="97"/>
      <c r="I482" s="95"/>
      <c r="J482" s="17"/>
    </row>
    <row r="483" spans="1:10" s="328" customFormat="1" ht="15" customHeight="1" x14ac:dyDescent="0.2">
      <c r="A483" s="36" t="str">
        <f>'pyg y notas'!A165</f>
        <v>Parqueaderos</v>
      </c>
      <c r="B483" s="36"/>
      <c r="C483" s="36"/>
      <c r="D483" s="203">
        <f>'pyg y notas'!D165</f>
        <v>1618650</v>
      </c>
      <c r="E483" s="203"/>
      <c r="F483" s="203">
        <f>'pyg y notas'!F165</f>
        <v>1521325</v>
      </c>
      <c r="G483" s="203"/>
      <c r="H483" s="203">
        <f>D483-F483</f>
        <v>97325</v>
      </c>
      <c r="I483" s="36"/>
      <c r="J483" s="52">
        <f>IF((F483&lt;&gt;0),(H483/F483),1)</f>
        <v>6.3973838594646115E-2</v>
      </c>
    </row>
    <row r="484" spans="1:10" s="328" customFormat="1" ht="15" customHeight="1" x14ac:dyDescent="0.2">
      <c r="A484" s="36" t="str">
        <f>'pyg y notas'!A166</f>
        <v>Otras donaciones</v>
      </c>
      <c r="B484" s="36"/>
      <c r="C484" s="36"/>
      <c r="D484" s="203">
        <f>'pyg y notas'!D166</f>
        <v>210188</v>
      </c>
      <c r="E484" s="203"/>
      <c r="F484" s="203">
        <f>'pyg y notas'!F166</f>
        <v>1189780</v>
      </c>
      <c r="G484" s="203"/>
      <c r="H484" s="203">
        <f>D484-F484</f>
        <v>-979592</v>
      </c>
      <c r="I484" s="36"/>
      <c r="J484" s="52">
        <f>IF((F484&lt;&gt;0),(H484/F484),1)</f>
        <v>-0.82333876851182575</v>
      </c>
    </row>
    <row r="485" spans="1:10" s="328" customFormat="1" ht="12" customHeight="1" x14ac:dyDescent="0.2">
      <c r="D485" s="203"/>
      <c r="E485" s="204"/>
      <c r="F485" s="204"/>
      <c r="G485" s="204"/>
      <c r="H485" s="205"/>
      <c r="I485" s="95"/>
      <c r="J485" s="50"/>
    </row>
    <row r="486" spans="1:10" s="328" customFormat="1" ht="12.75" x14ac:dyDescent="0.2">
      <c r="A486" s="3" t="str">
        <f>'pyg y notas'!A168</f>
        <v>TOTAL</v>
      </c>
      <c r="B486" s="384"/>
      <c r="C486" s="384"/>
      <c r="D486" s="197">
        <f>SUM(D483:D485)</f>
        <v>1828838</v>
      </c>
      <c r="E486" s="197"/>
      <c r="F486" s="197">
        <f>SUM(F483:F485)</f>
        <v>2711105</v>
      </c>
      <c r="G486" s="197"/>
      <c r="H486" s="197">
        <f>SUM(H483:H485)</f>
        <v>-882267</v>
      </c>
      <c r="I486" s="384"/>
      <c r="J486" s="14">
        <f>H486/F486</f>
        <v>-0.32542708600367748</v>
      </c>
    </row>
    <row r="487" spans="1:10" s="328" customFormat="1" ht="12.75" x14ac:dyDescent="0.2">
      <c r="A487" s="12"/>
      <c r="B487" s="95"/>
      <c r="C487" s="95"/>
      <c r="D487" s="13"/>
      <c r="E487" s="12"/>
      <c r="F487" s="13"/>
      <c r="G487" s="12"/>
      <c r="H487" s="13"/>
      <c r="I487" s="95"/>
      <c r="J487" s="17"/>
    </row>
    <row r="488" spans="1:10" s="328" customFormat="1" ht="12.75" x14ac:dyDescent="0.2">
      <c r="A488" s="12"/>
      <c r="B488" s="95"/>
      <c r="C488" s="95"/>
      <c r="D488" s="13"/>
      <c r="E488" s="12"/>
      <c r="F488" s="13"/>
      <c r="G488" s="12"/>
      <c r="H488" s="13"/>
      <c r="I488" s="95"/>
      <c r="J488" s="17"/>
    </row>
    <row r="489" spans="1:10" s="328" customFormat="1" ht="12.75" x14ac:dyDescent="0.2">
      <c r="A489" s="12"/>
      <c r="B489" s="95"/>
      <c r="C489" s="95"/>
      <c r="D489" s="13"/>
      <c r="E489" s="12"/>
      <c r="F489" s="13"/>
      <c r="G489" s="12"/>
      <c r="H489" s="13"/>
      <c r="I489" s="95"/>
      <c r="J489" s="17"/>
    </row>
    <row r="490" spans="1:10" s="328" customFormat="1" ht="12.75" x14ac:dyDescent="0.2">
      <c r="A490" s="12"/>
      <c r="B490" s="95"/>
      <c r="C490" s="95"/>
      <c r="D490" s="13"/>
      <c r="E490" s="12"/>
      <c r="F490" s="13"/>
      <c r="G490" s="12"/>
      <c r="H490" s="13"/>
      <c r="I490" s="95"/>
      <c r="J490" s="17"/>
    </row>
    <row r="491" spans="1:10" s="254" customFormat="1" ht="18" x14ac:dyDescent="0.25">
      <c r="A491" s="42" t="str">
        <f>'pyg y notas'!A170</f>
        <v>25.  OTRAS VENTAS</v>
      </c>
      <c r="D491" s="257"/>
      <c r="F491" s="257"/>
      <c r="H491" s="257"/>
      <c r="J491" s="49"/>
    </row>
    <row r="492" spans="1:10" s="328" customFormat="1" ht="12" customHeight="1" x14ac:dyDescent="0.2">
      <c r="D492" s="257"/>
      <c r="F492" s="257"/>
      <c r="H492" s="257"/>
      <c r="J492" s="49"/>
    </row>
    <row r="493" spans="1:10" s="328" customFormat="1" ht="15" customHeight="1" x14ac:dyDescent="0.2">
      <c r="A493" s="385"/>
      <c r="B493" s="385"/>
      <c r="C493" s="385"/>
      <c r="D493" s="386">
        <f>$D$6</f>
        <v>2013</v>
      </c>
      <c r="E493" s="387"/>
      <c r="F493" s="386">
        <f>$F$6</f>
        <v>2012</v>
      </c>
      <c r="G493" s="387"/>
      <c r="H493" s="388" t="str">
        <f>$H$6</f>
        <v>DIFERENCIA</v>
      </c>
      <c r="I493" s="386"/>
      <c r="J493" s="389" t="str">
        <f>$J$6</f>
        <v>DIFERENCIA</v>
      </c>
    </row>
    <row r="494" spans="1:10" s="328" customFormat="1" ht="15" customHeight="1" x14ac:dyDescent="0.2">
      <c r="A494" s="385"/>
      <c r="B494" s="385"/>
      <c r="C494" s="385"/>
      <c r="D494" s="387"/>
      <c r="E494" s="387"/>
      <c r="F494" s="387"/>
      <c r="G494" s="387"/>
      <c r="H494" s="388" t="str">
        <f>$H$7</f>
        <v>EN $</v>
      </c>
      <c r="I494" s="390"/>
      <c r="J494" s="389" t="str">
        <f>$J$7</f>
        <v>EN %</v>
      </c>
    </row>
    <row r="495" spans="1:10" s="328" customFormat="1" ht="15" customHeight="1" x14ac:dyDescent="0.2">
      <c r="D495" s="257"/>
      <c r="F495" s="257"/>
      <c r="H495" s="257"/>
      <c r="J495" s="49"/>
    </row>
    <row r="496" spans="1:10" s="328" customFormat="1" ht="15" customHeight="1" x14ac:dyDescent="0.2">
      <c r="A496" s="445" t="str">
        <f>'pyg y notas'!A172</f>
        <v>Materiales varios</v>
      </c>
      <c r="B496" s="445"/>
      <c r="C496" s="36"/>
      <c r="D496" s="203">
        <f>'pyg y notas'!D172</f>
        <v>1277</v>
      </c>
      <c r="E496" s="203"/>
      <c r="F496" s="203">
        <f>'pyg y notas'!F172</f>
        <v>7861</v>
      </c>
      <c r="G496" s="203"/>
      <c r="H496" s="203">
        <f>D496-F496</f>
        <v>-6584</v>
      </c>
      <c r="I496" s="36"/>
      <c r="J496" s="52">
        <f>IF((F496&lt;&gt;0),(H496/F496),1)</f>
        <v>-0.83755247423991863</v>
      </c>
    </row>
    <row r="497" spans="1:10" s="328" customFormat="1" ht="15" customHeight="1" x14ac:dyDescent="0.2">
      <c r="A497" s="445" t="str">
        <f>'pyg y notas'!A173</f>
        <v>Propaganda</v>
      </c>
      <c r="B497" s="445"/>
      <c r="C497" s="36"/>
      <c r="D497" s="203">
        <f>'pyg y notas'!D173</f>
        <v>119785</v>
      </c>
      <c r="E497" s="203"/>
      <c r="F497" s="203">
        <f>'pyg y notas'!F173</f>
        <v>208163</v>
      </c>
      <c r="G497" s="203"/>
      <c r="H497" s="203">
        <f>D497-F497</f>
        <v>-88378</v>
      </c>
      <c r="I497" s="36"/>
      <c r="J497" s="52">
        <f>IF((F497&lt;&gt;0),(H497/F497),1)</f>
        <v>-0.42456152149997839</v>
      </c>
    </row>
    <row r="498" spans="1:10" s="328" customFormat="1" ht="12" customHeight="1" x14ac:dyDescent="0.2">
      <c r="D498" s="204"/>
      <c r="E498" s="204"/>
      <c r="F498" s="204"/>
      <c r="G498" s="204"/>
      <c r="H498" s="204"/>
      <c r="J498" s="49"/>
    </row>
    <row r="499" spans="1:10" s="328" customFormat="1" ht="12.75" x14ac:dyDescent="0.2">
      <c r="A499" s="3" t="str">
        <f>'pyg y notas'!A175</f>
        <v>TOTAL</v>
      </c>
      <c r="B499" s="3"/>
      <c r="C499" s="384"/>
      <c r="D499" s="197">
        <f>SUM(D496:D498)</f>
        <v>121062</v>
      </c>
      <c r="E499" s="197"/>
      <c r="F499" s="197">
        <f>SUM(F496:F498)</f>
        <v>216024</v>
      </c>
      <c r="G499" s="197"/>
      <c r="H499" s="197">
        <f>SUM(H496:H498)</f>
        <v>-94962</v>
      </c>
      <c r="I499" s="2"/>
      <c r="J499" s="14">
        <f>H499/F499</f>
        <v>-0.43959004555049441</v>
      </c>
    </row>
    <row r="500" spans="1:10" s="328" customFormat="1" ht="15" customHeight="1" x14ac:dyDescent="0.2">
      <c r="A500" s="12"/>
      <c r="B500" s="95"/>
      <c r="C500" s="95"/>
      <c r="D500" s="13"/>
      <c r="E500" s="12"/>
      <c r="F500" s="13"/>
      <c r="G500" s="12"/>
      <c r="H500" s="97"/>
      <c r="I500" s="95"/>
      <c r="J500" s="17"/>
    </row>
    <row r="501" spans="1:10" s="328" customFormat="1" ht="15" customHeight="1" x14ac:dyDescent="0.2">
      <c r="A501" s="12"/>
      <c r="B501" s="95"/>
      <c r="C501" s="95"/>
      <c r="D501" s="13"/>
      <c r="E501" s="12"/>
      <c r="F501" s="13"/>
      <c r="G501" s="12"/>
      <c r="H501" s="97"/>
      <c r="I501" s="95"/>
      <c r="J501" s="17"/>
    </row>
    <row r="502" spans="1:10" s="328" customFormat="1" ht="15" customHeight="1" x14ac:dyDescent="0.2">
      <c r="A502" s="12"/>
      <c r="B502" s="95"/>
      <c r="C502" s="95"/>
      <c r="D502" s="13"/>
      <c r="E502" s="12"/>
      <c r="F502" s="13"/>
      <c r="G502" s="12"/>
      <c r="H502" s="97"/>
      <c r="I502" s="95"/>
      <c r="J502" s="17"/>
    </row>
    <row r="503" spans="1:10" s="254" customFormat="1" ht="18" x14ac:dyDescent="0.25">
      <c r="A503" s="42" t="str">
        <f>'pyg y notas'!A177</f>
        <v>26. OTROS INGRESOS NO OPERACIONALES</v>
      </c>
      <c r="D503" s="257"/>
      <c r="F503" s="257"/>
      <c r="H503" s="94"/>
      <c r="I503" s="95"/>
      <c r="J503" s="50"/>
    </row>
    <row r="504" spans="1:10" s="328" customFormat="1" ht="12" customHeight="1" x14ac:dyDescent="0.2">
      <c r="D504" s="257"/>
      <c r="F504" s="257"/>
      <c r="H504" s="94"/>
      <c r="I504" s="95"/>
      <c r="J504" s="50"/>
    </row>
    <row r="505" spans="1:10" s="328" customFormat="1" ht="15" customHeight="1" x14ac:dyDescent="0.2">
      <c r="A505" s="385"/>
      <c r="B505" s="385"/>
      <c r="C505" s="385"/>
      <c r="D505" s="386">
        <f>$D$6</f>
        <v>2013</v>
      </c>
      <c r="E505" s="387"/>
      <c r="F505" s="386">
        <f>$F$6</f>
        <v>2012</v>
      </c>
      <c r="G505" s="387"/>
      <c r="H505" s="388" t="str">
        <f>$H$6</f>
        <v>DIFERENCIA</v>
      </c>
      <c r="I505" s="386"/>
      <c r="J505" s="389" t="str">
        <f>$J$6</f>
        <v>DIFERENCIA</v>
      </c>
    </row>
    <row r="506" spans="1:10" s="328" customFormat="1" ht="15" customHeight="1" x14ac:dyDescent="0.2">
      <c r="A506" s="385"/>
      <c r="B506" s="385"/>
      <c r="C506" s="385"/>
      <c r="D506" s="387"/>
      <c r="E506" s="387"/>
      <c r="F506" s="387"/>
      <c r="G506" s="387"/>
      <c r="H506" s="388" t="str">
        <f>$H$7</f>
        <v>EN $</v>
      </c>
      <c r="I506" s="390"/>
      <c r="J506" s="389" t="str">
        <f>$J$7</f>
        <v>EN %</v>
      </c>
    </row>
    <row r="507" spans="1:10" s="328" customFormat="1" ht="15" customHeight="1" x14ac:dyDescent="0.2">
      <c r="D507" s="415"/>
      <c r="E507" s="416"/>
      <c r="F507" s="415"/>
      <c r="G507" s="416"/>
      <c r="H507" s="417"/>
      <c r="I507" s="418"/>
      <c r="J507" s="419"/>
    </row>
    <row r="508" spans="1:10" s="328" customFormat="1" ht="28.5" customHeight="1" x14ac:dyDescent="0.2">
      <c r="A508" s="457" t="str">
        <f>'pyg y notas'!A179</f>
        <v>Dividendos y/o participaciones en sociedades anónimas y asimiladas</v>
      </c>
      <c r="B508" s="457"/>
      <c r="C508" s="36"/>
      <c r="D508" s="381">
        <f>'pyg y notas'!D179</f>
        <v>3309</v>
      </c>
      <c r="E508" s="381"/>
      <c r="F508" s="381">
        <f>'pyg y notas'!F179</f>
        <v>34511</v>
      </c>
      <c r="G508" s="381"/>
      <c r="H508" s="381">
        <f t="shared" ref="H508:H517" si="22">D508-F508</f>
        <v>-31202</v>
      </c>
      <c r="I508" s="420"/>
      <c r="J508" s="394">
        <f t="shared" ref="J508:J516" si="23">IF((F508&lt;&gt;0),(H508/F508),1)</f>
        <v>-0.90411752774477705</v>
      </c>
    </row>
    <row r="509" spans="1:10" s="328" customFormat="1" ht="15" customHeight="1" x14ac:dyDescent="0.2">
      <c r="A509" s="457" t="str">
        <f>'pyg y notas'!A180</f>
        <v>Utilidad en venta de acciones</v>
      </c>
      <c r="B509" s="457"/>
      <c r="C509" s="36"/>
      <c r="D509" s="381">
        <f>'pyg y notas'!D180</f>
        <v>0</v>
      </c>
      <c r="E509" s="203"/>
      <c r="F509" s="203">
        <f>'pyg y notas'!F180</f>
        <v>16991</v>
      </c>
      <c r="G509" s="203"/>
      <c r="H509" s="381">
        <f t="shared" si="22"/>
        <v>-16991</v>
      </c>
      <c r="I509" s="36"/>
      <c r="J509" s="52">
        <f t="shared" si="23"/>
        <v>-1</v>
      </c>
    </row>
    <row r="510" spans="1:10" s="328" customFormat="1" ht="15" customHeight="1" x14ac:dyDescent="0.2">
      <c r="A510" s="457" t="str">
        <f>'pyg y notas'!A181</f>
        <v>Utilidad en venta de propiedad planta y equipo</v>
      </c>
      <c r="B510" s="457"/>
      <c r="C510" s="36"/>
      <c r="D510" s="381">
        <f>'pyg y notas'!D181</f>
        <v>32778</v>
      </c>
      <c r="E510" s="203"/>
      <c r="F510" s="203">
        <f>'pyg y notas'!F181</f>
        <v>38696</v>
      </c>
      <c r="G510" s="203"/>
      <c r="H510" s="203">
        <f t="shared" si="22"/>
        <v>-5918</v>
      </c>
      <c r="I510" s="36"/>
      <c r="J510" s="52">
        <f t="shared" si="23"/>
        <v>-0.15293570394872855</v>
      </c>
    </row>
    <row r="511" spans="1:10" s="328" customFormat="1" ht="15" customHeight="1" x14ac:dyDescent="0.2">
      <c r="A511" s="457" t="str">
        <f>'pyg y notas'!A182</f>
        <v>Ingresos de ejercicios anteriores</v>
      </c>
      <c r="B511" s="457"/>
      <c r="C511" s="36"/>
      <c r="D511" s="381">
        <f>'pyg y notas'!D182</f>
        <v>623438</v>
      </c>
      <c r="E511" s="203"/>
      <c r="F511" s="203">
        <f>'pyg y notas'!F182</f>
        <v>654329</v>
      </c>
      <c r="G511" s="203"/>
      <c r="H511" s="203">
        <f t="shared" si="22"/>
        <v>-30891</v>
      </c>
      <c r="I511" s="36"/>
      <c r="J511" s="52">
        <f t="shared" si="23"/>
        <v>-4.7210195482700598E-2</v>
      </c>
    </row>
    <row r="512" spans="1:10" s="328" customFormat="1" ht="15" customHeight="1" x14ac:dyDescent="0.2">
      <c r="A512" s="457" t="str">
        <f>'pyg y notas'!A183</f>
        <v>Ingresos por aprovechamientos</v>
      </c>
      <c r="B512" s="457"/>
      <c r="C512" s="36"/>
      <c r="D512" s="381">
        <f>'pyg y notas'!D183</f>
        <v>86951</v>
      </c>
      <c r="E512" s="203"/>
      <c r="F512" s="203">
        <f>'pyg y notas'!F183</f>
        <v>43775</v>
      </c>
      <c r="G512" s="203"/>
      <c r="H512" s="203">
        <f t="shared" si="22"/>
        <v>43176</v>
      </c>
      <c r="I512" s="36"/>
      <c r="J512" s="52">
        <f t="shared" si="23"/>
        <v>0.98631639063392351</v>
      </c>
    </row>
    <row r="513" spans="1:10" s="328" customFormat="1" ht="15" customHeight="1" x14ac:dyDescent="0.2">
      <c r="A513" s="457" t="str">
        <f>'pyg y notas'!A184</f>
        <v>Regalías</v>
      </c>
      <c r="B513" s="457"/>
      <c r="C513" s="36"/>
      <c r="D513" s="381">
        <f>'pyg y notas'!D184</f>
        <v>1602</v>
      </c>
      <c r="E513" s="203"/>
      <c r="F513" s="203">
        <f>'pyg y notas'!F184</f>
        <v>0</v>
      </c>
      <c r="G513" s="203"/>
      <c r="H513" s="203">
        <f t="shared" si="22"/>
        <v>1602</v>
      </c>
      <c r="I513" s="36"/>
      <c r="J513" s="52">
        <f>IF((F513&lt;&gt;0),(H513/F513),1)</f>
        <v>1</v>
      </c>
    </row>
    <row r="514" spans="1:10" s="328" customFormat="1" ht="15" customHeight="1" x14ac:dyDescent="0.2">
      <c r="A514" s="457" t="str">
        <f>'pyg y notas'!A185</f>
        <v>Transferencias intrauniversitarias</v>
      </c>
      <c r="B514" s="457"/>
      <c r="C514" s="36"/>
      <c r="D514" s="381">
        <f>'pyg y notas'!D185</f>
        <v>428356</v>
      </c>
      <c r="E514" s="203"/>
      <c r="F514" s="203">
        <f>'pyg y notas'!F185</f>
        <v>885273</v>
      </c>
      <c r="G514" s="203"/>
      <c r="H514" s="203">
        <f t="shared" si="22"/>
        <v>-456917</v>
      </c>
      <c r="I514" s="36"/>
      <c r="J514" s="52">
        <f t="shared" si="23"/>
        <v>-0.5161311821325173</v>
      </c>
    </row>
    <row r="515" spans="1:10" s="328" customFormat="1" ht="15" customHeight="1" x14ac:dyDescent="0.2">
      <c r="A515" s="457" t="str">
        <f>'pyg y notas'!A186</f>
        <v>Elementos perdidos</v>
      </c>
      <c r="B515" s="457"/>
      <c r="C515" s="36"/>
      <c r="D515" s="381">
        <f>'pyg y notas'!D186</f>
        <v>951</v>
      </c>
      <c r="E515" s="203"/>
      <c r="F515" s="203">
        <f>'pyg y notas'!F186</f>
        <v>1857</v>
      </c>
      <c r="G515" s="203"/>
      <c r="H515" s="203">
        <f t="shared" si="22"/>
        <v>-906</v>
      </c>
      <c r="I515" s="36"/>
      <c r="J515" s="52">
        <f t="shared" si="23"/>
        <v>-0.4878836833602585</v>
      </c>
    </row>
    <row r="516" spans="1:10" s="328" customFormat="1" ht="15" customHeight="1" x14ac:dyDescent="0.2">
      <c r="A516" s="457" t="str">
        <f>'pyg y notas'!A187</f>
        <v>Multas y recargos</v>
      </c>
      <c r="B516" s="457"/>
      <c r="C516" s="36"/>
      <c r="D516" s="381">
        <f>'pyg y notas'!D187</f>
        <v>446872</v>
      </c>
      <c r="E516" s="203"/>
      <c r="F516" s="203">
        <f>'pyg y notas'!F187</f>
        <v>438893</v>
      </c>
      <c r="G516" s="203"/>
      <c r="H516" s="203">
        <f t="shared" si="22"/>
        <v>7979</v>
      </c>
      <c r="I516" s="36"/>
      <c r="J516" s="52">
        <f t="shared" si="23"/>
        <v>1.8179829707924255E-2</v>
      </c>
    </row>
    <row r="517" spans="1:10" s="328" customFormat="1" ht="15" customHeight="1" x14ac:dyDescent="0.2">
      <c r="A517" s="457" t="str">
        <f>'pyg y notas'!A188</f>
        <v>Ajuste al peso</v>
      </c>
      <c r="B517" s="457"/>
      <c r="C517" s="36"/>
      <c r="D517" s="381">
        <f>'pyg y notas'!D188</f>
        <v>1163</v>
      </c>
      <c r="E517" s="203"/>
      <c r="F517" s="203">
        <f>'pyg y notas'!F188</f>
        <v>1179</v>
      </c>
      <c r="G517" s="203"/>
      <c r="H517" s="203">
        <f t="shared" si="22"/>
        <v>-16</v>
      </c>
      <c r="I517" s="36"/>
      <c r="J517" s="52">
        <f>IF((F517&lt;&gt;0),(H517/F517),1)</f>
        <v>-1.3570822731128074E-2</v>
      </c>
    </row>
    <row r="518" spans="1:10" s="328" customFormat="1" ht="12" customHeight="1" x14ac:dyDescent="0.2">
      <c r="D518" s="204"/>
      <c r="E518" s="204"/>
      <c r="F518" s="204"/>
      <c r="G518" s="204"/>
      <c r="H518" s="205"/>
      <c r="I518" s="95"/>
      <c r="J518" s="50"/>
    </row>
    <row r="519" spans="1:10" s="328" customFormat="1" ht="12.75" x14ac:dyDescent="0.2">
      <c r="A519" s="3" t="str">
        <f>'pyg y notas'!A190</f>
        <v>TOTAL</v>
      </c>
      <c r="B519" s="3"/>
      <c r="C519" s="384"/>
      <c r="D519" s="197">
        <f>SUM(D508:D518)</f>
        <v>1625420</v>
      </c>
      <c r="E519" s="197"/>
      <c r="F519" s="197">
        <f>SUM(F508:F518)</f>
        <v>2115504</v>
      </c>
      <c r="G519" s="197"/>
      <c r="H519" s="197">
        <f>SUM(H508:H518)</f>
        <v>-490084</v>
      </c>
      <c r="I519" s="3"/>
      <c r="J519" s="14">
        <f>H519/F519</f>
        <v>-0.23166299851004774</v>
      </c>
    </row>
    <row r="520" spans="1:10" s="328" customFormat="1" ht="15" customHeight="1" x14ac:dyDescent="0.2">
      <c r="A520" s="12"/>
      <c r="B520" s="12"/>
      <c r="C520" s="95"/>
      <c r="D520" s="13"/>
      <c r="E520" s="12"/>
      <c r="F520" s="13"/>
      <c r="G520" s="12"/>
      <c r="H520" s="13"/>
      <c r="I520" s="12"/>
      <c r="J520" s="17"/>
    </row>
    <row r="521" spans="1:10" s="328" customFormat="1" ht="15" customHeight="1" x14ac:dyDescent="0.2">
      <c r="A521" s="12"/>
      <c r="B521" s="12"/>
      <c r="C521" s="95"/>
      <c r="D521" s="13"/>
      <c r="E521" s="12"/>
      <c r="F521" s="13"/>
      <c r="G521" s="12"/>
      <c r="H521" s="13"/>
      <c r="I521" s="12"/>
      <c r="J521" s="17"/>
    </row>
    <row r="522" spans="1:10" s="328" customFormat="1" ht="15" customHeight="1" x14ac:dyDescent="0.2">
      <c r="A522" s="12"/>
      <c r="B522" s="12"/>
      <c r="C522" s="95"/>
      <c r="D522" s="13"/>
      <c r="E522" s="12"/>
      <c r="F522" s="13"/>
      <c r="G522" s="12"/>
      <c r="H522" s="13"/>
      <c r="I522" s="12"/>
      <c r="J522" s="17"/>
    </row>
    <row r="523" spans="1:10" s="328" customFormat="1" ht="15" customHeight="1" x14ac:dyDescent="0.2">
      <c r="A523" s="12"/>
      <c r="B523" s="12"/>
      <c r="C523" s="95"/>
      <c r="D523" s="13"/>
      <c r="E523" s="12"/>
      <c r="F523" s="13"/>
      <c r="G523" s="12"/>
      <c r="H523" s="13"/>
      <c r="I523" s="12"/>
      <c r="J523" s="17"/>
    </row>
    <row r="524" spans="1:10" s="328" customFormat="1" ht="15" customHeight="1" x14ac:dyDescent="0.2">
      <c r="A524" s="12"/>
      <c r="B524" s="12"/>
      <c r="C524" s="95"/>
      <c r="D524" s="13"/>
      <c r="E524" s="12"/>
      <c r="F524" s="13"/>
      <c r="G524" s="12"/>
      <c r="H524" s="13"/>
      <c r="I524" s="12"/>
      <c r="J524" s="17"/>
    </row>
    <row r="525" spans="1:10" s="254" customFormat="1" ht="18" x14ac:dyDescent="0.25">
      <c r="A525" s="42" t="str">
        <f>'pyg y notas'!A192</f>
        <v>27. GASTOS FINANCIEROS</v>
      </c>
      <c r="D525" s="257"/>
      <c r="F525" s="257"/>
      <c r="H525" s="257"/>
      <c r="J525" s="49"/>
    </row>
    <row r="526" spans="1:10" s="328" customFormat="1" ht="12" customHeight="1" x14ac:dyDescent="0.2">
      <c r="D526" s="257"/>
      <c r="F526" s="257"/>
      <c r="H526" s="94"/>
      <c r="I526" s="95"/>
      <c r="J526" s="50"/>
    </row>
    <row r="527" spans="1:10" s="328" customFormat="1" ht="15" customHeight="1" x14ac:dyDescent="0.2">
      <c r="A527" s="385"/>
      <c r="B527" s="385"/>
      <c r="C527" s="385"/>
      <c r="D527" s="386">
        <f>$D$6</f>
        <v>2013</v>
      </c>
      <c r="E527" s="387"/>
      <c r="F527" s="386">
        <f>$F$6</f>
        <v>2012</v>
      </c>
      <c r="G527" s="387"/>
      <c r="H527" s="388" t="str">
        <f>$H$6</f>
        <v>DIFERENCIA</v>
      </c>
      <c r="I527" s="386"/>
      <c r="J527" s="389" t="str">
        <f>$J$6</f>
        <v>DIFERENCIA</v>
      </c>
    </row>
    <row r="528" spans="1:10" s="328" customFormat="1" ht="15" customHeight="1" x14ac:dyDescent="0.2">
      <c r="A528" s="385"/>
      <c r="B528" s="385"/>
      <c r="C528" s="385"/>
      <c r="D528" s="387"/>
      <c r="E528" s="387"/>
      <c r="F528" s="387"/>
      <c r="G528" s="387"/>
      <c r="H528" s="388" t="str">
        <f>$H$7</f>
        <v>EN $</v>
      </c>
      <c r="I528" s="390"/>
      <c r="J528" s="389" t="str">
        <f>$J$7</f>
        <v>EN %</v>
      </c>
    </row>
    <row r="529" spans="1:10" s="328" customFormat="1" ht="15" customHeight="1" x14ac:dyDescent="0.2">
      <c r="D529" s="257"/>
      <c r="F529" s="257"/>
      <c r="H529" s="94"/>
      <c r="I529" s="95"/>
      <c r="J529" s="50"/>
    </row>
    <row r="530" spans="1:10" s="328" customFormat="1" ht="15" customHeight="1" x14ac:dyDescent="0.2">
      <c r="A530" s="36" t="str">
        <f>'pyg y notas'!A194</f>
        <v>Comisiones</v>
      </c>
      <c r="B530" s="36"/>
      <c r="C530" s="36"/>
      <c r="D530" s="203">
        <f>'pyg y notas'!D194</f>
        <v>797775</v>
      </c>
      <c r="E530" s="203"/>
      <c r="F530" s="203">
        <f>'pyg y notas'!F194</f>
        <v>779332</v>
      </c>
      <c r="G530" s="203"/>
      <c r="H530" s="203">
        <f>D530-F530</f>
        <v>18443</v>
      </c>
      <c r="I530" s="36"/>
      <c r="J530" s="52">
        <f>IF((F530&lt;&gt;0),(H530/F530),1)</f>
        <v>2.3665138862513025E-2</v>
      </c>
    </row>
    <row r="531" spans="1:10" s="328" customFormat="1" ht="15" customHeight="1" x14ac:dyDescent="0.2">
      <c r="A531" s="445" t="str">
        <f>'pyg y notas'!A195</f>
        <v>Intereses por préstamos</v>
      </c>
      <c r="B531" s="445"/>
      <c r="C531" s="36"/>
      <c r="D531" s="203">
        <f>'pyg y notas'!D195</f>
        <v>591061</v>
      </c>
      <c r="E531" s="203"/>
      <c r="F531" s="203">
        <f>'pyg y notas'!F195</f>
        <v>1120715</v>
      </c>
      <c r="G531" s="203"/>
      <c r="H531" s="203">
        <f>D531-F531</f>
        <v>-529654</v>
      </c>
      <c r="I531" s="36"/>
      <c r="J531" s="52">
        <f>IF((F531&lt;&gt;0),(H531/F531),1)</f>
        <v>-0.47260365034821522</v>
      </c>
    </row>
    <row r="532" spans="1:10" s="328" customFormat="1" ht="15" customHeight="1" x14ac:dyDescent="0.2">
      <c r="A532" s="36" t="str">
        <f>'pyg y notas'!A196</f>
        <v>Diferencia en cambio</v>
      </c>
      <c r="D532" s="203">
        <f>'pyg y notas'!D196</f>
        <v>177904</v>
      </c>
      <c r="E532" s="203"/>
      <c r="F532" s="203">
        <f>'pyg y notas'!F196</f>
        <v>179870</v>
      </c>
      <c r="G532" s="203"/>
      <c r="H532" s="203">
        <f>D532-F532</f>
        <v>-1966</v>
      </c>
      <c r="I532" s="36"/>
      <c r="J532" s="52">
        <f>IF((F532&lt;&gt;0),(H532/F532),1)</f>
        <v>-1.0930116195029744E-2</v>
      </c>
    </row>
    <row r="533" spans="1:10" s="328" customFormat="1" ht="15" customHeight="1" x14ac:dyDescent="0.2">
      <c r="A533" s="36" t="str">
        <f>'pyg y notas'!A197</f>
        <v>Otros gastos financieros</v>
      </c>
      <c r="B533" s="36"/>
      <c r="C533" s="36"/>
      <c r="D533" s="203">
        <f>'pyg y notas'!D197</f>
        <v>112781</v>
      </c>
      <c r="E533" s="203"/>
      <c r="F533" s="203">
        <f>'pyg y notas'!F197</f>
        <v>7345</v>
      </c>
      <c r="G533" s="203"/>
      <c r="H533" s="203">
        <f>D533-F533</f>
        <v>105436</v>
      </c>
      <c r="I533" s="36"/>
      <c r="J533" s="52">
        <f>IF((F533&lt;&gt;0),(H533/F533),1)</f>
        <v>14.354799183117768</v>
      </c>
    </row>
    <row r="534" spans="1:10" s="328" customFormat="1" ht="12" customHeight="1" x14ac:dyDescent="0.2">
      <c r="D534" s="204"/>
      <c r="E534" s="204"/>
      <c r="F534" s="204"/>
      <c r="G534" s="204"/>
      <c r="H534" s="349"/>
      <c r="I534" s="377"/>
      <c r="J534" s="378"/>
    </row>
    <row r="535" spans="1:10" s="328" customFormat="1" ht="15" customHeight="1" x14ac:dyDescent="0.2">
      <c r="A535" s="3" t="str">
        <f>'pyg y notas'!A199</f>
        <v>TOTAL</v>
      </c>
      <c r="B535" s="3"/>
      <c r="C535" s="384"/>
      <c r="D535" s="197">
        <f>SUM(D530:D534)</f>
        <v>1679521</v>
      </c>
      <c r="E535" s="197"/>
      <c r="F535" s="197">
        <f>SUM(F530:F534)</f>
        <v>2087262</v>
      </c>
      <c r="G535" s="197"/>
      <c r="H535" s="197">
        <f>SUM(H530:H534)</f>
        <v>-407741</v>
      </c>
      <c r="I535" s="3"/>
      <c r="J535" s="14">
        <f>H535/F535</f>
        <v>-0.19534730187202182</v>
      </c>
    </row>
    <row r="536" spans="1:10" s="328" customFormat="1" ht="12.75" x14ac:dyDescent="0.2">
      <c r="A536" s="12"/>
      <c r="B536" s="12"/>
      <c r="C536" s="95"/>
      <c r="D536" s="13"/>
      <c r="E536" s="12"/>
      <c r="F536" s="13"/>
      <c r="G536" s="12"/>
      <c r="H536" s="13"/>
      <c r="I536" s="12"/>
      <c r="J536" s="17"/>
    </row>
    <row r="537" spans="1:10" s="328" customFormat="1" ht="12.75" x14ac:dyDescent="0.2">
      <c r="A537" s="12"/>
      <c r="B537" s="12"/>
      <c r="C537" s="95"/>
      <c r="D537" s="13"/>
      <c r="E537" s="12"/>
      <c r="F537" s="13"/>
      <c r="G537" s="12"/>
      <c r="H537" s="13"/>
      <c r="I537" s="12"/>
      <c r="J537" s="17"/>
    </row>
    <row r="538" spans="1:10" s="328" customFormat="1" ht="12.75" x14ac:dyDescent="0.2">
      <c r="A538" s="12"/>
      <c r="B538" s="12"/>
      <c r="C538" s="95"/>
      <c r="D538" s="13"/>
      <c r="E538" s="12"/>
      <c r="F538" s="13"/>
      <c r="G538" s="12"/>
      <c r="H538" s="13"/>
      <c r="I538" s="12"/>
      <c r="J538" s="17"/>
    </row>
    <row r="539" spans="1:10" s="254" customFormat="1" ht="18" x14ac:dyDescent="0.25">
      <c r="A539" s="42" t="str">
        <f>'pyg y notas'!A202</f>
        <v>28. GASTOS DIVERSOS NO OPERACIONALES</v>
      </c>
      <c r="D539" s="96"/>
      <c r="E539" s="6"/>
      <c r="F539" s="96"/>
      <c r="G539" s="6"/>
      <c r="H539" s="97"/>
      <c r="I539" s="12"/>
      <c r="J539" s="17"/>
    </row>
    <row r="540" spans="1:10" s="328" customFormat="1" ht="12" customHeight="1" x14ac:dyDescent="0.2">
      <c r="A540" s="6"/>
      <c r="D540" s="257"/>
      <c r="F540" s="257"/>
      <c r="H540" s="94"/>
      <c r="I540" s="95"/>
      <c r="J540" s="50"/>
    </row>
    <row r="541" spans="1:10" s="328" customFormat="1" ht="15" customHeight="1" x14ac:dyDescent="0.2">
      <c r="A541" s="385"/>
      <c r="B541" s="385"/>
      <c r="C541" s="385"/>
      <c r="D541" s="386">
        <f>$D$6</f>
        <v>2013</v>
      </c>
      <c r="E541" s="387"/>
      <c r="F541" s="386">
        <f>$F$6</f>
        <v>2012</v>
      </c>
      <c r="G541" s="387"/>
      <c r="H541" s="388" t="str">
        <f>$H$6</f>
        <v>DIFERENCIA</v>
      </c>
      <c r="I541" s="386"/>
      <c r="J541" s="389" t="str">
        <f>$J$6</f>
        <v>DIFERENCIA</v>
      </c>
    </row>
    <row r="542" spans="1:10" s="328" customFormat="1" ht="15" customHeight="1" x14ac:dyDescent="0.2">
      <c r="A542" s="385"/>
      <c r="B542" s="385"/>
      <c r="C542" s="385"/>
      <c r="D542" s="387"/>
      <c r="E542" s="387"/>
      <c r="F542" s="387"/>
      <c r="G542" s="387"/>
      <c r="H542" s="388" t="str">
        <f>$H$7</f>
        <v>EN $</v>
      </c>
      <c r="I542" s="390"/>
      <c r="J542" s="389" t="str">
        <f>$J$7</f>
        <v>EN %</v>
      </c>
    </row>
    <row r="543" spans="1:10" s="328" customFormat="1" ht="15" customHeight="1" x14ac:dyDescent="0.2">
      <c r="D543" s="257"/>
      <c r="F543" s="257"/>
      <c r="H543" s="94"/>
      <c r="I543" s="95"/>
      <c r="J543" s="50"/>
    </row>
    <row r="544" spans="1:10" s="328" customFormat="1" ht="15" customHeight="1" x14ac:dyDescent="0.2">
      <c r="A544" s="36" t="str">
        <f>'pyg y notas'!A204</f>
        <v>Pérdida en venta y retiro de bienes</v>
      </c>
      <c r="B544" s="36"/>
      <c r="C544" s="36"/>
      <c r="D544" s="203">
        <f>'pyg y notas'!D204</f>
        <v>148196</v>
      </c>
      <c r="E544" s="203"/>
      <c r="F544" s="203">
        <f>'pyg y notas'!F204</f>
        <v>209613</v>
      </c>
      <c r="G544" s="203"/>
      <c r="H544" s="203">
        <f t="shared" ref="H544:H550" si="24">D544-F544</f>
        <v>-61417</v>
      </c>
      <c r="I544" s="36"/>
      <c r="J544" s="52">
        <f t="shared" ref="J544:J550" si="25">IF((F544&lt;&gt;0),(H544/F544),1)</f>
        <v>-0.29300186534232131</v>
      </c>
    </row>
    <row r="545" spans="1:10" s="328" customFormat="1" ht="15" customHeight="1" x14ac:dyDescent="0.2">
      <c r="A545" s="36" t="str">
        <f>'pyg y notas'!A205</f>
        <v>Costos y gastos de ejercicios anteriores</v>
      </c>
      <c r="B545" s="36"/>
      <c r="C545" s="36"/>
      <c r="D545" s="203">
        <f>'pyg y notas'!D205</f>
        <v>1403538</v>
      </c>
      <c r="E545" s="203"/>
      <c r="F545" s="203">
        <f>'pyg y notas'!F205</f>
        <v>808083</v>
      </c>
      <c r="G545" s="203"/>
      <c r="H545" s="203">
        <f t="shared" si="24"/>
        <v>595455</v>
      </c>
      <c r="I545" s="36"/>
      <c r="J545" s="52">
        <f t="shared" si="25"/>
        <v>0.73687356373045843</v>
      </c>
    </row>
    <row r="546" spans="1:10" s="328" customFormat="1" ht="15" customHeight="1" x14ac:dyDescent="0.2">
      <c r="A546" s="36" t="str">
        <f>'pyg y notas'!A206</f>
        <v>Retención en la fuente asumida</v>
      </c>
      <c r="B546" s="36"/>
      <c r="C546" s="36"/>
      <c r="D546" s="203">
        <f>'pyg y notas'!D206</f>
        <v>188412</v>
      </c>
      <c r="E546" s="203"/>
      <c r="F546" s="203">
        <f>'pyg y notas'!F206</f>
        <v>134741</v>
      </c>
      <c r="G546" s="203"/>
      <c r="H546" s="203">
        <f t="shared" si="24"/>
        <v>53671</v>
      </c>
      <c r="I546" s="36"/>
      <c r="J546" s="52">
        <f t="shared" si="25"/>
        <v>0.39832716099776611</v>
      </c>
    </row>
    <row r="547" spans="1:10" s="328" customFormat="1" ht="15" customHeight="1" x14ac:dyDescent="0.2">
      <c r="A547" s="36" t="str">
        <f>'pyg y notas'!A207</f>
        <v>Gravamen a los impuestos financieros</v>
      </c>
      <c r="B547" s="36"/>
      <c r="C547" s="36"/>
      <c r="D547" s="203">
        <f>'pyg y notas'!D207</f>
        <v>810407</v>
      </c>
      <c r="E547" s="203"/>
      <c r="F547" s="203">
        <f>'pyg y notas'!F207</f>
        <v>712072</v>
      </c>
      <c r="G547" s="203"/>
      <c r="H547" s="203">
        <f t="shared" si="24"/>
        <v>98335</v>
      </c>
      <c r="I547" s="36"/>
      <c r="J547" s="52">
        <f t="shared" si="25"/>
        <v>0.13809699019200306</v>
      </c>
    </row>
    <row r="548" spans="1:10" s="328" customFormat="1" ht="15" customHeight="1" x14ac:dyDescent="0.2">
      <c r="A548" s="36" t="str">
        <f>'pyg y notas'!A208</f>
        <v>Provisión de gastos</v>
      </c>
      <c r="B548" s="36"/>
      <c r="C548" s="36"/>
      <c r="D548" s="203">
        <f>'pyg y notas'!D208</f>
        <v>903078</v>
      </c>
      <c r="E548" s="203"/>
      <c r="F548" s="203">
        <f>'pyg y notas'!F208</f>
        <v>-411350</v>
      </c>
      <c r="G548" s="203"/>
      <c r="H548" s="203">
        <f t="shared" si="24"/>
        <v>1314428</v>
      </c>
      <c r="I548" s="36"/>
      <c r="J548" s="52">
        <f t="shared" si="25"/>
        <v>-3.1954005105141605</v>
      </c>
    </row>
    <row r="549" spans="1:10" s="328" customFormat="1" ht="15" customHeight="1" x14ac:dyDescent="0.2">
      <c r="A549" s="36" t="str">
        <f>'pyg y notas'!A209</f>
        <v>Transferencias intrauniversitarias</v>
      </c>
      <c r="B549" s="36"/>
      <c r="C549" s="36"/>
      <c r="D549" s="203">
        <f>'pyg y notas'!D209</f>
        <v>428356</v>
      </c>
      <c r="E549" s="203"/>
      <c r="F549" s="203">
        <f>'pyg y notas'!F209</f>
        <v>885273</v>
      </c>
      <c r="G549" s="203"/>
      <c r="H549" s="203">
        <f t="shared" si="24"/>
        <v>-456917</v>
      </c>
      <c r="I549" s="36"/>
      <c r="J549" s="52">
        <f t="shared" si="25"/>
        <v>-0.5161311821325173</v>
      </c>
    </row>
    <row r="550" spans="1:10" s="328" customFormat="1" ht="15" customHeight="1" x14ac:dyDescent="0.2">
      <c r="A550" s="36" t="str">
        <f>'pyg y notas'!A210</f>
        <v>Otros gastos</v>
      </c>
      <c r="B550" s="36"/>
      <c r="C550" s="36"/>
      <c r="D550" s="203">
        <f>'pyg y notas'!D210</f>
        <v>75756</v>
      </c>
      <c r="E550" s="203"/>
      <c r="F550" s="203">
        <f>'pyg y notas'!F210</f>
        <v>29137</v>
      </c>
      <c r="G550" s="203"/>
      <c r="H550" s="203">
        <f t="shared" si="24"/>
        <v>46619</v>
      </c>
      <c r="I550" s="36"/>
      <c r="J550" s="52">
        <f t="shared" si="25"/>
        <v>1.5999931358753474</v>
      </c>
    </row>
    <row r="551" spans="1:10" s="328" customFormat="1" ht="12" customHeight="1" x14ac:dyDescent="0.2">
      <c r="D551" s="204"/>
      <c r="E551" s="204"/>
      <c r="F551" s="204"/>
      <c r="G551" s="204"/>
      <c r="H551" s="203"/>
      <c r="I551" s="95"/>
      <c r="J551" s="50"/>
    </row>
    <row r="552" spans="1:10" s="328" customFormat="1" ht="15" customHeight="1" x14ac:dyDescent="0.2">
      <c r="A552" s="3" t="str">
        <f>'pyg y notas'!A212</f>
        <v>TOTAL</v>
      </c>
      <c r="B552" s="3"/>
      <c r="C552" s="3"/>
      <c r="D552" s="197">
        <f>SUM(D544:D551)</f>
        <v>3957743</v>
      </c>
      <c r="E552" s="197"/>
      <c r="F552" s="197">
        <f>SUM(F544:F551)</f>
        <v>2367569</v>
      </c>
      <c r="G552" s="197"/>
      <c r="H552" s="197">
        <f>SUM(H544:H551)</f>
        <v>1590174</v>
      </c>
      <c r="I552" s="3"/>
      <c r="J552" s="14">
        <f>H552/F552</f>
        <v>0.67164842925380419</v>
      </c>
    </row>
    <row r="553" spans="1:10" s="328" customFormat="1" ht="12.75" x14ac:dyDescent="0.2">
      <c r="A553" s="12"/>
      <c r="B553" s="12"/>
      <c r="C553" s="12"/>
      <c r="D553" s="13"/>
      <c r="E553" s="12"/>
      <c r="F553" s="13"/>
      <c r="G553" s="12"/>
      <c r="H553" s="365"/>
      <c r="I553" s="12"/>
      <c r="J553" s="17"/>
    </row>
    <row r="554" spans="1:10" s="328" customFormat="1" ht="12.75" x14ac:dyDescent="0.2">
      <c r="A554" s="12"/>
      <c r="B554" s="12"/>
      <c r="C554" s="12"/>
      <c r="D554" s="13"/>
      <c r="E554" s="12"/>
      <c r="F554" s="13"/>
      <c r="G554" s="12"/>
      <c r="H554" s="365"/>
      <c r="I554" s="12"/>
      <c r="J554" s="17"/>
    </row>
    <row r="555" spans="1:10" s="328" customFormat="1" ht="12.75" x14ac:dyDescent="0.2">
      <c r="A555" s="12"/>
      <c r="B555" s="12"/>
      <c r="C555" s="12"/>
      <c r="D555" s="13"/>
      <c r="E555" s="12"/>
      <c r="F555" s="13"/>
      <c r="G555" s="12"/>
      <c r="H555" s="365"/>
      <c r="I555" s="12"/>
      <c r="J555" s="17"/>
    </row>
    <row r="556" spans="1:10" s="328" customFormat="1" ht="12.75" x14ac:dyDescent="0.2">
      <c r="A556" s="12"/>
      <c r="B556" s="12"/>
      <c r="C556" s="12"/>
      <c r="D556" s="13"/>
      <c r="E556" s="12"/>
      <c r="F556" s="13"/>
      <c r="G556" s="12"/>
      <c r="H556" s="365"/>
      <c r="I556" s="12"/>
      <c r="J556" s="17"/>
    </row>
    <row r="557" spans="1:10" s="254" customFormat="1" ht="18" x14ac:dyDescent="0.25">
      <c r="A557" s="42" t="str">
        <f>'notas bce prueba1'!A193</f>
        <v>29. CUENTAS DE ORDEN</v>
      </c>
      <c r="J557" s="49"/>
    </row>
    <row r="558" spans="1:10" s="328" customFormat="1" ht="15" customHeight="1" x14ac:dyDescent="0.2">
      <c r="J558" s="49"/>
    </row>
    <row r="559" spans="1:10" s="328" customFormat="1" ht="15" customHeight="1" x14ac:dyDescent="0.2">
      <c r="A559" s="385"/>
      <c r="B559" s="385"/>
      <c r="C559" s="385"/>
      <c r="D559" s="386">
        <f>$D$6</f>
        <v>2013</v>
      </c>
      <c r="E559" s="387"/>
      <c r="F559" s="386">
        <f>$F$6</f>
        <v>2012</v>
      </c>
      <c r="G559" s="387"/>
      <c r="H559" s="388" t="str">
        <f>$H$6</f>
        <v>DIFERENCIA</v>
      </c>
      <c r="I559" s="386"/>
      <c r="J559" s="389" t="str">
        <f>$J$6</f>
        <v>DIFERENCIA</v>
      </c>
    </row>
    <row r="560" spans="1:10" s="328" customFormat="1" ht="15" customHeight="1" x14ac:dyDescent="0.2">
      <c r="A560" s="385"/>
      <c r="B560" s="385"/>
      <c r="C560" s="385"/>
      <c r="D560" s="387"/>
      <c r="E560" s="387"/>
      <c r="F560" s="387"/>
      <c r="G560" s="387"/>
      <c r="H560" s="388" t="str">
        <f>$H$7</f>
        <v>EN $</v>
      </c>
      <c r="I560" s="390"/>
      <c r="J560" s="389" t="str">
        <f>$J$7</f>
        <v>EN %</v>
      </c>
    </row>
    <row r="561" spans="1:10" s="328" customFormat="1" ht="15" customHeight="1" x14ac:dyDescent="0.2">
      <c r="J561" s="49"/>
    </row>
    <row r="562" spans="1:10" s="254" customFormat="1" ht="15" customHeight="1" x14ac:dyDescent="0.25">
      <c r="A562" s="44" t="str">
        <f>'notas bce prueba1'!A195</f>
        <v>DEUDORAS</v>
      </c>
      <c r="B562" s="259"/>
      <c r="C562" s="259"/>
      <c r="D562" s="259"/>
      <c r="E562" s="259"/>
      <c r="F562" s="259"/>
      <c r="G562" s="259"/>
      <c r="H562" s="259"/>
      <c r="I562" s="259"/>
      <c r="J562" s="82"/>
    </row>
    <row r="563" spans="1:10" s="328" customFormat="1" ht="15" customHeight="1" x14ac:dyDescent="0.2">
      <c r="A563" s="6"/>
      <c r="J563" s="49"/>
    </row>
    <row r="564" spans="1:10" s="328" customFormat="1" ht="15" customHeight="1" x14ac:dyDescent="0.2">
      <c r="B564" s="36" t="str">
        <f>'notas bce prueba1'!B196</f>
        <v>Derechos contingentes</v>
      </c>
      <c r="C564" s="36"/>
      <c r="D564" s="203">
        <f>'notas bce prueba1'!C196</f>
        <v>186806</v>
      </c>
      <c r="E564" s="203"/>
      <c r="F564" s="203">
        <f>'notas bce prueba1'!D196</f>
        <v>193633</v>
      </c>
      <c r="G564" s="203"/>
      <c r="H564" s="203">
        <f>D564-F564</f>
        <v>-6827</v>
      </c>
      <c r="I564" s="36"/>
      <c r="J564" s="52">
        <f>IF((F564&lt;&gt;0),(H564/F564),1)</f>
        <v>-3.5257419964572156E-2</v>
      </c>
    </row>
    <row r="565" spans="1:10" s="328" customFormat="1" ht="15" customHeight="1" x14ac:dyDescent="0.2">
      <c r="B565" s="36" t="str">
        <f>'notas bce prueba1'!B197</f>
        <v>Deudoras de control</v>
      </c>
      <c r="C565" s="36"/>
      <c r="D565" s="203">
        <f>'notas bce prueba1'!C197</f>
        <v>9514428</v>
      </c>
      <c r="E565" s="203"/>
      <c r="F565" s="203">
        <f>'notas bce prueba1'!D197</f>
        <v>10046800</v>
      </c>
      <c r="G565" s="203"/>
      <c r="H565" s="381">
        <f>D565-F565</f>
        <v>-532372</v>
      </c>
      <c r="I565" s="36"/>
      <c r="J565" s="52">
        <f>IF((F565&lt;&gt;0),(H565/F565),1)</f>
        <v>-5.2989210494883941E-2</v>
      </c>
    </row>
    <row r="566" spans="1:10" s="328" customFormat="1" ht="15" customHeight="1" x14ac:dyDescent="0.2">
      <c r="D566" s="204"/>
      <c r="E566" s="204"/>
      <c r="F566" s="204"/>
      <c r="G566" s="204"/>
      <c r="H566" s="205"/>
      <c r="I566" s="95"/>
      <c r="J566" s="50"/>
    </row>
    <row r="567" spans="1:10" s="328" customFormat="1" ht="15" customHeight="1" x14ac:dyDescent="0.2">
      <c r="A567" s="3" t="str">
        <f>'notas bce prueba1'!A198</f>
        <v>TOTAL</v>
      </c>
      <c r="B567" s="3"/>
      <c r="C567" s="3"/>
      <c r="D567" s="197">
        <f>SUM(D564:D566)</f>
        <v>9701234</v>
      </c>
      <c r="E567" s="197"/>
      <c r="F567" s="197">
        <f>SUM(F564:F566)</f>
        <v>10240433</v>
      </c>
      <c r="G567" s="197"/>
      <c r="H567" s="197">
        <f>SUM(H564:H566)</f>
        <v>-539199</v>
      </c>
      <c r="I567" s="3"/>
      <c r="J567" s="14">
        <f>H567/F567</f>
        <v>-5.2653925864267655E-2</v>
      </c>
    </row>
    <row r="568" spans="1:10" s="328" customFormat="1" ht="15" customHeight="1" x14ac:dyDescent="0.2">
      <c r="D568" s="391"/>
      <c r="E568" s="391"/>
      <c r="F568" s="391"/>
      <c r="G568" s="391"/>
      <c r="H568" s="391"/>
      <c r="I568" s="50"/>
      <c r="J568" s="50"/>
    </row>
    <row r="569" spans="1:10" s="254" customFormat="1" ht="15" customHeight="1" x14ac:dyDescent="0.25">
      <c r="A569" s="44" t="str">
        <f>'notas bce prueba1'!A200</f>
        <v>ACREEDORAS</v>
      </c>
      <c r="B569" s="259"/>
      <c r="C569" s="259"/>
      <c r="D569" s="210"/>
      <c r="E569" s="210"/>
      <c r="F569" s="210"/>
      <c r="G569" s="210"/>
      <c r="H569" s="210"/>
      <c r="I569" s="88"/>
      <c r="J569" s="88"/>
    </row>
    <row r="570" spans="1:10" s="328" customFormat="1" ht="15" customHeight="1" x14ac:dyDescent="0.2">
      <c r="D570" s="392"/>
      <c r="E570" s="392"/>
      <c r="F570" s="392"/>
      <c r="G570" s="392"/>
      <c r="H570" s="392"/>
      <c r="I570" s="378"/>
      <c r="J570" s="378"/>
    </row>
    <row r="571" spans="1:10" s="328" customFormat="1" ht="15" customHeight="1" x14ac:dyDescent="0.2">
      <c r="B571" s="36" t="str">
        <f>'notas bce prueba1'!B201</f>
        <v>Responsabilidades contingentes</v>
      </c>
      <c r="C571" s="36"/>
      <c r="D571" s="203"/>
      <c r="E571" s="203"/>
      <c r="F571" s="203"/>
      <c r="G571" s="203"/>
      <c r="H571" s="203"/>
      <c r="I571" s="393"/>
      <c r="J571" s="52"/>
    </row>
    <row r="572" spans="1:10" s="328" customFormat="1" ht="9" customHeight="1" x14ac:dyDescent="0.2">
      <c r="B572" s="36"/>
      <c r="C572" s="36"/>
      <c r="D572" s="203"/>
      <c r="E572" s="203"/>
      <c r="F572" s="203"/>
      <c r="G572" s="203"/>
      <c r="H572" s="203"/>
      <c r="I572" s="393"/>
      <c r="J572" s="52"/>
    </row>
    <row r="573" spans="1:10" s="328" customFormat="1" ht="15" customHeight="1" x14ac:dyDescent="0.2">
      <c r="B573" s="36" t="str">
        <f>'notas bce prueba1'!B203</f>
        <v>En consignación negocios</v>
      </c>
      <c r="C573" s="36"/>
      <c r="D573" s="381">
        <f>'notas bce prueba1'!C203</f>
        <v>442719</v>
      </c>
      <c r="E573" s="381"/>
      <c r="F573" s="381">
        <f>'notas bce prueba1'!D203</f>
        <v>661026</v>
      </c>
      <c r="G573" s="381"/>
      <c r="H573" s="381">
        <f>D573-F573</f>
        <v>-218307</v>
      </c>
      <c r="I573" s="36"/>
      <c r="J573" s="394">
        <f>IF((F573&lt;&gt;0),(H573/F573),1)</f>
        <v>-0.33025478574216444</v>
      </c>
    </row>
    <row r="574" spans="1:10" s="328" customFormat="1" ht="15" customHeight="1" x14ac:dyDescent="0.2">
      <c r="D574" s="204"/>
      <c r="E574" s="204"/>
      <c r="F574" s="204"/>
      <c r="G574" s="204"/>
      <c r="H574" s="203"/>
      <c r="J574" s="49"/>
    </row>
    <row r="575" spans="1:10" s="328" customFormat="1" ht="15" customHeight="1" x14ac:dyDescent="0.2">
      <c r="A575" s="3" t="str">
        <f>'notas bce prueba1'!A205</f>
        <v>TOTAL</v>
      </c>
      <c r="B575" s="3"/>
      <c r="C575" s="3"/>
      <c r="D575" s="197">
        <f>SUM(D573:D573)</f>
        <v>442719</v>
      </c>
      <c r="E575" s="197"/>
      <c r="F575" s="197">
        <f>SUM(F573:F573)</f>
        <v>661026</v>
      </c>
      <c r="G575" s="197"/>
      <c r="H575" s="197">
        <f>SUM(H573:H573)</f>
        <v>-218307</v>
      </c>
      <c r="I575" s="3"/>
      <c r="J575" s="14">
        <f>H575/F575</f>
        <v>-0.33025478574216444</v>
      </c>
    </row>
    <row r="576" spans="1:10" s="328" customFormat="1" ht="15" customHeight="1" x14ac:dyDescent="0.2">
      <c r="D576" s="257"/>
      <c r="F576" s="257"/>
      <c r="J576" s="49"/>
    </row>
    <row r="577" spans="4:10" s="328" customFormat="1" ht="15" customHeight="1" x14ac:dyDescent="0.2">
      <c r="D577" s="257"/>
      <c r="F577" s="257"/>
      <c r="J577" s="49"/>
    </row>
    <row r="578" spans="4:10" s="328" customFormat="1" ht="15" customHeight="1" x14ac:dyDescent="0.2">
      <c r="D578" s="257"/>
      <c r="F578" s="257"/>
      <c r="J578" s="49"/>
    </row>
    <row r="579" spans="4:10" s="328" customFormat="1" ht="15" customHeight="1" x14ac:dyDescent="0.2">
      <c r="D579" s="257"/>
      <c r="F579" s="257"/>
      <c r="J579" s="49"/>
    </row>
    <row r="580" spans="4:10" s="328" customFormat="1" ht="15" customHeight="1" x14ac:dyDescent="0.2">
      <c r="D580" s="257"/>
      <c r="F580" s="257"/>
      <c r="J580" s="49"/>
    </row>
    <row r="581" spans="4:10" s="328" customFormat="1" ht="15" customHeight="1" x14ac:dyDescent="0.2">
      <c r="D581" s="257"/>
      <c r="F581" s="257"/>
      <c r="J581" s="49"/>
    </row>
    <row r="582" spans="4:10" s="328" customFormat="1" ht="15" customHeight="1" x14ac:dyDescent="0.2">
      <c r="D582" s="257"/>
      <c r="F582" s="257"/>
      <c r="J582" s="49"/>
    </row>
    <row r="583" spans="4:10" s="328" customFormat="1" ht="15" customHeight="1" x14ac:dyDescent="0.2">
      <c r="D583" s="257"/>
      <c r="F583" s="257"/>
      <c r="J583" s="49"/>
    </row>
    <row r="584" spans="4:10" s="328" customFormat="1" ht="15" customHeight="1" x14ac:dyDescent="0.2">
      <c r="D584" s="257"/>
      <c r="F584" s="257"/>
      <c r="J584" s="49"/>
    </row>
    <row r="585" spans="4:10" s="328" customFormat="1" ht="15" customHeight="1" x14ac:dyDescent="0.2">
      <c r="D585" s="257"/>
      <c r="F585" s="257"/>
      <c r="J585" s="49"/>
    </row>
    <row r="586" spans="4:10" s="328" customFormat="1" ht="15" customHeight="1" x14ac:dyDescent="0.2">
      <c r="D586" s="257"/>
      <c r="F586" s="257"/>
      <c r="J586" s="49"/>
    </row>
    <row r="587" spans="4:10" s="328" customFormat="1" ht="15" customHeight="1" x14ac:dyDescent="0.2">
      <c r="D587" s="257"/>
      <c r="F587" s="257"/>
      <c r="J587" s="49"/>
    </row>
    <row r="588" spans="4:10" s="328" customFormat="1" ht="15" customHeight="1" x14ac:dyDescent="0.2">
      <c r="D588" s="257"/>
      <c r="F588" s="257"/>
      <c r="J588" s="49"/>
    </row>
    <row r="589" spans="4:10" s="328" customFormat="1" ht="15" customHeight="1" x14ac:dyDescent="0.2">
      <c r="D589" s="257"/>
      <c r="F589" s="257"/>
      <c r="J589" s="49"/>
    </row>
    <row r="590" spans="4:10" s="328" customFormat="1" ht="15" customHeight="1" x14ac:dyDescent="0.2">
      <c r="D590" s="257"/>
      <c r="F590" s="257"/>
      <c r="J590" s="49"/>
    </row>
    <row r="591" spans="4:10" s="328" customFormat="1" ht="15" customHeight="1" x14ac:dyDescent="0.2">
      <c r="D591" s="257"/>
      <c r="F591" s="257"/>
      <c r="J591" s="49"/>
    </row>
    <row r="592" spans="4:10" s="328" customFormat="1" ht="15" customHeight="1" x14ac:dyDescent="0.2">
      <c r="D592" s="257"/>
      <c r="F592" s="257"/>
      <c r="J592" s="49"/>
    </row>
    <row r="593" spans="4:10" s="328" customFormat="1" ht="15" customHeight="1" x14ac:dyDescent="0.2">
      <c r="D593" s="257"/>
      <c r="F593" s="257"/>
      <c r="J593" s="49"/>
    </row>
    <row r="594" spans="4:10" s="328" customFormat="1" ht="15" customHeight="1" x14ac:dyDescent="0.2">
      <c r="D594" s="257"/>
      <c r="F594" s="257"/>
      <c r="J594" s="49"/>
    </row>
    <row r="595" spans="4:10" s="328" customFormat="1" ht="15" customHeight="1" x14ac:dyDescent="0.2">
      <c r="D595" s="257"/>
      <c r="F595" s="257"/>
      <c r="J595" s="49"/>
    </row>
    <row r="596" spans="4:10" s="328" customFormat="1" ht="15" customHeight="1" x14ac:dyDescent="0.2">
      <c r="D596" s="257"/>
      <c r="F596" s="257"/>
      <c r="J596" s="49"/>
    </row>
    <row r="597" spans="4:10" s="328" customFormat="1" ht="15" customHeight="1" x14ac:dyDescent="0.2">
      <c r="D597" s="257"/>
      <c r="F597" s="257"/>
      <c r="J597" s="49"/>
    </row>
    <row r="598" spans="4:10" s="328" customFormat="1" ht="15" customHeight="1" x14ac:dyDescent="0.2">
      <c r="D598" s="257"/>
      <c r="F598" s="257"/>
      <c r="J598" s="49"/>
    </row>
    <row r="599" spans="4:10" s="328" customFormat="1" ht="15" customHeight="1" x14ac:dyDescent="0.2">
      <c r="D599" s="257"/>
      <c r="F599" s="257"/>
      <c r="J599" s="49"/>
    </row>
    <row r="600" spans="4:10" s="328" customFormat="1" ht="15" customHeight="1" x14ac:dyDescent="0.2">
      <c r="D600" s="257"/>
      <c r="F600" s="257"/>
      <c r="J600" s="49"/>
    </row>
    <row r="601" spans="4:10" s="328" customFormat="1" ht="15" customHeight="1" x14ac:dyDescent="0.2">
      <c r="D601" s="257"/>
      <c r="F601" s="257"/>
      <c r="J601" s="49"/>
    </row>
    <row r="602" spans="4:10" s="328" customFormat="1" ht="15" customHeight="1" x14ac:dyDescent="0.2">
      <c r="D602" s="257"/>
      <c r="F602" s="257"/>
      <c r="J602" s="49"/>
    </row>
    <row r="603" spans="4:10" s="328" customFormat="1" ht="15" customHeight="1" x14ac:dyDescent="0.2">
      <c r="D603" s="257"/>
      <c r="F603" s="257"/>
      <c r="J603" s="49"/>
    </row>
    <row r="604" spans="4:10" s="328" customFormat="1" ht="15" customHeight="1" x14ac:dyDescent="0.2">
      <c r="D604" s="257"/>
      <c r="F604" s="257"/>
      <c r="J604" s="49"/>
    </row>
    <row r="605" spans="4:10" s="328" customFormat="1" ht="15" customHeight="1" x14ac:dyDescent="0.2">
      <c r="D605" s="257"/>
      <c r="F605" s="257"/>
      <c r="J605" s="49"/>
    </row>
    <row r="606" spans="4:10" s="328" customFormat="1" ht="15" customHeight="1" x14ac:dyDescent="0.2">
      <c r="D606" s="257"/>
      <c r="F606" s="257"/>
      <c r="J606" s="49"/>
    </row>
    <row r="607" spans="4:10" s="328" customFormat="1" ht="15" customHeight="1" x14ac:dyDescent="0.2">
      <c r="D607" s="257"/>
      <c r="F607" s="257"/>
      <c r="J607" s="49"/>
    </row>
    <row r="608" spans="4:10" s="328" customFormat="1" ht="15" customHeight="1" x14ac:dyDescent="0.2">
      <c r="D608" s="257"/>
      <c r="F608" s="257"/>
      <c r="J608" s="49"/>
    </row>
    <row r="609" spans="4:10" s="328" customFormat="1" ht="15" customHeight="1" x14ac:dyDescent="0.2">
      <c r="D609" s="257"/>
      <c r="F609" s="257"/>
      <c r="J609" s="49"/>
    </row>
    <row r="610" spans="4:10" s="328" customFormat="1" ht="15" customHeight="1" x14ac:dyDescent="0.2">
      <c r="D610" s="257"/>
      <c r="F610" s="257"/>
      <c r="J610" s="49"/>
    </row>
    <row r="611" spans="4:10" s="328" customFormat="1" ht="15" customHeight="1" x14ac:dyDescent="0.2">
      <c r="D611" s="257"/>
      <c r="F611" s="257"/>
      <c r="J611" s="49"/>
    </row>
    <row r="612" spans="4:10" s="328" customFormat="1" ht="15" customHeight="1" x14ac:dyDescent="0.2">
      <c r="D612" s="257"/>
      <c r="F612" s="257"/>
      <c r="J612" s="49"/>
    </row>
    <row r="613" spans="4:10" s="328" customFormat="1" ht="15" customHeight="1" x14ac:dyDescent="0.2">
      <c r="D613" s="257"/>
      <c r="F613" s="257"/>
      <c r="J613" s="49"/>
    </row>
    <row r="614" spans="4:10" s="328" customFormat="1" ht="15" customHeight="1" x14ac:dyDescent="0.2">
      <c r="D614" s="257"/>
      <c r="F614" s="257"/>
      <c r="J614" s="49"/>
    </row>
    <row r="615" spans="4:10" s="328" customFormat="1" ht="15" customHeight="1" x14ac:dyDescent="0.2">
      <c r="D615" s="257"/>
      <c r="F615" s="257"/>
      <c r="J615" s="49"/>
    </row>
    <row r="616" spans="4:10" s="328" customFormat="1" ht="15" customHeight="1" x14ac:dyDescent="0.2">
      <c r="D616" s="257"/>
      <c r="F616" s="257"/>
      <c r="J616" s="49"/>
    </row>
    <row r="617" spans="4:10" s="328" customFormat="1" ht="15" customHeight="1" x14ac:dyDescent="0.2">
      <c r="D617" s="257"/>
      <c r="F617" s="257"/>
      <c r="J617" s="49"/>
    </row>
    <row r="618" spans="4:10" s="328" customFormat="1" ht="15" customHeight="1" x14ac:dyDescent="0.2">
      <c r="D618" s="257"/>
      <c r="F618" s="257"/>
      <c r="J618" s="49"/>
    </row>
    <row r="619" spans="4:10" s="328" customFormat="1" ht="15" customHeight="1" x14ac:dyDescent="0.2">
      <c r="D619" s="257"/>
      <c r="F619" s="257"/>
      <c r="J619" s="49"/>
    </row>
    <row r="620" spans="4:10" s="328" customFormat="1" ht="15" customHeight="1" x14ac:dyDescent="0.2">
      <c r="D620" s="257"/>
      <c r="F620" s="257"/>
      <c r="J620" s="49"/>
    </row>
    <row r="621" spans="4:10" s="328" customFormat="1" ht="15" customHeight="1" x14ac:dyDescent="0.2">
      <c r="D621" s="257"/>
      <c r="F621" s="257"/>
      <c r="J621" s="49"/>
    </row>
    <row r="622" spans="4:10" s="328" customFormat="1" ht="15" customHeight="1" x14ac:dyDescent="0.2">
      <c r="D622" s="257"/>
      <c r="F622" s="257"/>
      <c r="J622" s="49"/>
    </row>
    <row r="623" spans="4:10" s="328" customFormat="1" ht="15" customHeight="1" x14ac:dyDescent="0.2">
      <c r="D623" s="257"/>
      <c r="F623" s="257"/>
      <c r="J623" s="49"/>
    </row>
    <row r="624" spans="4:10" s="328" customFormat="1" ht="15" customHeight="1" x14ac:dyDescent="0.2">
      <c r="D624" s="257"/>
      <c r="F624" s="257"/>
      <c r="J624" s="49"/>
    </row>
    <row r="625" spans="4:10" s="328" customFormat="1" ht="15" customHeight="1" x14ac:dyDescent="0.2">
      <c r="D625" s="257"/>
      <c r="F625" s="257"/>
      <c r="J625" s="49"/>
    </row>
    <row r="626" spans="4:10" s="328" customFormat="1" ht="15" customHeight="1" x14ac:dyDescent="0.2">
      <c r="D626" s="257"/>
      <c r="F626" s="257"/>
      <c r="J626" s="49"/>
    </row>
    <row r="627" spans="4:10" s="328" customFormat="1" ht="15" customHeight="1" x14ac:dyDescent="0.2">
      <c r="D627" s="257"/>
      <c r="F627" s="257"/>
      <c r="J627" s="49"/>
    </row>
    <row r="628" spans="4:10" s="328" customFormat="1" ht="15" customHeight="1" x14ac:dyDescent="0.2">
      <c r="D628" s="257"/>
      <c r="F628" s="257"/>
      <c r="J628" s="49"/>
    </row>
    <row r="629" spans="4:10" s="328" customFormat="1" ht="15" customHeight="1" x14ac:dyDescent="0.2">
      <c r="D629" s="257"/>
      <c r="F629" s="257"/>
      <c r="J629" s="49"/>
    </row>
    <row r="630" spans="4:10" s="328" customFormat="1" ht="15" customHeight="1" x14ac:dyDescent="0.2">
      <c r="D630" s="257"/>
      <c r="F630" s="257"/>
      <c r="J630" s="49"/>
    </row>
    <row r="631" spans="4:10" s="328" customFormat="1" ht="15" customHeight="1" x14ac:dyDescent="0.2">
      <c r="D631" s="257"/>
      <c r="F631" s="257"/>
      <c r="J631" s="49"/>
    </row>
    <row r="632" spans="4:10" s="328" customFormat="1" ht="15" customHeight="1" x14ac:dyDescent="0.2">
      <c r="D632" s="257"/>
      <c r="F632" s="257"/>
      <c r="J632" s="49"/>
    </row>
    <row r="633" spans="4:10" s="328" customFormat="1" ht="15" customHeight="1" x14ac:dyDescent="0.2">
      <c r="D633" s="257"/>
      <c r="F633" s="257"/>
      <c r="J633" s="49"/>
    </row>
    <row r="634" spans="4:10" s="328" customFormat="1" ht="15" customHeight="1" x14ac:dyDescent="0.2">
      <c r="D634" s="257"/>
      <c r="F634" s="257"/>
      <c r="J634" s="49"/>
    </row>
    <row r="635" spans="4:10" s="328" customFormat="1" ht="15" customHeight="1" x14ac:dyDescent="0.2">
      <c r="D635" s="257"/>
      <c r="F635" s="257"/>
      <c r="J635" s="49"/>
    </row>
    <row r="636" spans="4:10" s="328" customFormat="1" ht="15" customHeight="1" x14ac:dyDescent="0.2">
      <c r="D636" s="257"/>
      <c r="F636" s="257"/>
      <c r="J636" s="49"/>
    </row>
    <row r="637" spans="4:10" s="328" customFormat="1" ht="15" customHeight="1" x14ac:dyDescent="0.2">
      <c r="D637" s="257"/>
      <c r="F637" s="257"/>
      <c r="J637" s="49"/>
    </row>
    <row r="638" spans="4:10" s="328" customFormat="1" ht="15" customHeight="1" x14ac:dyDescent="0.2">
      <c r="D638" s="257"/>
      <c r="F638" s="257"/>
      <c r="J638" s="49"/>
    </row>
    <row r="639" spans="4:10" s="328" customFormat="1" ht="15" customHeight="1" x14ac:dyDescent="0.2">
      <c r="D639" s="257"/>
      <c r="F639" s="257"/>
      <c r="J639" s="49"/>
    </row>
    <row r="640" spans="4:10" s="328" customFormat="1" ht="15" customHeight="1" x14ac:dyDescent="0.2">
      <c r="D640" s="257"/>
      <c r="F640" s="257"/>
      <c r="J640" s="49"/>
    </row>
    <row r="641" spans="4:10" s="328" customFormat="1" ht="15" customHeight="1" x14ac:dyDescent="0.2">
      <c r="D641" s="257"/>
      <c r="F641" s="257"/>
      <c r="J641" s="49"/>
    </row>
    <row r="642" spans="4:10" s="328" customFormat="1" ht="15" customHeight="1" x14ac:dyDescent="0.2">
      <c r="D642" s="257"/>
      <c r="F642" s="257"/>
      <c r="J642" s="49"/>
    </row>
    <row r="643" spans="4:10" s="328" customFormat="1" ht="15" customHeight="1" x14ac:dyDescent="0.2">
      <c r="D643" s="257"/>
      <c r="F643" s="257"/>
      <c r="J643" s="49"/>
    </row>
    <row r="644" spans="4:10" s="328" customFormat="1" ht="15" customHeight="1" x14ac:dyDescent="0.2">
      <c r="D644" s="257"/>
      <c r="F644" s="257"/>
      <c r="J644" s="49"/>
    </row>
    <row r="645" spans="4:10" s="328" customFormat="1" ht="15" customHeight="1" x14ac:dyDescent="0.2">
      <c r="D645" s="257"/>
      <c r="F645" s="257"/>
      <c r="J645" s="49"/>
    </row>
    <row r="646" spans="4:10" s="328" customFormat="1" ht="15" customHeight="1" x14ac:dyDescent="0.2">
      <c r="D646" s="257"/>
      <c r="F646" s="257"/>
      <c r="J646" s="49"/>
    </row>
    <row r="647" spans="4:10" s="328" customFormat="1" ht="15" customHeight="1" x14ac:dyDescent="0.2">
      <c r="D647" s="257"/>
      <c r="F647" s="257"/>
      <c r="J647" s="49"/>
    </row>
    <row r="648" spans="4:10" s="328" customFormat="1" ht="15" customHeight="1" x14ac:dyDescent="0.2">
      <c r="D648" s="257"/>
      <c r="F648" s="257"/>
      <c r="J648" s="49"/>
    </row>
    <row r="649" spans="4:10" s="328" customFormat="1" ht="15" customHeight="1" x14ac:dyDescent="0.2">
      <c r="D649" s="257"/>
      <c r="F649" s="257"/>
      <c r="J649" s="49"/>
    </row>
    <row r="650" spans="4:10" s="328" customFormat="1" ht="15" customHeight="1" x14ac:dyDescent="0.2">
      <c r="D650" s="257"/>
      <c r="F650" s="257"/>
      <c r="J650" s="49"/>
    </row>
    <row r="651" spans="4:10" s="328" customFormat="1" ht="15" customHeight="1" x14ac:dyDescent="0.2">
      <c r="D651" s="257"/>
      <c r="F651" s="257"/>
      <c r="J651" s="49"/>
    </row>
    <row r="652" spans="4:10" s="328" customFormat="1" ht="15" customHeight="1" x14ac:dyDescent="0.2">
      <c r="D652" s="257"/>
      <c r="F652" s="257"/>
      <c r="J652" s="49"/>
    </row>
    <row r="653" spans="4:10" s="328" customFormat="1" ht="15" customHeight="1" x14ac:dyDescent="0.2">
      <c r="D653" s="257"/>
      <c r="F653" s="257"/>
      <c r="J653" s="49"/>
    </row>
    <row r="654" spans="4:10" s="328" customFormat="1" ht="15" customHeight="1" x14ac:dyDescent="0.2">
      <c r="D654" s="257"/>
      <c r="F654" s="257"/>
      <c r="J654" s="49"/>
    </row>
    <row r="655" spans="4:10" s="328" customFormat="1" ht="15" customHeight="1" x14ac:dyDescent="0.2">
      <c r="D655" s="257"/>
      <c r="F655" s="257"/>
      <c r="J655" s="49"/>
    </row>
    <row r="656" spans="4:10" s="328" customFormat="1" ht="15" customHeight="1" x14ac:dyDescent="0.2">
      <c r="D656" s="257"/>
      <c r="F656" s="257"/>
      <c r="J656" s="49"/>
    </row>
    <row r="657" spans="4:10" s="328" customFormat="1" ht="15" customHeight="1" x14ac:dyDescent="0.2">
      <c r="D657" s="257"/>
      <c r="F657" s="257"/>
      <c r="J657" s="49"/>
    </row>
    <row r="658" spans="4:10" s="328" customFormat="1" ht="15" customHeight="1" x14ac:dyDescent="0.2">
      <c r="D658" s="257"/>
      <c r="F658" s="257"/>
      <c r="J658" s="49"/>
    </row>
    <row r="659" spans="4:10" s="328" customFormat="1" ht="15" customHeight="1" x14ac:dyDescent="0.2">
      <c r="D659" s="257"/>
      <c r="F659" s="257"/>
      <c r="J659" s="49"/>
    </row>
    <row r="660" spans="4:10" s="328" customFormat="1" ht="15" customHeight="1" x14ac:dyDescent="0.2">
      <c r="D660" s="257"/>
      <c r="F660" s="257"/>
      <c r="J660" s="49"/>
    </row>
    <row r="661" spans="4:10" s="328" customFormat="1" ht="15" customHeight="1" x14ac:dyDescent="0.2">
      <c r="D661" s="257"/>
      <c r="F661" s="257"/>
      <c r="J661" s="49"/>
    </row>
    <row r="662" spans="4:10" s="328" customFormat="1" ht="15" customHeight="1" x14ac:dyDescent="0.2">
      <c r="D662" s="257"/>
      <c r="F662" s="257"/>
      <c r="J662" s="49"/>
    </row>
    <row r="663" spans="4:10" s="328" customFormat="1" ht="15" customHeight="1" x14ac:dyDescent="0.2">
      <c r="D663" s="257"/>
      <c r="F663" s="257"/>
      <c r="J663" s="49"/>
    </row>
    <row r="664" spans="4:10" s="328" customFormat="1" ht="15" customHeight="1" x14ac:dyDescent="0.2">
      <c r="D664" s="257"/>
      <c r="F664" s="257"/>
      <c r="J664" s="49"/>
    </row>
    <row r="665" spans="4:10" s="328" customFormat="1" ht="15" customHeight="1" x14ac:dyDescent="0.2">
      <c r="D665" s="257"/>
      <c r="F665" s="257"/>
      <c r="J665" s="49"/>
    </row>
    <row r="666" spans="4:10" s="328" customFormat="1" ht="15" customHeight="1" x14ac:dyDescent="0.2">
      <c r="D666" s="257"/>
      <c r="F666" s="257"/>
      <c r="J666" s="49"/>
    </row>
    <row r="667" spans="4:10" s="328" customFormat="1" ht="15" customHeight="1" x14ac:dyDescent="0.2">
      <c r="D667" s="257"/>
      <c r="F667" s="257"/>
      <c r="J667" s="49"/>
    </row>
    <row r="668" spans="4:10" s="328" customFormat="1" ht="15" customHeight="1" x14ac:dyDescent="0.2">
      <c r="D668" s="257"/>
      <c r="F668" s="257"/>
      <c r="J668" s="49"/>
    </row>
    <row r="669" spans="4:10" s="328" customFormat="1" ht="15" customHeight="1" x14ac:dyDescent="0.2">
      <c r="D669" s="257"/>
      <c r="F669" s="257"/>
      <c r="J669" s="49"/>
    </row>
    <row r="670" spans="4:10" s="328" customFormat="1" ht="15" customHeight="1" x14ac:dyDescent="0.2">
      <c r="D670" s="257"/>
      <c r="F670" s="257"/>
      <c r="J670" s="49"/>
    </row>
    <row r="671" spans="4:10" s="328" customFormat="1" ht="15" customHeight="1" x14ac:dyDescent="0.2">
      <c r="D671" s="257"/>
      <c r="F671" s="257"/>
      <c r="J671" s="49"/>
    </row>
    <row r="672" spans="4:10" s="328" customFormat="1" ht="15" customHeight="1" x14ac:dyDescent="0.2">
      <c r="D672" s="257"/>
      <c r="F672" s="257"/>
      <c r="J672" s="49"/>
    </row>
    <row r="673" spans="4:10" s="328" customFormat="1" ht="15" customHeight="1" x14ac:dyDescent="0.2">
      <c r="D673" s="257"/>
      <c r="F673" s="257"/>
      <c r="J673" s="49"/>
    </row>
    <row r="674" spans="4:10" s="328" customFormat="1" ht="15" customHeight="1" x14ac:dyDescent="0.2">
      <c r="D674" s="257"/>
      <c r="F674" s="257"/>
      <c r="J674" s="49"/>
    </row>
    <row r="675" spans="4:10" s="328" customFormat="1" ht="15" customHeight="1" x14ac:dyDescent="0.2">
      <c r="D675" s="257"/>
      <c r="F675" s="257"/>
      <c r="J675" s="49"/>
    </row>
    <row r="676" spans="4:10" s="328" customFormat="1" ht="15" customHeight="1" x14ac:dyDescent="0.2">
      <c r="D676" s="257"/>
      <c r="F676" s="257"/>
      <c r="J676" s="49"/>
    </row>
    <row r="677" spans="4:10" s="328" customFormat="1" ht="15" customHeight="1" x14ac:dyDescent="0.2">
      <c r="D677" s="257"/>
      <c r="F677" s="257"/>
      <c r="J677" s="49"/>
    </row>
    <row r="678" spans="4:10" s="328" customFormat="1" ht="15" customHeight="1" x14ac:dyDescent="0.2">
      <c r="D678" s="257"/>
      <c r="F678" s="257"/>
      <c r="J678" s="49"/>
    </row>
    <row r="679" spans="4:10" s="328" customFormat="1" ht="15" customHeight="1" x14ac:dyDescent="0.2">
      <c r="D679" s="257"/>
      <c r="F679" s="257"/>
      <c r="J679" s="49"/>
    </row>
    <row r="680" spans="4:10" s="328" customFormat="1" ht="15" customHeight="1" x14ac:dyDescent="0.2">
      <c r="D680" s="257"/>
      <c r="F680" s="257"/>
      <c r="J680" s="49"/>
    </row>
    <row r="681" spans="4:10" s="328" customFormat="1" ht="15" customHeight="1" x14ac:dyDescent="0.2">
      <c r="D681" s="257"/>
      <c r="F681" s="257"/>
      <c r="J681" s="49"/>
    </row>
    <row r="682" spans="4:10" s="328" customFormat="1" ht="15" customHeight="1" x14ac:dyDescent="0.2">
      <c r="D682" s="257"/>
      <c r="F682" s="257"/>
      <c r="J682" s="49"/>
    </row>
    <row r="683" spans="4:10" s="328" customFormat="1" ht="15" customHeight="1" x14ac:dyDescent="0.2">
      <c r="D683" s="257"/>
      <c r="F683" s="257"/>
      <c r="J683" s="49"/>
    </row>
    <row r="684" spans="4:10" s="328" customFormat="1" ht="15" customHeight="1" x14ac:dyDescent="0.2">
      <c r="D684" s="257"/>
      <c r="F684" s="257"/>
      <c r="J684" s="49"/>
    </row>
    <row r="685" spans="4:10" s="328" customFormat="1" ht="15" customHeight="1" x14ac:dyDescent="0.2">
      <c r="D685" s="257"/>
      <c r="F685" s="257"/>
      <c r="J685" s="49"/>
    </row>
    <row r="686" spans="4:10" s="328" customFormat="1" ht="15" customHeight="1" x14ac:dyDescent="0.2">
      <c r="D686" s="257"/>
      <c r="F686" s="257"/>
      <c r="J686" s="49"/>
    </row>
    <row r="687" spans="4:10" s="328" customFormat="1" ht="15" customHeight="1" x14ac:dyDescent="0.2">
      <c r="D687" s="257"/>
      <c r="F687" s="257"/>
      <c r="J687" s="49"/>
    </row>
    <row r="688" spans="4:10" s="328" customFormat="1" ht="15" customHeight="1" x14ac:dyDescent="0.2">
      <c r="D688" s="257"/>
      <c r="F688" s="257"/>
      <c r="J688" s="49"/>
    </row>
    <row r="689" spans="4:10" s="328" customFormat="1" ht="15" customHeight="1" x14ac:dyDescent="0.2">
      <c r="D689" s="257"/>
      <c r="F689" s="257"/>
      <c r="J689" s="49"/>
    </row>
    <row r="690" spans="4:10" s="328" customFormat="1" ht="15" customHeight="1" x14ac:dyDescent="0.2">
      <c r="D690" s="257"/>
      <c r="F690" s="257"/>
      <c r="J690" s="49"/>
    </row>
    <row r="691" spans="4:10" s="328" customFormat="1" ht="15" customHeight="1" x14ac:dyDescent="0.2">
      <c r="D691" s="257"/>
      <c r="F691" s="257"/>
      <c r="J691" s="49"/>
    </row>
  </sheetData>
  <mergeCells count="25">
    <mergeCell ref="A17:J17"/>
    <mergeCell ref="A18:J18"/>
    <mergeCell ref="A56:J56"/>
    <mergeCell ref="A16:J16"/>
    <mergeCell ref="A515:B515"/>
    <mergeCell ref="A106:J106"/>
    <mergeCell ref="A273:J273"/>
    <mergeCell ref="A295:J295"/>
    <mergeCell ref="A508:B508"/>
    <mergeCell ref="B24:C24"/>
    <mergeCell ref="H46:J46"/>
    <mergeCell ref="H47:J47"/>
    <mergeCell ref="B49:J49"/>
    <mergeCell ref="H52:J52"/>
    <mergeCell ref="H53:J53"/>
    <mergeCell ref="H54:J54"/>
    <mergeCell ref="A517:B517"/>
    <mergeCell ref="B59:J59"/>
    <mergeCell ref="A516:B516"/>
    <mergeCell ref="A509:B509"/>
    <mergeCell ref="A510:B510"/>
    <mergeCell ref="A511:B511"/>
    <mergeCell ref="A512:B512"/>
    <mergeCell ref="A514:B514"/>
    <mergeCell ref="A513:B513"/>
  </mergeCells>
  <phoneticPr fontId="9" type="noConversion"/>
  <printOptions horizontalCentered="1"/>
  <pageMargins left="0.78740157480314965" right="0.39370078740157483" top="0.82677165354330717" bottom="0.9055118110236221" header="0" footer="0.39370078740157483"/>
  <pageSetup paperSize="122" scale="70" orientation="portrait" horizontalDpi="300" verticalDpi="300" r:id="rId1"/>
  <headerFooter alignWithMargins="0">
    <oddFooter xml:space="preserve">&amp;L&amp;"Garamond,Cursiva"&amp;14  Informe Financiero a diciembre de 2013&amp;C&amp;"Garamond,Cursiva"&amp;14&amp;P&amp;R&amp;"Garamond,Cursiva"&amp;14  &amp;"Garamond,Normal"&amp;8  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R205"/>
  <sheetViews>
    <sheetView topLeftCell="A175" workbookViewId="0">
      <selection activeCell="A189" sqref="A189"/>
    </sheetView>
  </sheetViews>
  <sheetFormatPr baseColWidth="10" defaultRowHeight="12.75" x14ac:dyDescent="0.2"/>
  <cols>
    <col min="1" max="16384" width="11.42578125" style="329"/>
  </cols>
  <sheetData>
    <row r="1" spans="1:18" x14ac:dyDescent="0.2">
      <c r="A1" s="285">
        <v>41609</v>
      </c>
      <c r="B1" s="285">
        <v>41609</v>
      </c>
      <c r="C1" s="285">
        <v>41609</v>
      </c>
      <c r="D1" s="285">
        <v>41244</v>
      </c>
      <c r="E1" s="285">
        <v>41609</v>
      </c>
      <c r="F1" s="285">
        <v>41609</v>
      </c>
      <c r="G1" s="285">
        <v>41609</v>
      </c>
      <c r="H1" s="285">
        <v>41609</v>
      </c>
      <c r="I1" s="285">
        <v>41609</v>
      </c>
      <c r="J1" s="285">
        <v>41609</v>
      </c>
      <c r="K1" s="285">
        <v>41609</v>
      </c>
      <c r="L1" s="285">
        <v>41244</v>
      </c>
      <c r="M1" s="285">
        <v>41609</v>
      </c>
      <c r="N1" s="285">
        <v>41609</v>
      </c>
      <c r="O1" s="285">
        <v>41609</v>
      </c>
      <c r="P1" s="285">
        <v>41609</v>
      </c>
      <c r="Q1" s="285">
        <v>41609</v>
      </c>
      <c r="R1" s="285">
        <v>41244</v>
      </c>
    </row>
    <row r="3" spans="1:18" x14ac:dyDescent="0.2">
      <c r="A3" s="329" t="s">
        <v>0</v>
      </c>
    </row>
    <row r="5" spans="1:18" x14ac:dyDescent="0.2">
      <c r="A5" s="329" t="s">
        <v>1</v>
      </c>
      <c r="C5" s="329">
        <v>19537</v>
      </c>
      <c r="D5" s="329">
        <v>9391</v>
      </c>
      <c r="F5" s="329" t="s">
        <v>107</v>
      </c>
      <c r="N5" s="329" t="s">
        <v>108</v>
      </c>
    </row>
    <row r="6" spans="1:18" x14ac:dyDescent="0.2">
      <c r="A6" s="329" t="s">
        <v>2</v>
      </c>
      <c r="C6" s="329">
        <v>5879583</v>
      </c>
      <c r="D6" s="329">
        <v>1965690</v>
      </c>
    </row>
    <row r="7" spans="1:18" x14ac:dyDescent="0.2">
      <c r="A7" s="329" t="s">
        <v>290</v>
      </c>
      <c r="C7" s="329">
        <v>39311085</v>
      </c>
      <c r="D7" s="329">
        <v>1751031</v>
      </c>
      <c r="G7" s="329" t="s">
        <v>291</v>
      </c>
      <c r="N7" s="329" t="s">
        <v>292</v>
      </c>
    </row>
    <row r="8" spans="1:18" x14ac:dyDescent="0.2">
      <c r="A8" s="329" t="s">
        <v>220</v>
      </c>
      <c r="C8" s="329">
        <v>18140</v>
      </c>
      <c r="D8" s="329">
        <v>8893</v>
      </c>
      <c r="H8" s="329" t="s">
        <v>109</v>
      </c>
      <c r="K8" s="329">
        <v>45228345</v>
      </c>
      <c r="L8" s="329">
        <v>3735005</v>
      </c>
      <c r="O8" s="329" t="s">
        <v>293</v>
      </c>
      <c r="Q8" s="329">
        <v>2028078</v>
      </c>
      <c r="R8" s="329">
        <v>5950000</v>
      </c>
    </row>
    <row r="9" spans="1:18" x14ac:dyDescent="0.2">
      <c r="A9" s="329" t="s">
        <v>3</v>
      </c>
      <c r="C9" s="329">
        <v>45228345</v>
      </c>
      <c r="D9" s="329">
        <v>3735005</v>
      </c>
      <c r="H9" s="329" t="s">
        <v>110</v>
      </c>
      <c r="K9" s="329">
        <v>27981688</v>
      </c>
      <c r="L9" s="329">
        <v>29718084</v>
      </c>
      <c r="O9" s="329" t="s">
        <v>294</v>
      </c>
      <c r="Q9" s="329">
        <f>4069097-1</f>
        <v>4069096</v>
      </c>
      <c r="R9" s="329">
        <f>2545152+1</f>
        <v>2545153</v>
      </c>
    </row>
    <row r="10" spans="1:18" x14ac:dyDescent="0.2">
      <c r="H10" s="329" t="s">
        <v>111</v>
      </c>
      <c r="K10" s="329">
        <v>71215802</v>
      </c>
      <c r="L10" s="329">
        <v>65301719</v>
      </c>
      <c r="O10" s="329" t="s">
        <v>295</v>
      </c>
      <c r="Q10" s="329">
        <v>9173071</v>
      </c>
      <c r="R10" s="329">
        <f>8043336+1</f>
        <v>8043337</v>
      </c>
    </row>
    <row r="11" spans="1:18" x14ac:dyDescent="0.2">
      <c r="A11" s="329" t="s">
        <v>4</v>
      </c>
      <c r="H11" s="329" t="s">
        <v>112</v>
      </c>
      <c r="K11" s="329">
        <f>1630432-4</f>
        <v>1630428</v>
      </c>
      <c r="L11" s="329">
        <v>1239967</v>
      </c>
      <c r="O11" s="329" t="s">
        <v>296</v>
      </c>
      <c r="Q11" s="329">
        <v>4125598</v>
      </c>
      <c r="R11" s="329">
        <v>3669772</v>
      </c>
    </row>
    <row r="12" spans="1:18" x14ac:dyDescent="0.2">
      <c r="H12" s="329" t="s">
        <v>297</v>
      </c>
      <c r="K12" s="329">
        <v>709598</v>
      </c>
      <c r="L12" s="329">
        <v>493572</v>
      </c>
      <c r="O12" s="329" t="s">
        <v>113</v>
      </c>
      <c r="Q12" s="329">
        <v>21010459</v>
      </c>
      <c r="R12" s="329">
        <v>4919727</v>
      </c>
    </row>
    <row r="13" spans="1:18" x14ac:dyDescent="0.2">
      <c r="A13" s="329" t="s">
        <v>103</v>
      </c>
      <c r="O13" s="329" t="s">
        <v>298</v>
      </c>
      <c r="Q13" s="329">
        <v>1385862</v>
      </c>
      <c r="R13" s="329">
        <v>824907</v>
      </c>
    </row>
    <row r="14" spans="1:18" x14ac:dyDescent="0.2">
      <c r="F14" s="329" t="s">
        <v>299</v>
      </c>
      <c r="K14" s="329">
        <v>146765864</v>
      </c>
      <c r="L14" s="329">
        <v>100488346</v>
      </c>
    </row>
    <row r="15" spans="1:18" x14ac:dyDescent="0.2">
      <c r="A15" s="329" t="s">
        <v>221</v>
      </c>
    </row>
    <row r="16" spans="1:18" x14ac:dyDescent="0.2">
      <c r="G16" s="329" t="s">
        <v>300</v>
      </c>
      <c r="N16" s="329" t="s">
        <v>301</v>
      </c>
      <c r="Q16" s="329">
        <v>41792164</v>
      </c>
      <c r="R16" s="329">
        <v>25952893</v>
      </c>
    </row>
    <row r="17" spans="1:18" x14ac:dyDescent="0.2">
      <c r="H17" s="329" t="s">
        <v>302</v>
      </c>
      <c r="K17" s="329">
        <v>137956710</v>
      </c>
      <c r="L17" s="329">
        <v>141203834</v>
      </c>
    </row>
    <row r="18" spans="1:18" x14ac:dyDescent="0.2">
      <c r="H18" s="329" t="s">
        <v>110</v>
      </c>
      <c r="K18" s="329">
        <v>0</v>
      </c>
      <c r="L18" s="329">
        <v>0</v>
      </c>
      <c r="N18" s="329" t="s">
        <v>303</v>
      </c>
    </row>
    <row r="19" spans="1:18" x14ac:dyDescent="0.2">
      <c r="A19" s="329" t="s">
        <v>120</v>
      </c>
      <c r="H19" s="329" t="s">
        <v>304</v>
      </c>
      <c r="K19" s="329">
        <v>162916</v>
      </c>
      <c r="L19" s="329">
        <v>7172161</v>
      </c>
      <c r="O19" s="329" t="s">
        <v>293</v>
      </c>
      <c r="Q19" s="329">
        <v>4871</v>
      </c>
      <c r="R19" s="329">
        <v>5514372</v>
      </c>
    </row>
    <row r="20" spans="1:18" x14ac:dyDescent="0.2">
      <c r="A20" s="329" t="s">
        <v>258</v>
      </c>
      <c r="H20" s="329" t="s">
        <v>305</v>
      </c>
      <c r="K20" s="329">
        <v>2463790</v>
      </c>
      <c r="L20" s="329">
        <v>1996158</v>
      </c>
      <c r="O20" s="329" t="s">
        <v>306</v>
      </c>
      <c r="Q20" s="329">
        <v>81789865</v>
      </c>
      <c r="R20" s="329">
        <v>70894628</v>
      </c>
    </row>
    <row r="21" spans="1:18" x14ac:dyDescent="0.2">
      <c r="B21" s="329" t="s">
        <v>307</v>
      </c>
      <c r="C21" s="329">
        <v>26909926</v>
      </c>
      <c r="D21" s="329">
        <v>31799771</v>
      </c>
      <c r="H21" s="329" t="s">
        <v>504</v>
      </c>
      <c r="K21" s="329">
        <v>895877</v>
      </c>
      <c r="L21" s="329">
        <v>107734</v>
      </c>
    </row>
    <row r="22" spans="1:18" x14ac:dyDescent="0.2">
      <c r="B22" s="329" t="s">
        <v>308</v>
      </c>
      <c r="C22" s="329">
        <v>12406937</v>
      </c>
      <c r="D22" s="329">
        <v>10099916</v>
      </c>
      <c r="H22" s="329" t="s">
        <v>309</v>
      </c>
      <c r="K22" s="329">
        <v>433862</v>
      </c>
      <c r="L22" s="329">
        <v>433862</v>
      </c>
    </row>
    <row r="23" spans="1:18" x14ac:dyDescent="0.2">
      <c r="B23" s="329" t="s">
        <v>310</v>
      </c>
      <c r="C23" s="329">
        <v>1441739</v>
      </c>
      <c r="D23" s="329">
        <v>901884</v>
      </c>
      <c r="H23" s="329" t="s">
        <v>114</v>
      </c>
      <c r="K23" s="329">
        <v>186499763</v>
      </c>
      <c r="L23" s="329">
        <v>186944437</v>
      </c>
    </row>
    <row r="24" spans="1:18" x14ac:dyDescent="0.2">
      <c r="B24" s="329" t="s">
        <v>311</v>
      </c>
      <c r="C24" s="329">
        <v>3042299</v>
      </c>
      <c r="D24" s="329">
        <v>2372930</v>
      </c>
      <c r="N24" s="329" t="s">
        <v>499</v>
      </c>
      <c r="Q24" s="329">
        <v>81794735</v>
      </c>
      <c r="R24" s="329">
        <v>76409000</v>
      </c>
    </row>
    <row r="25" spans="1:18" x14ac:dyDescent="0.2">
      <c r="B25" s="329" t="s">
        <v>312</v>
      </c>
      <c r="C25" s="329">
        <v>19009502</v>
      </c>
      <c r="D25" s="329">
        <v>6954862</v>
      </c>
    </row>
    <row r="26" spans="1:18" x14ac:dyDescent="0.2">
      <c r="B26" s="329" t="s">
        <v>313</v>
      </c>
      <c r="C26" s="329">
        <v>102855</v>
      </c>
      <c r="D26" s="329">
        <v>119054</v>
      </c>
    </row>
    <row r="27" spans="1:18" x14ac:dyDescent="0.2">
      <c r="B27" s="329" t="s">
        <v>7</v>
      </c>
      <c r="C27" s="329">
        <v>2082538</v>
      </c>
      <c r="D27" s="329">
        <v>1921016</v>
      </c>
      <c r="F27" s="329" t="s">
        <v>314</v>
      </c>
      <c r="K27" s="329">
        <v>328412917</v>
      </c>
      <c r="L27" s="329">
        <v>337858186</v>
      </c>
      <c r="N27" s="329" t="s">
        <v>315</v>
      </c>
      <c r="Q27" s="329">
        <v>123586899</v>
      </c>
      <c r="R27" s="329">
        <v>102361894</v>
      </c>
    </row>
    <row r="28" spans="1:18" x14ac:dyDescent="0.2">
      <c r="B28" s="329" t="s">
        <v>116</v>
      </c>
      <c r="C28" s="329">
        <v>3300430</v>
      </c>
      <c r="D28" s="329">
        <v>1731258</v>
      </c>
    </row>
    <row r="29" spans="1:18" x14ac:dyDescent="0.2">
      <c r="A29" s="329" t="s">
        <v>316</v>
      </c>
      <c r="C29" s="329">
        <v>969866</v>
      </c>
      <c r="D29" s="329">
        <v>979549</v>
      </c>
      <c r="F29" s="329" t="s">
        <v>256</v>
      </c>
      <c r="K29" s="329">
        <v>475178782</v>
      </c>
      <c r="L29" s="329">
        <v>438346533</v>
      </c>
    </row>
    <row r="30" spans="1:18" x14ac:dyDescent="0.2">
      <c r="A30" s="329" t="s">
        <v>8</v>
      </c>
      <c r="C30" s="329">
        <v>462294</v>
      </c>
      <c r="D30" s="329">
        <v>481754</v>
      </c>
    </row>
    <row r="31" spans="1:18" x14ac:dyDescent="0.2">
      <c r="A31" s="329" t="s">
        <v>501</v>
      </c>
      <c r="C31" s="329">
        <v>0</v>
      </c>
      <c r="D31" s="329">
        <v>2489</v>
      </c>
      <c r="F31" s="329" t="s">
        <v>317</v>
      </c>
      <c r="K31" s="329">
        <v>9701233</v>
      </c>
      <c r="L31" s="329">
        <v>10240433</v>
      </c>
    </row>
    <row r="32" spans="1:18" x14ac:dyDescent="0.2">
      <c r="A32" s="329" t="s">
        <v>318</v>
      </c>
      <c r="C32" s="329">
        <v>195</v>
      </c>
      <c r="D32" s="329">
        <v>237</v>
      </c>
    </row>
    <row r="33" spans="1:18" x14ac:dyDescent="0.2">
      <c r="A33" s="329" t="s">
        <v>319</v>
      </c>
      <c r="C33" s="329">
        <v>513</v>
      </c>
      <c r="D33" s="329">
        <v>14000</v>
      </c>
      <c r="N33" s="329" t="s">
        <v>115</v>
      </c>
    </row>
    <row r="34" spans="1:18" x14ac:dyDescent="0.2">
      <c r="A34" s="329" t="s">
        <v>320</v>
      </c>
      <c r="C34" s="329">
        <v>9000</v>
      </c>
      <c r="D34" s="329">
        <v>7271</v>
      </c>
      <c r="O34" s="329" t="s">
        <v>321</v>
      </c>
      <c r="Q34" s="329">
        <v>9435832</v>
      </c>
      <c r="R34" s="329">
        <v>8730246</v>
      </c>
    </row>
    <row r="35" spans="1:18" x14ac:dyDescent="0.2">
      <c r="A35" s="329" t="s">
        <v>488</v>
      </c>
      <c r="C35" s="329">
        <v>70000</v>
      </c>
      <c r="D35" s="329">
        <v>70000</v>
      </c>
      <c r="O35" s="329" t="s">
        <v>322</v>
      </c>
      <c r="Q35" s="329">
        <v>17587438</v>
      </c>
      <c r="R35" s="329">
        <v>17587438</v>
      </c>
    </row>
    <row r="36" spans="1:18" x14ac:dyDescent="0.2">
      <c r="A36" s="329" t="s">
        <v>323</v>
      </c>
      <c r="C36" s="329">
        <v>599726</v>
      </c>
      <c r="D36" s="329">
        <v>7895452</v>
      </c>
      <c r="O36" s="329" t="s">
        <v>324</v>
      </c>
      <c r="Q36" s="329">
        <v>15346333</v>
      </c>
      <c r="R36" s="329">
        <v>11080892</v>
      </c>
    </row>
    <row r="37" spans="1:18" x14ac:dyDescent="0.2">
      <c r="A37" s="329" t="s">
        <v>325</v>
      </c>
      <c r="C37" s="329">
        <v>981633</v>
      </c>
      <c r="D37" s="329">
        <v>44484</v>
      </c>
      <c r="O37" s="329" t="s">
        <v>326</v>
      </c>
      <c r="Q37" s="329">
        <v>122722518</v>
      </c>
      <c r="R37" s="329">
        <v>111641626</v>
      </c>
    </row>
    <row r="38" spans="1:18" x14ac:dyDescent="0.2">
      <c r="A38" s="329" t="s">
        <v>327</v>
      </c>
      <c r="C38" s="329">
        <v>-173652</v>
      </c>
      <c r="D38" s="329">
        <v>-94208</v>
      </c>
      <c r="O38" s="329" t="s">
        <v>328</v>
      </c>
      <c r="Q38" s="329">
        <v>186499763</v>
      </c>
      <c r="R38" s="329">
        <v>186944437</v>
      </c>
    </row>
    <row r="39" spans="1:18" x14ac:dyDescent="0.2">
      <c r="A39" s="329" t="s">
        <v>3</v>
      </c>
      <c r="C39" s="329">
        <v>71215802</v>
      </c>
      <c r="D39" s="329">
        <v>65301719</v>
      </c>
      <c r="N39" s="329" t="s">
        <v>329</v>
      </c>
      <c r="Q39" s="329">
        <v>351591883</v>
      </c>
      <c r="R39" s="329">
        <v>335984639</v>
      </c>
    </row>
    <row r="41" spans="1:18" x14ac:dyDescent="0.2">
      <c r="A41" s="329" t="s">
        <v>117</v>
      </c>
      <c r="N41" s="329" t="s">
        <v>223</v>
      </c>
      <c r="Q41" s="329">
        <v>475178782</v>
      </c>
      <c r="R41" s="329">
        <v>438346533</v>
      </c>
    </row>
    <row r="43" spans="1:18" x14ac:dyDescent="0.2">
      <c r="A43" s="329" t="s">
        <v>8</v>
      </c>
      <c r="C43" s="329">
        <v>18963</v>
      </c>
      <c r="D43" s="329">
        <v>34215</v>
      </c>
      <c r="N43" s="329" t="s">
        <v>489</v>
      </c>
      <c r="Q43" s="329">
        <v>9701233</v>
      </c>
      <c r="R43" s="329">
        <v>10240433</v>
      </c>
    </row>
    <row r="44" spans="1:18" x14ac:dyDescent="0.2">
      <c r="A44" s="329" t="s">
        <v>330</v>
      </c>
      <c r="C44" s="329">
        <v>5367</v>
      </c>
      <c r="D44" s="329">
        <v>6934113</v>
      </c>
    </row>
    <row r="45" spans="1:18" x14ac:dyDescent="0.2">
      <c r="A45" s="329" t="s">
        <v>331</v>
      </c>
      <c r="C45" s="329">
        <v>131079</v>
      </c>
      <c r="D45" s="329">
        <v>196327</v>
      </c>
    </row>
    <row r="46" spans="1:18" x14ac:dyDescent="0.2">
      <c r="A46" s="329" t="s">
        <v>332</v>
      </c>
      <c r="C46" s="329">
        <v>7507</v>
      </c>
      <c r="D46" s="329">
        <v>7507</v>
      </c>
    </row>
    <row r="47" spans="1:18" x14ac:dyDescent="0.2">
      <c r="A47" s="329" t="s">
        <v>333</v>
      </c>
      <c r="C47" s="329">
        <v>0</v>
      </c>
      <c r="D47" s="329">
        <v>0</v>
      </c>
    </row>
    <row r="48" spans="1:18" x14ac:dyDescent="0.2">
      <c r="A48" s="329" t="s">
        <v>3</v>
      </c>
      <c r="C48" s="329">
        <v>162916</v>
      </c>
      <c r="D48" s="329">
        <v>7172161</v>
      </c>
    </row>
    <row r="50" spans="1:4" x14ac:dyDescent="0.2">
      <c r="A50" s="329" t="s">
        <v>118</v>
      </c>
    </row>
    <row r="52" spans="1:4" x14ac:dyDescent="0.2">
      <c r="A52" s="329" t="s">
        <v>11</v>
      </c>
      <c r="C52" s="329">
        <v>269263</v>
      </c>
      <c r="D52" s="329">
        <v>306248</v>
      </c>
    </row>
    <row r="53" spans="1:4" x14ac:dyDescent="0.2">
      <c r="A53" s="329" t="s">
        <v>12</v>
      </c>
      <c r="C53" s="329">
        <v>400759</v>
      </c>
      <c r="D53" s="329">
        <v>100891</v>
      </c>
    </row>
    <row r="54" spans="1:4" x14ac:dyDescent="0.2">
      <c r="A54" s="329" t="s">
        <v>334</v>
      </c>
      <c r="C54" s="329">
        <v>15694</v>
      </c>
      <c r="D54" s="329">
        <v>15969</v>
      </c>
    </row>
    <row r="55" spans="1:4" x14ac:dyDescent="0.2">
      <c r="A55" s="329" t="s">
        <v>13</v>
      </c>
      <c r="C55" s="329">
        <v>23883</v>
      </c>
      <c r="D55" s="329">
        <v>70463</v>
      </c>
    </row>
    <row r="56" spans="1:4" x14ac:dyDescent="0.2">
      <c r="A56" s="329" t="s">
        <v>3</v>
      </c>
      <c r="C56" s="329">
        <v>709598</v>
      </c>
      <c r="D56" s="329">
        <v>493572</v>
      </c>
    </row>
    <row r="58" spans="1:4" x14ac:dyDescent="0.2">
      <c r="A58" s="329" t="s">
        <v>119</v>
      </c>
    </row>
    <row r="60" spans="1:4" x14ac:dyDescent="0.2">
      <c r="A60" s="329" t="s">
        <v>14</v>
      </c>
      <c r="C60" s="329">
        <v>48115992</v>
      </c>
      <c r="D60" s="329">
        <v>48017181</v>
      </c>
    </row>
    <row r="61" spans="1:4" x14ac:dyDescent="0.2">
      <c r="A61" s="329" t="s">
        <v>335</v>
      </c>
      <c r="C61" s="329">
        <v>3015149</v>
      </c>
      <c r="D61" s="329">
        <v>14115</v>
      </c>
    </row>
    <row r="62" spans="1:4" x14ac:dyDescent="0.2">
      <c r="A62" s="329" t="s">
        <v>336</v>
      </c>
      <c r="C62" s="329">
        <v>301711</v>
      </c>
      <c r="D62" s="329">
        <v>273355</v>
      </c>
    </row>
    <row r="63" spans="1:4" x14ac:dyDescent="0.2">
      <c r="A63" s="329" t="s">
        <v>337</v>
      </c>
      <c r="C63" s="329">
        <v>101337447</v>
      </c>
      <c r="D63" s="329">
        <v>101270512</v>
      </c>
    </row>
    <row r="64" spans="1:4" x14ac:dyDescent="0.2">
      <c r="A64" s="329" t="s">
        <v>15</v>
      </c>
      <c r="C64" s="329">
        <v>23927786</v>
      </c>
      <c r="D64" s="329">
        <v>21924539</v>
      </c>
    </row>
    <row r="65" spans="1:4" x14ac:dyDescent="0.2">
      <c r="A65" s="329" t="s">
        <v>338</v>
      </c>
      <c r="C65" s="329">
        <v>8158250</v>
      </c>
      <c r="D65" s="329">
        <v>8210593</v>
      </c>
    </row>
    <row r="66" spans="1:4" x14ac:dyDescent="0.2">
      <c r="A66" s="329" t="s">
        <v>339</v>
      </c>
      <c r="C66" s="329">
        <v>25544716</v>
      </c>
      <c r="D66" s="329">
        <v>24983644</v>
      </c>
    </row>
    <row r="67" spans="1:4" x14ac:dyDescent="0.2">
      <c r="A67" s="329" t="s">
        <v>340</v>
      </c>
      <c r="C67" s="329">
        <v>255600</v>
      </c>
      <c r="D67" s="329">
        <v>255600</v>
      </c>
    </row>
    <row r="68" spans="1:4" x14ac:dyDescent="0.2">
      <c r="A68" s="329" t="s">
        <v>341</v>
      </c>
      <c r="C68" s="329">
        <v>142913</v>
      </c>
      <c r="D68" s="329">
        <v>110855</v>
      </c>
    </row>
    <row r="70" spans="1:4" x14ac:dyDescent="0.2">
      <c r="A70" s="329" t="s">
        <v>16</v>
      </c>
      <c r="C70" s="329">
        <v>210799562</v>
      </c>
      <c r="D70" s="329">
        <v>205060394</v>
      </c>
    </row>
    <row r="71" spans="1:4" x14ac:dyDescent="0.2">
      <c r="B71" s="329" t="s">
        <v>342</v>
      </c>
      <c r="C71" s="329">
        <v>-72222232</v>
      </c>
      <c r="D71" s="329">
        <v>-63235940</v>
      </c>
    </row>
    <row r="72" spans="1:4" x14ac:dyDescent="0.2">
      <c r="B72" s="329" t="s">
        <v>23</v>
      </c>
      <c r="C72" s="329">
        <v>-620620</v>
      </c>
      <c r="D72" s="329">
        <v>-620620</v>
      </c>
    </row>
    <row r="74" spans="1:4" x14ac:dyDescent="0.2">
      <c r="A74" s="329" t="s">
        <v>3</v>
      </c>
      <c r="C74" s="329">
        <v>137956710</v>
      </c>
      <c r="D74" s="329">
        <v>141203834</v>
      </c>
    </row>
    <row r="76" spans="1:4" x14ac:dyDescent="0.2">
      <c r="A76" s="329" t="s">
        <v>250</v>
      </c>
    </row>
    <row r="78" spans="1:4" x14ac:dyDescent="0.2">
      <c r="A78" s="329" t="s">
        <v>490</v>
      </c>
      <c r="C78" s="329">
        <v>30135</v>
      </c>
      <c r="D78" s="329">
        <v>49198</v>
      </c>
    </row>
    <row r="79" spans="1:4" x14ac:dyDescent="0.2">
      <c r="A79" s="329" t="s">
        <v>343</v>
      </c>
      <c r="C79" s="329">
        <v>1954919</v>
      </c>
      <c r="D79" s="329">
        <v>1517527</v>
      </c>
    </row>
    <row r="80" spans="1:4" x14ac:dyDescent="0.2">
      <c r="A80" s="329" t="s">
        <v>344</v>
      </c>
      <c r="C80" s="329">
        <v>39939</v>
      </c>
      <c r="D80" s="329">
        <v>31374</v>
      </c>
    </row>
    <row r="81" spans="1:4" x14ac:dyDescent="0.2">
      <c r="A81" s="329" t="s">
        <v>345</v>
      </c>
      <c r="C81" s="329">
        <v>400646</v>
      </c>
      <c r="D81" s="329">
        <v>0</v>
      </c>
    </row>
    <row r="82" spans="1:4" x14ac:dyDescent="0.2">
      <c r="A82" s="329" t="s">
        <v>346</v>
      </c>
      <c r="C82" s="329">
        <v>26414</v>
      </c>
      <c r="D82" s="329">
        <v>36187</v>
      </c>
    </row>
    <row r="83" spans="1:4" x14ac:dyDescent="0.2">
      <c r="A83" s="329" t="s">
        <v>347</v>
      </c>
      <c r="C83" s="329">
        <v>0</v>
      </c>
      <c r="D83" s="329">
        <v>265649</v>
      </c>
    </row>
    <row r="84" spans="1:4" x14ac:dyDescent="0.2">
      <c r="A84" s="329" t="s">
        <v>348</v>
      </c>
      <c r="C84" s="329">
        <v>0</v>
      </c>
      <c r="D84" s="329">
        <v>0</v>
      </c>
    </row>
    <row r="85" spans="1:4" x14ac:dyDescent="0.2">
      <c r="A85" s="329" t="s">
        <v>349</v>
      </c>
      <c r="C85" s="329">
        <v>0</v>
      </c>
      <c r="D85" s="329">
        <v>57125</v>
      </c>
    </row>
    <row r="86" spans="1:4" x14ac:dyDescent="0.2">
      <c r="A86" s="329" t="s">
        <v>350</v>
      </c>
      <c r="C86" s="329">
        <v>524</v>
      </c>
      <c r="D86" s="329">
        <v>13516</v>
      </c>
    </row>
    <row r="87" spans="1:4" x14ac:dyDescent="0.2">
      <c r="A87" s="329" t="s">
        <v>351</v>
      </c>
      <c r="C87" s="329">
        <v>11214</v>
      </c>
      <c r="D87" s="329">
        <v>25582</v>
      </c>
    </row>
    <row r="89" spans="1:4" x14ac:dyDescent="0.2">
      <c r="A89" s="329" t="s">
        <v>3</v>
      </c>
      <c r="C89" s="329">
        <v>2463790</v>
      </c>
      <c r="D89" s="329">
        <v>1996158</v>
      </c>
    </row>
    <row r="91" spans="1:4" x14ac:dyDescent="0.2">
      <c r="A91" s="329" t="s">
        <v>505</v>
      </c>
    </row>
    <row r="93" spans="1:4" x14ac:dyDescent="0.2">
      <c r="A93" s="329" t="s">
        <v>506</v>
      </c>
      <c r="C93" s="329">
        <v>52827</v>
      </c>
      <c r="D93" s="329">
        <v>33137</v>
      </c>
    </row>
    <row r="94" spans="1:4" x14ac:dyDescent="0.2">
      <c r="A94" s="329" t="s">
        <v>507</v>
      </c>
      <c r="C94" s="329">
        <v>121782</v>
      </c>
      <c r="D94" s="329">
        <v>71505</v>
      </c>
    </row>
    <row r="95" spans="1:4" x14ac:dyDescent="0.2">
      <c r="A95" s="329" t="s">
        <v>508</v>
      </c>
      <c r="C95" s="329">
        <v>12604</v>
      </c>
      <c r="D95" s="329">
        <v>2492</v>
      </c>
    </row>
    <row r="96" spans="1:4" x14ac:dyDescent="0.2">
      <c r="A96" s="329" t="s">
        <v>13</v>
      </c>
      <c r="C96" s="329">
        <v>708664</v>
      </c>
      <c r="D96" s="329">
        <v>600</v>
      </c>
    </row>
    <row r="98" spans="1:4" x14ac:dyDescent="0.2">
      <c r="A98" s="329" t="s">
        <v>3</v>
      </c>
      <c r="C98" s="329">
        <v>895877</v>
      </c>
      <c r="D98" s="329">
        <v>107734</v>
      </c>
    </row>
    <row r="101" spans="1:4" x14ac:dyDescent="0.2">
      <c r="A101" s="329" t="s">
        <v>509</v>
      </c>
    </row>
    <row r="103" spans="1:4" x14ac:dyDescent="0.2">
      <c r="A103" s="329" t="s">
        <v>22</v>
      </c>
    </row>
    <row r="104" spans="1:4" x14ac:dyDescent="0.2">
      <c r="B104" s="329" t="s">
        <v>352</v>
      </c>
      <c r="C104" s="329">
        <v>0</v>
      </c>
      <c r="D104" s="329">
        <v>444674</v>
      </c>
    </row>
    <row r="105" spans="1:4" x14ac:dyDescent="0.2">
      <c r="A105" s="329" t="s">
        <v>353</v>
      </c>
      <c r="C105" s="329">
        <v>0</v>
      </c>
      <c r="D105" s="329">
        <v>444674</v>
      </c>
    </row>
    <row r="107" spans="1:4" x14ac:dyDescent="0.2">
      <c r="A107" s="329" t="s">
        <v>58</v>
      </c>
    </row>
    <row r="108" spans="1:4" x14ac:dyDescent="0.2">
      <c r="B108" s="329" t="s">
        <v>14</v>
      </c>
      <c r="C108" s="329">
        <v>141020835</v>
      </c>
      <c r="D108" s="329">
        <v>141020835</v>
      </c>
    </row>
    <row r="109" spans="1:4" x14ac:dyDescent="0.2">
      <c r="B109" s="329" t="s">
        <v>17</v>
      </c>
      <c r="C109" s="329">
        <v>44427466</v>
      </c>
      <c r="D109" s="329">
        <v>44427466</v>
      </c>
    </row>
    <row r="110" spans="1:4" x14ac:dyDescent="0.2">
      <c r="B110" s="329" t="s">
        <v>354</v>
      </c>
      <c r="C110" s="329">
        <v>1051462</v>
      </c>
      <c r="D110" s="329">
        <v>1051462</v>
      </c>
    </row>
    <row r="111" spans="1:4" x14ac:dyDescent="0.2">
      <c r="A111" s="329" t="s">
        <v>56</v>
      </c>
      <c r="C111" s="329">
        <v>186499763</v>
      </c>
      <c r="D111" s="329">
        <v>186499763</v>
      </c>
    </row>
    <row r="113" spans="1:4" x14ac:dyDescent="0.2">
      <c r="A113" s="329" t="s">
        <v>3</v>
      </c>
      <c r="C113" s="329">
        <v>186499763</v>
      </c>
      <c r="D113" s="329">
        <v>186944437</v>
      </c>
    </row>
    <row r="115" spans="1:4" x14ac:dyDescent="0.2">
      <c r="A115" s="329" t="s">
        <v>510</v>
      </c>
    </row>
    <row r="117" spans="1:4" x14ac:dyDescent="0.2">
      <c r="A117" s="329" t="s">
        <v>18</v>
      </c>
    </row>
    <row r="118" spans="1:4" x14ac:dyDescent="0.2">
      <c r="A118" s="329" t="s">
        <v>2</v>
      </c>
    </row>
    <row r="119" spans="1:4" x14ac:dyDescent="0.2">
      <c r="B119" s="329" t="s">
        <v>502</v>
      </c>
      <c r="C119" s="329">
        <v>159089</v>
      </c>
      <c r="D119" s="329">
        <v>0</v>
      </c>
    </row>
    <row r="120" spans="1:4" x14ac:dyDescent="0.2">
      <c r="B120" s="329" t="s">
        <v>355</v>
      </c>
      <c r="C120" s="329">
        <v>0</v>
      </c>
      <c r="D120" s="329">
        <v>1250000</v>
      </c>
    </row>
    <row r="121" spans="1:4" x14ac:dyDescent="0.2">
      <c r="B121" s="329" t="s">
        <v>5</v>
      </c>
      <c r="C121" s="329">
        <v>1750000</v>
      </c>
      <c r="D121" s="329">
        <v>1750000</v>
      </c>
    </row>
    <row r="122" spans="1:4" x14ac:dyDescent="0.2">
      <c r="B122" s="329" t="s">
        <v>356</v>
      </c>
      <c r="C122" s="329">
        <v>118989</v>
      </c>
      <c r="D122" s="329">
        <v>2950000</v>
      </c>
    </row>
    <row r="123" spans="1:4" x14ac:dyDescent="0.2">
      <c r="A123" s="329" t="s">
        <v>259</v>
      </c>
      <c r="C123" s="329">
        <v>2028078</v>
      </c>
      <c r="D123" s="329">
        <v>5950000</v>
      </c>
    </row>
    <row r="125" spans="1:4" x14ac:dyDescent="0.2">
      <c r="A125" s="329" t="s">
        <v>6</v>
      </c>
    </row>
    <row r="127" spans="1:4" x14ac:dyDescent="0.2">
      <c r="A127" s="329" t="s">
        <v>2</v>
      </c>
    </row>
    <row r="128" spans="1:4" x14ac:dyDescent="0.2">
      <c r="B128" s="329" t="s">
        <v>355</v>
      </c>
      <c r="C128" s="329">
        <v>0</v>
      </c>
      <c r="D128" s="329">
        <v>3750000</v>
      </c>
    </row>
    <row r="129" spans="1:4" x14ac:dyDescent="0.2">
      <c r="B129" s="329" t="s">
        <v>5</v>
      </c>
      <c r="C129" s="329">
        <v>0</v>
      </c>
      <c r="D129" s="329">
        <v>1750000</v>
      </c>
    </row>
    <row r="130" spans="1:4" x14ac:dyDescent="0.2">
      <c r="B130" s="329" t="s">
        <v>356</v>
      </c>
      <c r="C130" s="329">
        <v>0</v>
      </c>
      <c r="D130" s="329">
        <v>0</v>
      </c>
    </row>
    <row r="131" spans="1:4" x14ac:dyDescent="0.2">
      <c r="A131" s="329" t="s">
        <v>357</v>
      </c>
    </row>
    <row r="132" spans="1:4" x14ac:dyDescent="0.2">
      <c r="B132" s="329" t="s">
        <v>97</v>
      </c>
      <c r="C132" s="329">
        <v>4871</v>
      </c>
      <c r="D132" s="329">
        <v>14372</v>
      </c>
    </row>
    <row r="134" spans="1:4" x14ac:dyDescent="0.2">
      <c r="A134" s="329" t="s">
        <v>255</v>
      </c>
      <c r="C134" s="329">
        <v>4871</v>
      </c>
      <c r="D134" s="329">
        <v>5514372</v>
      </c>
    </row>
    <row r="136" spans="1:4" x14ac:dyDescent="0.2">
      <c r="A136" s="329" t="s">
        <v>3</v>
      </c>
      <c r="C136" s="329">
        <v>2032948</v>
      </c>
      <c r="D136" s="329">
        <v>11464372</v>
      </c>
    </row>
    <row r="138" spans="1:4" x14ac:dyDescent="0.2">
      <c r="A138" s="329" t="s">
        <v>511</v>
      </c>
    </row>
    <row r="140" spans="1:4" x14ac:dyDescent="0.2">
      <c r="A140" s="329" t="s">
        <v>358</v>
      </c>
      <c r="C140" s="329">
        <v>4928546</v>
      </c>
      <c r="D140" s="329">
        <v>4434833</v>
      </c>
    </row>
    <row r="141" spans="1:4" x14ac:dyDescent="0.2">
      <c r="A141" s="329" t="s">
        <v>359</v>
      </c>
      <c r="C141" s="329">
        <v>2743743</v>
      </c>
      <c r="D141" s="329">
        <v>2374582</v>
      </c>
    </row>
    <row r="142" spans="1:4" x14ac:dyDescent="0.2">
      <c r="A142" s="329" t="s">
        <v>360</v>
      </c>
      <c r="C142" s="329">
        <v>333696</v>
      </c>
      <c r="D142" s="329">
        <v>285779</v>
      </c>
    </row>
    <row r="143" spans="1:4" x14ac:dyDescent="0.2">
      <c r="A143" s="329" t="s">
        <v>361</v>
      </c>
      <c r="C143" s="329">
        <v>1167085</v>
      </c>
      <c r="D143" s="329">
        <v>948141</v>
      </c>
    </row>
    <row r="145" spans="1:4" x14ac:dyDescent="0.2">
      <c r="A145" s="329" t="s">
        <v>3</v>
      </c>
      <c r="C145" s="329">
        <v>9173071</v>
      </c>
      <c r="D145" s="329">
        <v>8043336</v>
      </c>
    </row>
    <row r="148" spans="1:4" x14ac:dyDescent="0.2">
      <c r="A148" s="329" t="s">
        <v>512</v>
      </c>
    </row>
    <row r="150" spans="1:4" x14ac:dyDescent="0.2">
      <c r="A150" s="329" t="s">
        <v>362</v>
      </c>
      <c r="C150" s="329">
        <v>30359</v>
      </c>
      <c r="D150" s="329">
        <v>30359</v>
      </c>
    </row>
    <row r="151" spans="1:4" x14ac:dyDescent="0.2">
      <c r="A151" s="329" t="s">
        <v>363</v>
      </c>
      <c r="C151" s="329">
        <v>3200000</v>
      </c>
      <c r="D151" s="329">
        <v>2802034</v>
      </c>
    </row>
    <row r="152" spans="1:4" x14ac:dyDescent="0.2">
      <c r="A152" s="329" t="s">
        <v>364</v>
      </c>
      <c r="C152" s="329">
        <v>401442</v>
      </c>
      <c r="D152" s="329">
        <v>343583</v>
      </c>
    </row>
    <row r="153" spans="1:4" x14ac:dyDescent="0.2">
      <c r="A153" s="329" t="s">
        <v>365</v>
      </c>
      <c r="C153" s="329">
        <v>493796</v>
      </c>
      <c r="D153" s="329">
        <v>493796</v>
      </c>
    </row>
    <row r="154" spans="1:4" x14ac:dyDescent="0.2">
      <c r="A154" s="329" t="s">
        <v>3</v>
      </c>
      <c r="C154" s="329">
        <v>4125598</v>
      </c>
      <c r="D154" s="329">
        <v>3669772</v>
      </c>
    </row>
    <row r="156" spans="1:4" x14ac:dyDescent="0.2">
      <c r="A156" s="329" t="s">
        <v>513</v>
      </c>
    </row>
    <row r="158" spans="1:4" x14ac:dyDescent="0.2">
      <c r="A158" s="329" t="s">
        <v>310</v>
      </c>
      <c r="C158" s="329">
        <v>571725</v>
      </c>
      <c r="D158" s="329">
        <v>331574</v>
      </c>
    </row>
    <row r="159" spans="1:4" x14ac:dyDescent="0.2">
      <c r="A159" s="329" t="s">
        <v>366</v>
      </c>
      <c r="C159" s="329">
        <v>55473</v>
      </c>
      <c r="D159" s="329">
        <v>40414</v>
      </c>
    </row>
    <row r="160" spans="1:4" x14ac:dyDescent="0.2">
      <c r="A160" s="329" t="s">
        <v>367</v>
      </c>
      <c r="C160" s="329">
        <v>5567172</v>
      </c>
      <c r="D160" s="329">
        <v>1800789</v>
      </c>
    </row>
    <row r="161" spans="1:4" x14ac:dyDescent="0.2">
      <c r="A161" s="329" t="s">
        <v>368</v>
      </c>
      <c r="C161" s="329">
        <v>14816089</v>
      </c>
      <c r="D161" s="329">
        <v>2746950</v>
      </c>
    </row>
    <row r="162" spans="1:4" x14ac:dyDescent="0.2">
      <c r="A162" s="329" t="s">
        <v>3</v>
      </c>
      <c r="C162" s="329">
        <v>21010459</v>
      </c>
      <c r="D162" s="329">
        <v>4919727</v>
      </c>
    </row>
    <row r="164" spans="1:4" x14ac:dyDescent="0.2">
      <c r="A164" s="329" t="s">
        <v>514</v>
      </c>
    </row>
    <row r="166" spans="1:4" x14ac:dyDescent="0.2">
      <c r="A166" s="329" t="s">
        <v>369</v>
      </c>
      <c r="C166" s="329">
        <v>51437231</v>
      </c>
      <c r="D166" s="329">
        <v>50473863</v>
      </c>
    </row>
    <row r="167" spans="1:4" x14ac:dyDescent="0.2">
      <c r="A167" s="329" t="s">
        <v>370</v>
      </c>
      <c r="C167" s="329">
        <v>16843014</v>
      </c>
      <c r="D167" s="329">
        <v>13839655</v>
      </c>
    </row>
    <row r="168" spans="1:4" x14ac:dyDescent="0.2">
      <c r="A168" s="329" t="s">
        <v>311</v>
      </c>
      <c r="C168" s="329">
        <v>2706341</v>
      </c>
      <c r="D168" s="329">
        <v>2364382</v>
      </c>
    </row>
    <row r="169" spans="1:4" x14ac:dyDescent="0.2">
      <c r="A169" s="329" t="s">
        <v>371</v>
      </c>
      <c r="C169" s="329">
        <v>82011</v>
      </c>
      <c r="D169" s="329">
        <v>41698</v>
      </c>
    </row>
    <row r="170" spans="1:4" x14ac:dyDescent="0.2">
      <c r="A170" s="329" t="s">
        <v>372</v>
      </c>
      <c r="C170" s="329">
        <v>101150</v>
      </c>
      <c r="D170" s="329">
        <v>183023</v>
      </c>
    </row>
    <row r="171" spans="1:4" x14ac:dyDescent="0.2">
      <c r="A171" s="329" t="s">
        <v>373</v>
      </c>
      <c r="C171" s="329">
        <v>1026679</v>
      </c>
      <c r="D171" s="329">
        <v>234816</v>
      </c>
    </row>
    <row r="172" spans="1:4" x14ac:dyDescent="0.2">
      <c r="A172" s="329" t="s">
        <v>374</v>
      </c>
      <c r="C172" s="329">
        <v>32324</v>
      </c>
      <c r="D172" s="329">
        <v>9511</v>
      </c>
    </row>
    <row r="173" spans="1:4" x14ac:dyDescent="0.2">
      <c r="A173" s="329" t="s">
        <v>375</v>
      </c>
      <c r="C173" s="329">
        <v>6490532</v>
      </c>
      <c r="D173" s="329">
        <v>514517</v>
      </c>
    </row>
    <row r="174" spans="1:4" x14ac:dyDescent="0.2">
      <c r="A174" s="329" t="s">
        <v>376</v>
      </c>
      <c r="C174" s="329">
        <v>1084971</v>
      </c>
      <c r="D174" s="329">
        <v>1312297</v>
      </c>
    </row>
    <row r="175" spans="1:4" x14ac:dyDescent="0.2">
      <c r="A175" s="329" t="s">
        <v>377</v>
      </c>
      <c r="C175" s="329">
        <v>1985613</v>
      </c>
      <c r="D175" s="329">
        <v>1920866</v>
      </c>
    </row>
    <row r="176" spans="1:4" x14ac:dyDescent="0.2">
      <c r="A176" s="329" t="s">
        <v>3</v>
      </c>
      <c r="C176" s="329">
        <v>81789865</v>
      </c>
      <c r="D176" s="329">
        <v>70894628</v>
      </c>
    </row>
    <row r="178" spans="1:4" x14ac:dyDescent="0.2">
      <c r="A178" s="329" t="s">
        <v>515</v>
      </c>
    </row>
    <row r="180" spans="1:4" x14ac:dyDescent="0.2">
      <c r="A180" s="329" t="s">
        <v>503</v>
      </c>
    </row>
    <row r="181" spans="1:4" x14ac:dyDescent="0.2">
      <c r="A181" s="329" t="s">
        <v>378</v>
      </c>
      <c r="C181" s="329">
        <v>1718195</v>
      </c>
      <c r="D181" s="329">
        <v>1718195</v>
      </c>
    </row>
    <row r="182" spans="1:4" x14ac:dyDescent="0.2">
      <c r="A182" s="329" t="s">
        <v>379</v>
      </c>
      <c r="C182" s="329">
        <v>5679702</v>
      </c>
      <c r="D182" s="329">
        <v>5679702</v>
      </c>
    </row>
    <row r="183" spans="1:4" x14ac:dyDescent="0.2">
      <c r="A183" s="329" t="s">
        <v>380</v>
      </c>
      <c r="C183" s="329">
        <v>344484</v>
      </c>
      <c r="D183" s="329">
        <v>344484</v>
      </c>
    </row>
    <row r="184" spans="1:4" x14ac:dyDescent="0.2">
      <c r="A184" s="329" t="s">
        <v>381</v>
      </c>
      <c r="C184" s="329">
        <v>987865</v>
      </c>
      <c r="D184" s="329">
        <v>987865</v>
      </c>
    </row>
    <row r="185" spans="1:4" x14ac:dyDescent="0.2">
      <c r="A185" s="329" t="s">
        <v>16</v>
      </c>
      <c r="C185" s="329">
        <v>8730246</v>
      </c>
      <c r="D185" s="329">
        <v>8730246</v>
      </c>
    </row>
    <row r="187" spans="1:4" x14ac:dyDescent="0.2">
      <c r="A187" s="329" t="s">
        <v>529</v>
      </c>
    </row>
    <row r="188" spans="1:4" x14ac:dyDescent="0.2">
      <c r="A188" s="329" t="s">
        <v>530</v>
      </c>
      <c r="C188" s="329">
        <v>705586</v>
      </c>
      <c r="D188" s="329">
        <v>0</v>
      </c>
    </row>
    <row r="189" spans="1:4" x14ac:dyDescent="0.2">
      <c r="A189" s="329" t="s">
        <v>16</v>
      </c>
      <c r="C189" s="329">
        <v>705586</v>
      </c>
      <c r="D189" s="329">
        <v>0</v>
      </c>
    </row>
    <row r="191" spans="1:4" x14ac:dyDescent="0.2">
      <c r="A191" s="329" t="s">
        <v>3</v>
      </c>
      <c r="C191" s="329">
        <v>9435832</v>
      </c>
      <c r="D191" s="329">
        <v>8730246</v>
      </c>
    </row>
    <row r="193" spans="1:4" x14ac:dyDescent="0.2">
      <c r="A193" s="329" t="s">
        <v>516</v>
      </c>
    </row>
    <row r="195" spans="1:4" x14ac:dyDescent="0.2">
      <c r="A195" s="329" t="s">
        <v>52</v>
      </c>
    </row>
    <row r="196" spans="1:4" x14ac:dyDescent="0.2">
      <c r="B196" s="329" t="s">
        <v>382</v>
      </c>
      <c r="C196" s="329">
        <v>186806</v>
      </c>
      <c r="D196" s="329">
        <v>193633</v>
      </c>
    </row>
    <row r="197" spans="1:4" x14ac:dyDescent="0.2">
      <c r="B197" s="329" t="s">
        <v>500</v>
      </c>
      <c r="C197" s="329">
        <v>9514428</v>
      </c>
      <c r="D197" s="329">
        <v>10046800</v>
      </c>
    </row>
    <row r="198" spans="1:4" x14ac:dyDescent="0.2">
      <c r="A198" s="329" t="s">
        <v>3</v>
      </c>
      <c r="C198" s="329">
        <v>9701233</v>
      </c>
      <c r="D198" s="329">
        <v>10240433</v>
      </c>
    </row>
    <row r="200" spans="1:4" x14ac:dyDescent="0.2">
      <c r="A200" s="329" t="s">
        <v>53</v>
      </c>
    </row>
    <row r="201" spans="1:4" x14ac:dyDescent="0.2">
      <c r="B201" s="329" t="s">
        <v>383</v>
      </c>
    </row>
    <row r="203" spans="1:4" x14ac:dyDescent="0.2">
      <c r="B203" s="329" t="s">
        <v>384</v>
      </c>
      <c r="C203" s="329">
        <v>442719</v>
      </c>
      <c r="D203" s="329">
        <v>661026</v>
      </c>
    </row>
    <row r="205" spans="1:4" x14ac:dyDescent="0.2">
      <c r="A205" s="329" t="s">
        <v>3</v>
      </c>
      <c r="C205" s="329">
        <v>442719</v>
      </c>
      <c r="D205" s="329">
        <v>1103745</v>
      </c>
    </row>
  </sheetData>
  <sortState ref="A88:H94">
    <sortCondition ref="A88:A94"/>
  </sortState>
  <phoneticPr fontId="9" type="noConversion"/>
  <pageMargins left="0.75" right="0.75" top="1" bottom="1" header="0" footer="0"/>
  <pageSetup scale="8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H212"/>
  <sheetViews>
    <sheetView topLeftCell="A148" workbookViewId="0">
      <selection activeCell="A166" sqref="A166"/>
    </sheetView>
  </sheetViews>
  <sheetFormatPr baseColWidth="10" defaultRowHeight="12.75" x14ac:dyDescent="0.2"/>
  <cols>
    <col min="1" max="16384" width="11.42578125" style="329"/>
  </cols>
  <sheetData>
    <row r="1" spans="1:8" x14ac:dyDescent="0.2">
      <c r="A1" s="285">
        <v>41609</v>
      </c>
      <c r="B1" s="285">
        <v>41609</v>
      </c>
      <c r="C1" s="285">
        <v>41609</v>
      </c>
      <c r="D1" s="285">
        <v>41609</v>
      </c>
      <c r="E1" s="285">
        <v>41609</v>
      </c>
      <c r="F1" s="285">
        <v>41244</v>
      </c>
      <c r="G1" s="285">
        <v>41609</v>
      </c>
      <c r="H1" s="285">
        <v>38838</v>
      </c>
    </row>
    <row r="2" spans="1:8" x14ac:dyDescent="0.2">
      <c r="D2" s="285">
        <v>41244</v>
      </c>
      <c r="F2" s="285">
        <v>40878</v>
      </c>
    </row>
    <row r="3" spans="1:8" x14ac:dyDescent="0.2">
      <c r="A3" s="329" t="s">
        <v>385</v>
      </c>
    </row>
    <row r="4" spans="1:8" x14ac:dyDescent="0.2">
      <c r="B4" s="329" t="s">
        <v>228</v>
      </c>
      <c r="C4" s="329">
        <v>16</v>
      </c>
      <c r="D4" s="329">
        <v>183349233</v>
      </c>
      <c r="F4" s="329">
        <v>159740092</v>
      </c>
    </row>
    <row r="5" spans="1:8" x14ac:dyDescent="0.2">
      <c r="B5" s="329" t="s">
        <v>229</v>
      </c>
      <c r="C5" s="329">
        <v>17</v>
      </c>
      <c r="D5" s="329">
        <v>37266781</v>
      </c>
      <c r="F5" s="329">
        <v>26138229</v>
      </c>
    </row>
    <row r="6" spans="1:8" x14ac:dyDescent="0.2">
      <c r="B6" s="329" t="s">
        <v>33</v>
      </c>
      <c r="C6" s="329">
        <v>18</v>
      </c>
      <c r="D6" s="329">
        <v>-2801652</v>
      </c>
      <c r="F6" s="329">
        <v>-2182843</v>
      </c>
    </row>
    <row r="7" spans="1:8" x14ac:dyDescent="0.2">
      <c r="B7" s="329" t="s">
        <v>32</v>
      </c>
      <c r="C7" s="329">
        <v>19</v>
      </c>
      <c r="D7" s="329">
        <v>-12146492</v>
      </c>
      <c r="F7" s="329">
        <v>-7116317</v>
      </c>
    </row>
    <row r="8" spans="1:8" x14ac:dyDescent="0.2">
      <c r="B8" s="329" t="s">
        <v>34</v>
      </c>
      <c r="C8" s="329">
        <v>20</v>
      </c>
      <c r="D8" s="329">
        <v>-5914869</v>
      </c>
      <c r="F8" s="329">
        <v>-4975846</v>
      </c>
    </row>
    <row r="9" spans="1:8" x14ac:dyDescent="0.2">
      <c r="A9" s="329" t="s">
        <v>386</v>
      </c>
      <c r="D9" s="329">
        <v>199753002</v>
      </c>
      <c r="F9" s="329">
        <v>171603316</v>
      </c>
    </row>
    <row r="11" spans="1:8" x14ac:dyDescent="0.2">
      <c r="A11" s="329" t="s">
        <v>387</v>
      </c>
    </row>
    <row r="12" spans="1:8" x14ac:dyDescent="0.2">
      <c r="B12" s="329" t="s">
        <v>230</v>
      </c>
      <c r="C12" s="329">
        <v>18</v>
      </c>
      <c r="D12" s="329">
        <v>189560670</v>
      </c>
      <c r="F12" s="329">
        <v>169285840</v>
      </c>
    </row>
    <row r="13" spans="1:8" x14ac:dyDescent="0.2">
      <c r="A13" s="329" t="s">
        <v>96</v>
      </c>
      <c r="D13" s="329">
        <v>189560670</v>
      </c>
      <c r="F13" s="329">
        <v>169285840</v>
      </c>
    </row>
    <row r="16" spans="1:8" x14ac:dyDescent="0.2">
      <c r="A16" s="329" t="s">
        <v>388</v>
      </c>
      <c r="D16" s="329">
        <v>10192332</v>
      </c>
      <c r="F16" s="329">
        <v>2317475</v>
      </c>
    </row>
    <row r="18" spans="1:6" x14ac:dyDescent="0.2">
      <c r="A18" s="329" t="s">
        <v>389</v>
      </c>
    </row>
    <row r="19" spans="1:6" x14ac:dyDescent="0.2">
      <c r="B19" s="329" t="s">
        <v>24</v>
      </c>
      <c r="D19" s="329">
        <v>3077437</v>
      </c>
      <c r="F19" s="329">
        <v>3689291</v>
      </c>
    </row>
    <row r="20" spans="1:6" x14ac:dyDescent="0.2">
      <c r="B20" s="329" t="s">
        <v>25</v>
      </c>
      <c r="D20" s="329">
        <v>1828838</v>
      </c>
      <c r="F20" s="329">
        <v>2711105</v>
      </c>
    </row>
    <row r="21" spans="1:6" x14ac:dyDescent="0.2">
      <c r="A21" s="329" t="s">
        <v>26</v>
      </c>
    </row>
    <row r="22" spans="1:6" x14ac:dyDescent="0.2">
      <c r="B22" s="329" t="s">
        <v>231</v>
      </c>
      <c r="D22" s="329">
        <v>121062</v>
      </c>
      <c r="F22" s="329">
        <v>216024</v>
      </c>
    </row>
    <row r="23" spans="1:6" x14ac:dyDescent="0.2">
      <c r="B23" s="329" t="s">
        <v>9</v>
      </c>
      <c r="D23" s="329">
        <v>98164</v>
      </c>
      <c r="F23" s="329">
        <v>104066</v>
      </c>
    </row>
    <row r="24" spans="1:6" x14ac:dyDescent="0.2">
      <c r="B24" s="329" t="s">
        <v>390</v>
      </c>
      <c r="D24" s="329">
        <v>986568</v>
      </c>
      <c r="F24" s="329">
        <v>1557147</v>
      </c>
    </row>
    <row r="25" spans="1:6" x14ac:dyDescent="0.2">
      <c r="B25" s="329" t="s">
        <v>27</v>
      </c>
      <c r="D25" s="329">
        <v>61501</v>
      </c>
      <c r="F25" s="329">
        <v>47422</v>
      </c>
    </row>
    <row r="26" spans="1:6" x14ac:dyDescent="0.2">
      <c r="B26" s="329" t="s">
        <v>28</v>
      </c>
      <c r="D26" s="329">
        <v>2992273</v>
      </c>
      <c r="F26" s="329">
        <v>2777689</v>
      </c>
    </row>
    <row r="27" spans="1:6" x14ac:dyDescent="0.2">
      <c r="B27" s="329" t="s">
        <v>13</v>
      </c>
      <c r="C27" s="329">
        <v>19</v>
      </c>
      <c r="D27" s="329">
        <v>1625421</v>
      </c>
      <c r="F27" s="329">
        <v>2115503</v>
      </c>
    </row>
    <row r="28" spans="1:6" x14ac:dyDescent="0.2">
      <c r="A28" s="329" t="s">
        <v>391</v>
      </c>
      <c r="D28" s="329">
        <v>10791264</v>
      </c>
      <c r="F28" s="329">
        <v>13218247</v>
      </c>
    </row>
    <row r="30" spans="1:6" x14ac:dyDescent="0.2">
      <c r="A30" s="329" t="s">
        <v>392</v>
      </c>
    </row>
    <row r="31" spans="1:6" x14ac:dyDescent="0.2">
      <c r="B31" s="329" t="s">
        <v>24</v>
      </c>
      <c r="C31" s="329">
        <v>20</v>
      </c>
      <c r="D31" s="329">
        <v>1679521</v>
      </c>
      <c r="F31" s="329">
        <v>2087262</v>
      </c>
    </row>
    <row r="32" spans="1:6" x14ac:dyDescent="0.2">
      <c r="B32" s="329" t="s">
        <v>393</v>
      </c>
      <c r="C32" s="329">
        <v>22</v>
      </c>
      <c r="D32" s="329">
        <v>3957742</v>
      </c>
      <c r="F32" s="329">
        <v>2367568</v>
      </c>
    </row>
    <row r="34" spans="1:6" x14ac:dyDescent="0.2">
      <c r="A34" s="329" t="s">
        <v>394</v>
      </c>
      <c r="D34" s="329">
        <v>5637263</v>
      </c>
      <c r="F34" s="329">
        <v>4454830</v>
      </c>
    </row>
    <row r="36" spans="1:6" x14ac:dyDescent="0.2">
      <c r="A36" s="329" t="s">
        <v>29</v>
      </c>
      <c r="D36" s="329">
        <v>15346333</v>
      </c>
      <c r="F36" s="329">
        <v>11080892</v>
      </c>
    </row>
    <row r="40" spans="1:6" x14ac:dyDescent="0.2">
      <c r="A40" s="329" t="s">
        <v>385</v>
      </c>
    </row>
    <row r="44" spans="1:6" x14ac:dyDescent="0.2">
      <c r="A44" s="329" t="s">
        <v>517</v>
      </c>
    </row>
    <row r="46" spans="1:6" x14ac:dyDescent="0.2">
      <c r="A46" s="329" t="s">
        <v>307</v>
      </c>
      <c r="D46" s="329">
        <v>105267259</v>
      </c>
      <c r="F46" s="329">
        <v>96934530</v>
      </c>
    </row>
    <row r="47" spans="1:6" x14ac:dyDescent="0.2">
      <c r="A47" s="329" t="s">
        <v>308</v>
      </c>
      <c r="D47" s="329">
        <v>33649304</v>
      </c>
      <c r="F47" s="329">
        <v>31679369</v>
      </c>
    </row>
    <row r="48" spans="1:6" x14ac:dyDescent="0.2">
      <c r="A48" s="329" t="s">
        <v>395</v>
      </c>
      <c r="D48" s="329">
        <v>19182314</v>
      </c>
      <c r="F48" s="329">
        <v>10622747</v>
      </c>
    </row>
    <row r="49" spans="1:6" x14ac:dyDescent="0.2">
      <c r="A49" s="329" t="s">
        <v>311</v>
      </c>
      <c r="D49" s="329">
        <v>13710309</v>
      </c>
      <c r="F49" s="329">
        <v>11871563</v>
      </c>
    </row>
    <row r="50" spans="1:6" x14ac:dyDescent="0.2">
      <c r="A50" s="329" t="s">
        <v>148</v>
      </c>
      <c r="D50" s="329">
        <v>4850758</v>
      </c>
      <c r="F50" s="329">
        <v>3732169</v>
      </c>
    </row>
    <row r="51" spans="1:6" x14ac:dyDescent="0.2">
      <c r="A51" s="329" t="s">
        <v>396</v>
      </c>
      <c r="D51" s="329">
        <v>71268</v>
      </c>
      <c r="F51" s="329">
        <v>59410</v>
      </c>
    </row>
    <row r="52" spans="1:6" x14ac:dyDescent="0.2">
      <c r="A52" s="329" t="s">
        <v>397</v>
      </c>
      <c r="D52" s="329">
        <v>3431160</v>
      </c>
      <c r="F52" s="329">
        <v>3177005</v>
      </c>
    </row>
    <row r="53" spans="1:6" x14ac:dyDescent="0.2">
      <c r="A53" s="329" t="s">
        <v>398</v>
      </c>
      <c r="D53" s="329">
        <v>386499</v>
      </c>
      <c r="F53" s="329">
        <v>305935</v>
      </c>
    </row>
    <row r="54" spans="1:6" x14ac:dyDescent="0.2">
      <c r="A54" s="329" t="s">
        <v>30</v>
      </c>
      <c r="D54" s="329">
        <v>1888864</v>
      </c>
      <c r="F54" s="329">
        <v>581142</v>
      </c>
    </row>
    <row r="55" spans="1:6" x14ac:dyDescent="0.2">
      <c r="A55" s="329" t="s">
        <v>399</v>
      </c>
      <c r="D55" s="329">
        <v>56761</v>
      </c>
      <c r="F55" s="329">
        <v>16377</v>
      </c>
    </row>
    <row r="56" spans="1:6" x14ac:dyDescent="0.2">
      <c r="A56" s="329" t="s">
        <v>400</v>
      </c>
      <c r="D56" s="329">
        <v>854738</v>
      </c>
      <c r="F56" s="329">
        <v>759846</v>
      </c>
    </row>
    <row r="58" spans="1:6" x14ac:dyDescent="0.2">
      <c r="A58" s="329" t="s">
        <v>3</v>
      </c>
      <c r="D58" s="329">
        <v>183349233</v>
      </c>
      <c r="F58" s="329">
        <v>159740092</v>
      </c>
    </row>
    <row r="60" spans="1:6" x14ac:dyDescent="0.2">
      <c r="A60" s="329" t="s">
        <v>518</v>
      </c>
    </row>
    <row r="62" spans="1:6" x14ac:dyDescent="0.2">
      <c r="A62" s="329" t="s">
        <v>401</v>
      </c>
      <c r="D62" s="329">
        <v>24563566</v>
      </c>
      <c r="F62" s="329">
        <v>16711504</v>
      </c>
    </row>
    <row r="63" spans="1:6" x14ac:dyDescent="0.2">
      <c r="A63" s="329" t="s">
        <v>313</v>
      </c>
      <c r="D63" s="329">
        <v>684126</v>
      </c>
      <c r="F63" s="329">
        <v>697376</v>
      </c>
    </row>
    <row r="64" spans="1:6" x14ac:dyDescent="0.2">
      <c r="A64" s="329" t="s">
        <v>402</v>
      </c>
      <c r="D64" s="329">
        <v>8759282</v>
      </c>
      <c r="F64" s="329">
        <v>6323613</v>
      </c>
    </row>
    <row r="65" spans="1:6" x14ac:dyDescent="0.2">
      <c r="A65" s="329" t="s">
        <v>403</v>
      </c>
      <c r="D65" s="329">
        <v>595945</v>
      </c>
      <c r="F65" s="329">
        <v>204225</v>
      </c>
    </row>
    <row r="66" spans="1:6" x14ac:dyDescent="0.2">
      <c r="A66" s="329" t="s">
        <v>404</v>
      </c>
      <c r="D66" s="329">
        <v>202592</v>
      </c>
      <c r="F66" s="329">
        <v>148205</v>
      </c>
    </row>
    <row r="67" spans="1:6" x14ac:dyDescent="0.2">
      <c r="A67" s="329" t="s">
        <v>235</v>
      </c>
      <c r="D67" s="329">
        <v>542260</v>
      </c>
      <c r="F67" s="329">
        <v>537549</v>
      </c>
    </row>
    <row r="68" spans="1:6" x14ac:dyDescent="0.2">
      <c r="A68" s="329" t="s">
        <v>288</v>
      </c>
      <c r="D68" s="329">
        <v>178422</v>
      </c>
      <c r="F68" s="329">
        <v>99284</v>
      </c>
    </row>
    <row r="69" spans="1:6" x14ac:dyDescent="0.2">
      <c r="A69" s="329" t="s">
        <v>405</v>
      </c>
      <c r="D69" s="329">
        <v>350831</v>
      </c>
      <c r="F69" s="329">
        <v>307659</v>
      </c>
    </row>
    <row r="70" spans="1:6" x14ac:dyDescent="0.2">
      <c r="A70" s="329" t="s">
        <v>406</v>
      </c>
      <c r="D70" s="329">
        <v>122902</v>
      </c>
      <c r="F70" s="329">
        <v>98372</v>
      </c>
    </row>
    <row r="71" spans="1:6" x14ac:dyDescent="0.2">
      <c r="A71" s="329" t="s">
        <v>236</v>
      </c>
      <c r="D71" s="329">
        <v>972668</v>
      </c>
      <c r="F71" s="329">
        <v>922850</v>
      </c>
    </row>
    <row r="72" spans="1:6" x14ac:dyDescent="0.2">
      <c r="A72" s="329" t="s">
        <v>407</v>
      </c>
      <c r="D72" s="329">
        <v>7644</v>
      </c>
      <c r="F72" s="329">
        <v>2638</v>
      </c>
    </row>
    <row r="73" spans="1:6" x14ac:dyDescent="0.2">
      <c r="A73" s="329" t="s">
        <v>408</v>
      </c>
      <c r="D73" s="329">
        <v>286543</v>
      </c>
      <c r="F73" s="329">
        <v>84953</v>
      </c>
    </row>
    <row r="75" spans="1:6" x14ac:dyDescent="0.2">
      <c r="A75" s="329" t="s">
        <v>3</v>
      </c>
      <c r="D75" s="329">
        <v>37266781</v>
      </c>
      <c r="F75" s="329">
        <v>26138229</v>
      </c>
    </row>
    <row r="77" spans="1:6" x14ac:dyDescent="0.2">
      <c r="A77" s="329" t="s">
        <v>519</v>
      </c>
    </row>
    <row r="79" spans="1:6" x14ac:dyDescent="0.2">
      <c r="A79" s="329" t="s">
        <v>136</v>
      </c>
      <c r="D79" s="329">
        <v>1173924</v>
      </c>
      <c r="F79" s="329">
        <v>879322</v>
      </c>
    </row>
    <row r="80" spans="1:6" x14ac:dyDescent="0.2">
      <c r="A80" s="329" t="s">
        <v>308</v>
      </c>
      <c r="D80" s="329">
        <v>536809</v>
      </c>
      <c r="F80" s="329">
        <v>396239</v>
      </c>
    </row>
    <row r="81" spans="1:6" x14ac:dyDescent="0.2">
      <c r="A81" s="329" t="s">
        <v>310</v>
      </c>
      <c r="D81" s="329">
        <v>966334</v>
      </c>
      <c r="F81" s="329">
        <v>813175</v>
      </c>
    </row>
    <row r="82" spans="1:6" x14ac:dyDescent="0.2">
      <c r="A82" s="329" t="s">
        <v>311</v>
      </c>
      <c r="D82" s="329">
        <v>74916</v>
      </c>
      <c r="F82" s="329">
        <v>61399</v>
      </c>
    </row>
    <row r="83" spans="1:6" x14ac:dyDescent="0.2">
      <c r="A83" s="329" t="s">
        <v>397</v>
      </c>
      <c r="D83" s="329">
        <v>23533</v>
      </c>
      <c r="F83" s="329">
        <v>13507</v>
      </c>
    </row>
    <row r="84" spans="1:6" x14ac:dyDescent="0.2">
      <c r="A84" s="329" t="s">
        <v>409</v>
      </c>
      <c r="D84" s="329">
        <v>0</v>
      </c>
      <c r="F84" s="329">
        <v>860</v>
      </c>
    </row>
    <row r="85" spans="1:6" x14ac:dyDescent="0.2">
      <c r="A85" s="329" t="s">
        <v>366</v>
      </c>
      <c r="D85" s="329">
        <v>25565</v>
      </c>
      <c r="F85" s="329">
        <v>17529</v>
      </c>
    </row>
    <row r="86" spans="1:6" x14ac:dyDescent="0.2">
      <c r="A86" s="329" t="s">
        <v>251</v>
      </c>
      <c r="D86" s="329">
        <v>570</v>
      </c>
      <c r="F86" s="329">
        <v>811</v>
      </c>
    </row>
    <row r="88" spans="1:6" x14ac:dyDescent="0.2">
      <c r="A88" s="329" t="s">
        <v>3</v>
      </c>
      <c r="D88" s="329">
        <v>2801652</v>
      </c>
      <c r="F88" s="329">
        <v>2182843</v>
      </c>
    </row>
    <row r="90" spans="1:6" x14ac:dyDescent="0.2">
      <c r="A90" s="329" t="s">
        <v>520</v>
      </c>
    </row>
    <row r="92" spans="1:6" x14ac:dyDescent="0.2">
      <c r="A92" s="329" t="s">
        <v>136</v>
      </c>
      <c r="D92" s="329">
        <v>4915421</v>
      </c>
      <c r="F92" s="329">
        <v>4811429</v>
      </c>
    </row>
    <row r="93" spans="1:6" x14ac:dyDescent="0.2">
      <c r="A93" s="329" t="s">
        <v>308</v>
      </c>
      <c r="D93" s="329">
        <v>2488673</v>
      </c>
      <c r="F93" s="329">
        <v>2179551</v>
      </c>
    </row>
    <row r="94" spans="1:6" x14ac:dyDescent="0.2">
      <c r="A94" s="329" t="s">
        <v>310</v>
      </c>
      <c r="D94" s="329">
        <v>4604028</v>
      </c>
      <c r="F94" s="329">
        <v>21915</v>
      </c>
    </row>
    <row r="95" spans="1:6" x14ac:dyDescent="0.2">
      <c r="A95" s="329" t="s">
        <v>311</v>
      </c>
      <c r="D95" s="329">
        <v>138370</v>
      </c>
      <c r="F95" s="329">
        <v>103422</v>
      </c>
    </row>
    <row r="96" spans="1:6" x14ac:dyDescent="0.2">
      <c r="A96" s="329" t="s">
        <v>3</v>
      </c>
      <c r="D96" s="329">
        <v>12146492</v>
      </c>
      <c r="F96" s="329">
        <v>7116317</v>
      </c>
    </row>
    <row r="98" spans="1:6" x14ac:dyDescent="0.2">
      <c r="A98" s="329" t="s">
        <v>521</v>
      </c>
    </row>
    <row r="100" spans="1:6" x14ac:dyDescent="0.2">
      <c r="A100" s="329" t="s">
        <v>136</v>
      </c>
      <c r="D100" s="329">
        <v>3496984</v>
      </c>
      <c r="F100" s="329">
        <v>2808813</v>
      </c>
    </row>
    <row r="101" spans="1:6" x14ac:dyDescent="0.2">
      <c r="A101" s="329" t="s">
        <v>308</v>
      </c>
      <c r="D101" s="329">
        <v>393135</v>
      </c>
      <c r="F101" s="329">
        <v>319181</v>
      </c>
    </row>
    <row r="102" spans="1:6" x14ac:dyDescent="0.2">
      <c r="A102" s="329" t="s">
        <v>310</v>
      </c>
      <c r="D102" s="329">
        <v>742873</v>
      </c>
      <c r="F102" s="329">
        <v>820434</v>
      </c>
    </row>
    <row r="103" spans="1:6" x14ac:dyDescent="0.2">
      <c r="A103" s="329" t="s">
        <v>311</v>
      </c>
      <c r="D103" s="329">
        <v>947992</v>
      </c>
      <c r="F103" s="329">
        <v>813426</v>
      </c>
    </row>
    <row r="104" spans="1:6" x14ac:dyDescent="0.2">
      <c r="A104" s="329" t="s">
        <v>495</v>
      </c>
      <c r="D104" s="329">
        <v>1330</v>
      </c>
      <c r="F104" s="329">
        <v>0</v>
      </c>
    </row>
    <row r="105" spans="1:6" x14ac:dyDescent="0.2">
      <c r="A105" s="329" t="s">
        <v>366</v>
      </c>
      <c r="D105" s="329">
        <v>117140</v>
      </c>
      <c r="F105" s="329">
        <v>86584</v>
      </c>
    </row>
    <row r="106" spans="1:6" x14ac:dyDescent="0.2">
      <c r="A106" s="329" t="s">
        <v>404</v>
      </c>
      <c r="D106" s="329">
        <v>106439</v>
      </c>
      <c r="F106" s="329">
        <v>65474</v>
      </c>
    </row>
    <row r="107" spans="1:6" x14ac:dyDescent="0.2">
      <c r="A107" s="329" t="s">
        <v>235</v>
      </c>
      <c r="D107" s="329">
        <v>44990</v>
      </c>
      <c r="F107" s="329">
        <v>32834</v>
      </c>
    </row>
    <row r="108" spans="1:6" x14ac:dyDescent="0.2">
      <c r="A108" s="329" t="s">
        <v>236</v>
      </c>
      <c r="D108" s="329">
        <v>63986</v>
      </c>
      <c r="F108" s="329">
        <v>29100</v>
      </c>
    </row>
    <row r="110" spans="1:6" x14ac:dyDescent="0.2">
      <c r="A110" s="329" t="s">
        <v>3</v>
      </c>
      <c r="D110" s="329">
        <v>5914869</v>
      </c>
      <c r="F110" s="329">
        <v>4975846</v>
      </c>
    </row>
    <row r="112" spans="1:6" x14ac:dyDescent="0.2">
      <c r="A112" s="329" t="s">
        <v>522</v>
      </c>
    </row>
    <row r="115" spans="1:6" x14ac:dyDescent="0.2">
      <c r="A115" s="329" t="s">
        <v>261</v>
      </c>
      <c r="D115" s="329">
        <v>110236564</v>
      </c>
      <c r="F115" s="329">
        <v>96130774</v>
      </c>
    </row>
    <row r="116" spans="1:6" x14ac:dyDescent="0.2">
      <c r="A116" s="329" t="s">
        <v>10</v>
      </c>
      <c r="D116" s="329">
        <v>20200427</v>
      </c>
      <c r="F116" s="329">
        <v>16324513</v>
      </c>
    </row>
    <row r="117" spans="1:6" x14ac:dyDescent="0.2">
      <c r="A117" s="329" t="s">
        <v>35</v>
      </c>
      <c r="D117" s="329">
        <v>2606347</v>
      </c>
      <c r="F117" s="329">
        <v>1048916</v>
      </c>
    </row>
    <row r="118" spans="1:6" x14ac:dyDescent="0.2">
      <c r="A118" s="329" t="s">
        <v>9</v>
      </c>
      <c r="D118" s="329">
        <v>2468925</v>
      </c>
      <c r="F118" s="329">
        <v>2375151</v>
      </c>
    </row>
    <row r="119" spans="1:6" x14ac:dyDescent="0.2">
      <c r="A119" s="329" t="s">
        <v>346</v>
      </c>
      <c r="D119" s="329">
        <v>734237</v>
      </c>
      <c r="F119" s="329">
        <v>1173602</v>
      </c>
    </row>
    <row r="120" spans="1:6" x14ac:dyDescent="0.2">
      <c r="A120" s="329" t="s">
        <v>11</v>
      </c>
      <c r="D120" s="329">
        <v>886414</v>
      </c>
      <c r="F120" s="329">
        <v>765034</v>
      </c>
    </row>
    <row r="121" spans="1:6" x14ac:dyDescent="0.2">
      <c r="A121" s="329" t="s">
        <v>27</v>
      </c>
      <c r="D121" s="329">
        <v>10435192</v>
      </c>
      <c r="F121" s="329">
        <v>10136407</v>
      </c>
    </row>
    <row r="122" spans="1:6" x14ac:dyDescent="0.2">
      <c r="A122" s="329" t="s">
        <v>410</v>
      </c>
      <c r="D122" s="329">
        <v>269142</v>
      </c>
      <c r="F122" s="329">
        <v>283778</v>
      </c>
    </row>
    <row r="123" spans="1:6" x14ac:dyDescent="0.2">
      <c r="A123" s="329" t="s">
        <v>411</v>
      </c>
      <c r="D123" s="329">
        <v>2311337</v>
      </c>
      <c r="F123" s="329">
        <v>2348805</v>
      </c>
    </row>
    <row r="124" spans="1:6" x14ac:dyDescent="0.2">
      <c r="A124" s="329" t="s">
        <v>412</v>
      </c>
      <c r="D124" s="329">
        <v>1734963</v>
      </c>
      <c r="F124" s="329">
        <v>1387127</v>
      </c>
    </row>
    <row r="125" spans="1:6" x14ac:dyDescent="0.2">
      <c r="A125" s="329" t="s">
        <v>413</v>
      </c>
      <c r="D125" s="329">
        <v>5586060</v>
      </c>
      <c r="F125" s="329">
        <v>4518474</v>
      </c>
    </row>
    <row r="126" spans="1:6" x14ac:dyDescent="0.2">
      <c r="A126" s="329" t="s">
        <v>38</v>
      </c>
      <c r="D126" s="329">
        <v>13114994</v>
      </c>
      <c r="F126" s="329">
        <v>11371626</v>
      </c>
    </row>
    <row r="127" spans="1:6" x14ac:dyDescent="0.2">
      <c r="A127" s="329" t="s">
        <v>39</v>
      </c>
      <c r="D127" s="329">
        <v>1419704</v>
      </c>
      <c r="F127" s="329">
        <v>1183913</v>
      </c>
    </row>
    <row r="128" spans="1:6" x14ac:dyDescent="0.2">
      <c r="A128" s="329" t="s">
        <v>414</v>
      </c>
      <c r="D128" s="329">
        <v>2460349</v>
      </c>
      <c r="F128" s="329">
        <v>2558353</v>
      </c>
    </row>
    <row r="129" spans="1:6" x14ac:dyDescent="0.2">
      <c r="A129" s="329" t="s">
        <v>415</v>
      </c>
      <c r="D129" s="329">
        <v>1141737</v>
      </c>
      <c r="F129" s="329">
        <v>1197059</v>
      </c>
    </row>
    <row r="130" spans="1:6" x14ac:dyDescent="0.2">
      <c r="A130" s="329" t="s">
        <v>416</v>
      </c>
      <c r="D130" s="329">
        <v>1833157</v>
      </c>
      <c r="F130" s="329">
        <v>1323765</v>
      </c>
    </row>
    <row r="131" spans="1:6" x14ac:dyDescent="0.2">
      <c r="A131" s="329" t="s">
        <v>417</v>
      </c>
      <c r="D131" s="329">
        <v>285549</v>
      </c>
      <c r="F131" s="329">
        <v>221726</v>
      </c>
    </row>
    <row r="132" spans="1:6" x14ac:dyDescent="0.2">
      <c r="A132" s="329" t="s">
        <v>418</v>
      </c>
      <c r="D132" s="329">
        <v>488787</v>
      </c>
      <c r="F132" s="329">
        <v>539629</v>
      </c>
    </row>
    <row r="133" spans="1:6" x14ac:dyDescent="0.2">
      <c r="A133" s="329" t="s">
        <v>419</v>
      </c>
      <c r="D133" s="329">
        <v>415097</v>
      </c>
      <c r="F133" s="329">
        <v>466315</v>
      </c>
    </row>
    <row r="134" spans="1:6" x14ac:dyDescent="0.2">
      <c r="A134" s="329" t="s">
        <v>420</v>
      </c>
      <c r="D134" s="329">
        <v>2560908</v>
      </c>
      <c r="F134" s="329">
        <v>1995592</v>
      </c>
    </row>
    <row r="135" spans="1:6" x14ac:dyDescent="0.2">
      <c r="A135" s="329" t="s">
        <v>350</v>
      </c>
      <c r="D135" s="329">
        <v>486598</v>
      </c>
      <c r="F135" s="329">
        <v>422359</v>
      </c>
    </row>
    <row r="136" spans="1:6" x14ac:dyDescent="0.2">
      <c r="A136" s="329" t="s">
        <v>421</v>
      </c>
      <c r="D136" s="329">
        <v>813303</v>
      </c>
      <c r="F136" s="329">
        <v>728329</v>
      </c>
    </row>
    <row r="137" spans="1:6" x14ac:dyDescent="0.2">
      <c r="A137" s="329" t="s">
        <v>422</v>
      </c>
      <c r="D137" s="329">
        <v>2820537</v>
      </c>
      <c r="F137" s="329">
        <v>2394899</v>
      </c>
    </row>
    <row r="138" spans="1:6" x14ac:dyDescent="0.2">
      <c r="A138" s="329" t="s">
        <v>124</v>
      </c>
      <c r="D138" s="329">
        <v>200646</v>
      </c>
      <c r="F138" s="329">
        <v>148897</v>
      </c>
    </row>
    <row r="139" spans="1:6" x14ac:dyDescent="0.2">
      <c r="A139" s="329" t="s">
        <v>125</v>
      </c>
      <c r="D139" s="329">
        <v>467426</v>
      </c>
      <c r="F139" s="329">
        <v>259350</v>
      </c>
    </row>
    <row r="140" spans="1:6" x14ac:dyDescent="0.2">
      <c r="A140" s="329" t="s">
        <v>423</v>
      </c>
      <c r="D140" s="329">
        <v>130117</v>
      </c>
      <c r="F140" s="329">
        <v>44364</v>
      </c>
    </row>
    <row r="141" spans="1:6" x14ac:dyDescent="0.2">
      <c r="A141" s="329" t="s">
        <v>172</v>
      </c>
      <c r="D141" s="329">
        <v>93691</v>
      </c>
      <c r="F141" s="329">
        <v>139556</v>
      </c>
    </row>
    <row r="142" spans="1:6" x14ac:dyDescent="0.2">
      <c r="A142" s="329" t="s">
        <v>40</v>
      </c>
      <c r="D142" s="329">
        <v>1411405</v>
      </c>
      <c r="F142" s="329">
        <v>5006498</v>
      </c>
    </row>
    <row r="143" spans="1:6" x14ac:dyDescent="0.2">
      <c r="A143" s="329" t="s">
        <v>424</v>
      </c>
      <c r="D143" s="329">
        <v>164607</v>
      </c>
      <c r="F143" s="329">
        <v>1173671</v>
      </c>
    </row>
    <row r="144" spans="1:6" x14ac:dyDescent="0.2">
      <c r="A144" s="329" t="s">
        <v>425</v>
      </c>
      <c r="D144" s="329">
        <v>252872</v>
      </c>
      <c r="F144" s="329">
        <v>226094</v>
      </c>
    </row>
    <row r="145" spans="1:6" x14ac:dyDescent="0.2">
      <c r="A145" s="329" t="s">
        <v>426</v>
      </c>
      <c r="D145" s="329">
        <v>1356404</v>
      </c>
      <c r="F145" s="329">
        <v>1232459</v>
      </c>
    </row>
    <row r="146" spans="1:6" x14ac:dyDescent="0.2">
      <c r="A146" s="329" t="s">
        <v>427</v>
      </c>
      <c r="D146" s="329">
        <v>173174</v>
      </c>
      <c r="F146" s="329">
        <v>158806</v>
      </c>
    </row>
    <row r="148" spans="1:6" x14ac:dyDescent="0.2">
      <c r="A148" s="329" t="s">
        <v>3</v>
      </c>
      <c r="D148" s="329">
        <v>189560670</v>
      </c>
      <c r="F148" s="329">
        <v>169285840</v>
      </c>
    </row>
    <row r="150" spans="1:6" x14ac:dyDescent="0.2">
      <c r="A150" s="329" t="s">
        <v>523</v>
      </c>
    </row>
    <row r="152" spans="1:6" x14ac:dyDescent="0.2">
      <c r="A152" s="329" t="s">
        <v>428</v>
      </c>
      <c r="D152" s="329">
        <v>1312476</v>
      </c>
      <c r="F152" s="329">
        <v>1935606</v>
      </c>
    </row>
    <row r="153" spans="1:6" x14ac:dyDescent="0.2">
      <c r="A153" s="329" t="s">
        <v>429</v>
      </c>
      <c r="D153" s="329">
        <v>34621</v>
      </c>
      <c r="F153" s="329">
        <v>132603</v>
      </c>
    </row>
    <row r="154" spans="1:6" x14ac:dyDescent="0.2">
      <c r="A154" s="329" t="s">
        <v>454</v>
      </c>
      <c r="D154" s="329">
        <v>33481</v>
      </c>
      <c r="F154" s="329">
        <v>36083</v>
      </c>
    </row>
    <row r="155" spans="1:6" x14ac:dyDescent="0.2">
      <c r="A155" s="329" t="s">
        <v>430</v>
      </c>
      <c r="D155" s="329">
        <v>954722</v>
      </c>
      <c r="F155" s="329">
        <v>25679</v>
      </c>
    </row>
    <row r="156" spans="1:6" x14ac:dyDescent="0.2">
      <c r="A156" s="329" t="s">
        <v>455</v>
      </c>
      <c r="D156" s="329">
        <v>461633</v>
      </c>
      <c r="F156" s="329">
        <v>1281028</v>
      </c>
    </row>
    <row r="157" spans="1:6" x14ac:dyDescent="0.2">
      <c r="A157" s="329" t="s">
        <v>431</v>
      </c>
      <c r="D157" s="329">
        <v>190977</v>
      </c>
      <c r="F157" s="329">
        <v>183387</v>
      </c>
    </row>
    <row r="158" spans="1:6" x14ac:dyDescent="0.2">
      <c r="A158" s="329" t="s">
        <v>432</v>
      </c>
      <c r="D158" s="329">
        <v>78635</v>
      </c>
      <c r="F158" s="329">
        <v>93505</v>
      </c>
    </row>
    <row r="159" spans="1:6" x14ac:dyDescent="0.2">
      <c r="A159" s="329" t="s">
        <v>433</v>
      </c>
      <c r="D159" s="329">
        <v>10892</v>
      </c>
      <c r="F159" s="329">
        <v>1399</v>
      </c>
    </row>
    <row r="161" spans="1:6" x14ac:dyDescent="0.2">
      <c r="A161" s="329" t="s">
        <v>3</v>
      </c>
      <c r="D161" s="329">
        <v>3077437</v>
      </c>
      <c r="F161" s="329">
        <v>3689291</v>
      </c>
    </row>
    <row r="163" spans="1:6" x14ac:dyDescent="0.2">
      <c r="A163" s="329" t="s">
        <v>524</v>
      </c>
    </row>
    <row r="165" spans="1:6" x14ac:dyDescent="0.2">
      <c r="A165" s="328" t="s">
        <v>535</v>
      </c>
      <c r="D165" s="329">
        <v>1618650</v>
      </c>
      <c r="F165" s="329">
        <v>1521325</v>
      </c>
    </row>
    <row r="166" spans="1:6" x14ac:dyDescent="0.2">
      <c r="A166" s="329" t="s">
        <v>434</v>
      </c>
      <c r="D166" s="329">
        <v>210188</v>
      </c>
      <c r="F166" s="329">
        <v>1189780</v>
      </c>
    </row>
    <row r="168" spans="1:6" x14ac:dyDescent="0.2">
      <c r="A168" s="329" t="s">
        <v>3</v>
      </c>
      <c r="D168" s="329">
        <v>1828838</v>
      </c>
      <c r="F168" s="329">
        <v>2711105</v>
      </c>
    </row>
    <row r="170" spans="1:6" x14ac:dyDescent="0.2">
      <c r="A170" s="329" t="s">
        <v>525</v>
      </c>
    </row>
    <row r="172" spans="1:6" x14ac:dyDescent="0.2">
      <c r="A172" s="329" t="s">
        <v>435</v>
      </c>
      <c r="D172" s="329">
        <v>1277</v>
      </c>
      <c r="F172" s="329">
        <v>7861</v>
      </c>
    </row>
    <row r="173" spans="1:6" x14ac:dyDescent="0.2">
      <c r="A173" s="329" t="s">
        <v>233</v>
      </c>
      <c r="D173" s="329">
        <v>119785</v>
      </c>
      <c r="F173" s="329">
        <v>208163</v>
      </c>
    </row>
    <row r="175" spans="1:6" x14ac:dyDescent="0.2">
      <c r="A175" s="329" t="s">
        <v>3</v>
      </c>
      <c r="D175" s="329">
        <v>121062</v>
      </c>
      <c r="F175" s="329">
        <v>216024</v>
      </c>
    </row>
    <row r="177" spans="1:6" x14ac:dyDescent="0.2">
      <c r="A177" s="329" t="s">
        <v>526</v>
      </c>
    </row>
    <row r="179" spans="1:6" x14ac:dyDescent="0.2">
      <c r="A179" s="329" t="s">
        <v>436</v>
      </c>
      <c r="D179" s="329">
        <v>3309</v>
      </c>
      <c r="F179" s="329">
        <v>34511</v>
      </c>
    </row>
    <row r="180" spans="1:6" x14ac:dyDescent="0.2">
      <c r="A180" s="329" t="s">
        <v>437</v>
      </c>
      <c r="D180" s="329">
        <v>0</v>
      </c>
      <c r="F180" s="329">
        <v>16991</v>
      </c>
    </row>
    <row r="181" spans="1:6" x14ac:dyDescent="0.2">
      <c r="A181" s="329" t="s">
        <v>438</v>
      </c>
      <c r="D181" s="329">
        <v>32778</v>
      </c>
      <c r="F181" s="329">
        <v>38696</v>
      </c>
    </row>
    <row r="182" spans="1:6" x14ac:dyDescent="0.2">
      <c r="A182" s="329" t="s">
        <v>439</v>
      </c>
      <c r="D182" s="329">
        <v>623438</v>
      </c>
      <c r="F182" s="329">
        <v>654329</v>
      </c>
    </row>
    <row r="183" spans="1:6" x14ac:dyDescent="0.2">
      <c r="A183" s="329" t="s">
        <v>440</v>
      </c>
      <c r="D183" s="329">
        <v>86951</v>
      </c>
      <c r="F183" s="329">
        <v>43775</v>
      </c>
    </row>
    <row r="184" spans="1:6" x14ac:dyDescent="0.2">
      <c r="A184" s="329" t="s">
        <v>262</v>
      </c>
      <c r="D184" s="329">
        <v>1602</v>
      </c>
      <c r="F184" s="329">
        <v>0</v>
      </c>
    </row>
    <row r="185" spans="1:6" x14ac:dyDescent="0.2">
      <c r="A185" s="329" t="s">
        <v>441</v>
      </c>
      <c r="D185" s="329">
        <v>428356</v>
      </c>
      <c r="F185" s="329">
        <v>885273</v>
      </c>
    </row>
    <row r="186" spans="1:6" x14ac:dyDescent="0.2">
      <c r="A186" s="329" t="s">
        <v>442</v>
      </c>
      <c r="D186" s="329">
        <v>951</v>
      </c>
      <c r="F186" s="329">
        <v>1857</v>
      </c>
    </row>
    <row r="187" spans="1:6" x14ac:dyDescent="0.2">
      <c r="A187" s="329" t="s">
        <v>443</v>
      </c>
      <c r="D187" s="329">
        <v>446872</v>
      </c>
      <c r="F187" s="329">
        <v>438893</v>
      </c>
    </row>
    <row r="188" spans="1:6" x14ac:dyDescent="0.2">
      <c r="A188" s="329" t="s">
        <v>444</v>
      </c>
      <c r="D188" s="329">
        <v>1163</v>
      </c>
      <c r="F188" s="329">
        <v>1179</v>
      </c>
    </row>
    <row r="190" spans="1:6" x14ac:dyDescent="0.2">
      <c r="A190" s="329" t="s">
        <v>3</v>
      </c>
      <c r="D190" s="329">
        <v>1625421</v>
      </c>
      <c r="F190" s="329">
        <v>2115503</v>
      </c>
    </row>
    <row r="192" spans="1:6" x14ac:dyDescent="0.2">
      <c r="A192" s="329" t="s">
        <v>527</v>
      </c>
    </row>
    <row r="194" spans="1:6" x14ac:dyDescent="0.2">
      <c r="A194" s="329" t="s">
        <v>41</v>
      </c>
      <c r="D194" s="329">
        <v>797775</v>
      </c>
      <c r="F194" s="329">
        <v>779332</v>
      </c>
    </row>
    <row r="195" spans="1:6" x14ac:dyDescent="0.2">
      <c r="A195" s="329" t="s">
        <v>445</v>
      </c>
      <c r="D195" s="329">
        <v>591061</v>
      </c>
      <c r="F195" s="329">
        <v>1120715</v>
      </c>
    </row>
    <row r="196" spans="1:6" x14ac:dyDescent="0.2">
      <c r="A196" s="329" t="s">
        <v>431</v>
      </c>
      <c r="D196" s="329">
        <v>177904</v>
      </c>
      <c r="F196" s="329">
        <v>179870</v>
      </c>
    </row>
    <row r="197" spans="1:6" x14ac:dyDescent="0.2">
      <c r="A197" s="329" t="s">
        <v>446</v>
      </c>
      <c r="D197" s="329">
        <v>112781</v>
      </c>
      <c r="F197" s="329">
        <v>7345</v>
      </c>
    </row>
    <row r="199" spans="1:6" x14ac:dyDescent="0.2">
      <c r="A199" s="329" t="s">
        <v>3</v>
      </c>
      <c r="D199" s="329">
        <v>1679521</v>
      </c>
      <c r="F199" s="329">
        <v>2087262</v>
      </c>
    </row>
    <row r="202" spans="1:6" x14ac:dyDescent="0.2">
      <c r="A202" s="329" t="s">
        <v>528</v>
      </c>
    </row>
    <row r="204" spans="1:6" x14ac:dyDescent="0.2">
      <c r="A204" s="329" t="s">
        <v>491</v>
      </c>
      <c r="D204" s="329">
        <v>148196</v>
      </c>
      <c r="F204" s="329">
        <v>209613</v>
      </c>
    </row>
    <row r="205" spans="1:6" x14ac:dyDescent="0.2">
      <c r="A205" s="329" t="s">
        <v>447</v>
      </c>
      <c r="D205" s="329">
        <v>1403538</v>
      </c>
      <c r="F205" s="329">
        <v>808083</v>
      </c>
    </row>
    <row r="206" spans="1:6" x14ac:dyDescent="0.2">
      <c r="A206" s="329" t="s">
        <v>448</v>
      </c>
      <c r="D206" s="329">
        <v>188412</v>
      </c>
      <c r="F206" s="329">
        <v>134741</v>
      </c>
    </row>
    <row r="207" spans="1:6" x14ac:dyDescent="0.2">
      <c r="A207" s="329" t="s">
        <v>449</v>
      </c>
      <c r="D207" s="329">
        <v>810407</v>
      </c>
      <c r="F207" s="329">
        <v>712072</v>
      </c>
    </row>
    <row r="208" spans="1:6" x14ac:dyDescent="0.2">
      <c r="A208" s="329" t="s">
        <v>450</v>
      </c>
      <c r="D208" s="329">
        <v>903078</v>
      </c>
      <c r="F208" s="329">
        <v>-411350</v>
      </c>
    </row>
    <row r="209" spans="1:6" x14ac:dyDescent="0.2">
      <c r="A209" s="329" t="s">
        <v>441</v>
      </c>
      <c r="D209" s="329">
        <v>428356</v>
      </c>
      <c r="F209" s="329">
        <v>885273</v>
      </c>
    </row>
    <row r="210" spans="1:6" x14ac:dyDescent="0.2">
      <c r="A210" s="329" t="s">
        <v>234</v>
      </c>
      <c r="D210" s="329">
        <v>75756</v>
      </c>
      <c r="F210" s="329">
        <v>29137</v>
      </c>
    </row>
    <row r="212" spans="1:6" x14ac:dyDescent="0.2">
      <c r="A212" s="329" t="s">
        <v>3</v>
      </c>
      <c r="D212" s="329">
        <v>3957742</v>
      </c>
      <c r="F212" s="329">
        <v>2367568</v>
      </c>
    </row>
  </sheetData>
  <phoneticPr fontId="9" type="noConversion"/>
  <pageMargins left="0.75" right="0.75" top="1" bottom="1" header="0" footer="0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8">
    <tabColor indexed="10"/>
  </sheetPr>
  <dimension ref="B1:J657"/>
  <sheetViews>
    <sheetView workbookViewId="0">
      <selection activeCell="E94" sqref="E94"/>
    </sheetView>
  </sheetViews>
  <sheetFormatPr baseColWidth="10" defaultColWidth="11.42578125" defaultRowHeight="12.75" x14ac:dyDescent="0.2"/>
  <cols>
    <col min="1" max="1" width="1.5703125" style="101" customWidth="1"/>
    <col min="2" max="2" width="27.42578125" style="101" customWidth="1"/>
    <col min="3" max="3" width="17.28515625" style="101" bestFit="1" customWidth="1"/>
    <col min="4" max="4" width="18.85546875" style="101" customWidth="1"/>
    <col min="5" max="5" width="17.5703125" style="195" customWidth="1"/>
    <col min="6" max="6" width="12.7109375" style="195" bestFit="1" customWidth="1"/>
    <col min="7" max="7" width="12.140625" style="195" bestFit="1" customWidth="1"/>
    <col min="8" max="8" width="8.42578125" style="101" bestFit="1" customWidth="1"/>
    <col min="9" max="9" width="9.42578125" style="101" customWidth="1"/>
    <col min="10" max="10" width="13.5703125" style="101" customWidth="1"/>
    <col min="11" max="16384" width="11.42578125" style="101"/>
  </cols>
  <sheetData>
    <row r="1" spans="2:10" ht="13.5" thickBot="1" x14ac:dyDescent="0.25">
      <c r="B1" s="477" t="s">
        <v>238</v>
      </c>
      <c r="C1" s="477"/>
      <c r="D1" s="477"/>
      <c r="E1" s="477"/>
      <c r="F1" s="477"/>
      <c r="G1" s="477"/>
      <c r="H1" s="477"/>
      <c r="I1" s="477"/>
      <c r="J1" s="477"/>
    </row>
    <row r="2" spans="2:10" ht="14.25" thickTop="1" thickBot="1" x14ac:dyDescent="0.25">
      <c r="B2" s="477" t="s">
        <v>239</v>
      </c>
      <c r="C2" s="477"/>
      <c r="D2" s="477"/>
      <c r="E2" s="477"/>
      <c r="F2" s="477"/>
      <c r="G2" s="477"/>
      <c r="H2" s="477"/>
      <c r="I2" s="477"/>
      <c r="J2" s="477"/>
    </row>
    <row r="3" spans="2:10" ht="12.75" customHeight="1" thickTop="1" x14ac:dyDescent="0.2">
      <c r="B3" s="183" t="s">
        <v>241</v>
      </c>
      <c r="C3" s="184"/>
      <c r="D3" s="184"/>
      <c r="E3" s="185"/>
      <c r="F3" s="185"/>
      <c r="G3" s="185"/>
      <c r="H3" s="184"/>
      <c r="I3" s="184"/>
      <c r="J3" s="184"/>
    </row>
    <row r="4" spans="2:10" ht="13.5" thickBot="1" x14ac:dyDescent="0.25">
      <c r="B4" s="478" t="s">
        <v>248</v>
      </c>
      <c r="C4" s="478"/>
      <c r="D4" s="478"/>
      <c r="E4" s="478"/>
      <c r="F4" s="478"/>
      <c r="G4" s="478"/>
      <c r="H4" s="478"/>
      <c r="I4" s="478"/>
      <c r="J4" s="478"/>
    </row>
    <row r="5" spans="2:10" ht="14.25" thickTop="1" thickBot="1" x14ac:dyDescent="0.25">
      <c r="C5" s="125"/>
      <c r="D5" s="125"/>
      <c r="E5" s="126"/>
      <c r="F5" s="126"/>
      <c r="G5" s="126"/>
      <c r="H5" s="102"/>
      <c r="I5" s="127"/>
      <c r="J5" s="102"/>
    </row>
    <row r="6" spans="2:10" ht="54.95" customHeight="1" thickTop="1" thickBot="1" x14ac:dyDescent="0.25">
      <c r="B6" s="186" t="s">
        <v>126</v>
      </c>
      <c r="C6" s="186" t="s">
        <v>127</v>
      </c>
      <c r="D6" s="187" t="s">
        <v>189</v>
      </c>
      <c r="E6" s="188" t="s">
        <v>174</v>
      </c>
      <c r="F6" s="188" t="s">
        <v>206</v>
      </c>
      <c r="G6" s="188" t="s">
        <v>207</v>
      </c>
      <c r="H6" s="189" t="s">
        <v>208</v>
      </c>
      <c r="I6" s="187" t="s">
        <v>137</v>
      </c>
      <c r="J6" s="187" t="s">
        <v>209</v>
      </c>
    </row>
    <row r="7" spans="2:10" ht="15.95" customHeight="1" thickTop="1" x14ac:dyDescent="0.2">
      <c r="B7" s="479" t="s">
        <v>132</v>
      </c>
      <c r="C7" s="480"/>
      <c r="D7" s="102"/>
      <c r="E7" s="128"/>
      <c r="F7" s="128"/>
      <c r="G7" s="128"/>
      <c r="H7" s="102"/>
      <c r="I7" s="102"/>
      <c r="J7" s="129"/>
    </row>
    <row r="8" spans="2:10" ht="15" customHeight="1" x14ac:dyDescent="0.2">
      <c r="B8" s="152" t="s">
        <v>146</v>
      </c>
      <c r="C8" s="152"/>
      <c r="D8" s="152" t="s">
        <v>139</v>
      </c>
      <c r="E8" s="155">
        <v>2169438.2880000002</v>
      </c>
      <c r="F8" s="155">
        <v>0</v>
      </c>
      <c r="G8" s="190">
        <f t="shared" ref="G8:G14" si="0">E8-F8</f>
        <v>2169438.2880000002</v>
      </c>
      <c r="H8" s="172" t="s">
        <v>128</v>
      </c>
      <c r="I8" s="156">
        <v>6.2399999999999997E-2</v>
      </c>
      <c r="J8" s="172"/>
    </row>
    <row r="9" spans="2:10" ht="15" customHeight="1" x14ac:dyDescent="0.2">
      <c r="B9" s="152" t="s">
        <v>146</v>
      </c>
      <c r="C9" s="152"/>
      <c r="D9" s="152" t="s">
        <v>139</v>
      </c>
      <c r="E9" s="155">
        <v>7740857.4469999997</v>
      </c>
      <c r="F9" s="155">
        <v>0</v>
      </c>
      <c r="G9" s="190">
        <f t="shared" si="0"/>
        <v>7740857.4469999997</v>
      </c>
      <c r="H9" s="172" t="s">
        <v>128</v>
      </c>
      <c r="I9" s="156">
        <v>6.2399999999999997E-2</v>
      </c>
      <c r="J9" s="172"/>
    </row>
    <row r="10" spans="2:10" ht="15" customHeight="1" x14ac:dyDescent="0.2">
      <c r="B10" s="152" t="s">
        <v>146</v>
      </c>
      <c r="C10" s="152"/>
      <c r="D10" s="152" t="s">
        <v>210</v>
      </c>
      <c r="E10" s="155">
        <v>5095281.324</v>
      </c>
      <c r="F10" s="155">
        <v>0</v>
      </c>
      <c r="G10" s="190">
        <f t="shared" si="0"/>
        <v>5095281.324</v>
      </c>
      <c r="H10" s="172" t="s">
        <v>128</v>
      </c>
      <c r="I10" s="156">
        <v>5.9700000000000003E-2</v>
      </c>
      <c r="J10" s="172"/>
    </row>
    <row r="11" spans="2:10" ht="15" customHeight="1" x14ac:dyDescent="0.2">
      <c r="B11" s="152" t="s">
        <v>146</v>
      </c>
      <c r="C11" s="152"/>
      <c r="D11" s="152" t="s">
        <v>140</v>
      </c>
      <c r="E11" s="155">
        <v>8600630.9004900008</v>
      </c>
      <c r="F11" s="155">
        <v>0</v>
      </c>
      <c r="G11" s="190">
        <f t="shared" si="0"/>
        <v>8600630.9004900008</v>
      </c>
      <c r="H11" s="172" t="s">
        <v>128</v>
      </c>
      <c r="I11" s="156">
        <v>5.8500000000000003E-2</v>
      </c>
      <c r="J11" s="172"/>
    </row>
    <row r="12" spans="2:10" ht="15" customHeight="1" x14ac:dyDescent="0.2">
      <c r="B12" s="152" t="s">
        <v>145</v>
      </c>
      <c r="C12" s="152"/>
      <c r="D12" s="152" t="s">
        <v>141</v>
      </c>
      <c r="E12" s="155">
        <v>967.64499999999998</v>
      </c>
      <c r="F12" s="155">
        <v>0</v>
      </c>
      <c r="G12" s="190">
        <f t="shared" si="0"/>
        <v>967.64499999999998</v>
      </c>
      <c r="H12" s="172" t="s">
        <v>128</v>
      </c>
      <c r="I12" s="156">
        <v>6.2700000000000006E-2</v>
      </c>
      <c r="J12" s="172"/>
    </row>
    <row r="13" spans="2:10" ht="15" customHeight="1" x14ac:dyDescent="0.2">
      <c r="B13" s="152" t="s">
        <v>145</v>
      </c>
      <c r="C13" s="152"/>
      <c r="D13" s="152" t="s">
        <v>211</v>
      </c>
      <c r="E13" s="155">
        <v>7217311.7681700001</v>
      </c>
      <c r="F13" s="155">
        <v>0</v>
      </c>
      <c r="G13" s="190">
        <f t="shared" si="0"/>
        <v>7217311.7681700001</v>
      </c>
      <c r="H13" s="172" t="s">
        <v>128</v>
      </c>
      <c r="I13" s="156">
        <v>5.5800000000000002E-2</v>
      </c>
      <c r="J13" s="172"/>
    </row>
    <row r="14" spans="2:10" ht="15" customHeight="1" x14ac:dyDescent="0.2">
      <c r="B14" s="152" t="s">
        <v>145</v>
      </c>
      <c r="C14" s="152"/>
      <c r="D14" s="152" t="s">
        <v>150</v>
      </c>
      <c r="E14" s="154">
        <v>692286.22079000005</v>
      </c>
      <c r="F14" s="155">
        <v>0</v>
      </c>
      <c r="G14" s="155">
        <f t="shared" si="0"/>
        <v>692286.22079000005</v>
      </c>
      <c r="H14" s="172"/>
      <c r="I14" s="156"/>
      <c r="J14" s="172"/>
    </row>
    <row r="15" spans="2:10" ht="15" customHeight="1" x14ac:dyDescent="0.2">
      <c r="B15" s="152" t="s">
        <v>185</v>
      </c>
      <c r="C15" s="152" t="s">
        <v>150</v>
      </c>
      <c r="D15" s="152" t="s">
        <v>141</v>
      </c>
      <c r="E15" s="154">
        <v>486483.36459999997</v>
      </c>
      <c r="F15" s="155">
        <f>E15</f>
        <v>486483.36459999997</v>
      </c>
      <c r="G15" s="155">
        <f t="shared" ref="G15:G27" si="1">E15-F15</f>
        <v>0</v>
      </c>
      <c r="H15" s="172"/>
      <c r="I15" s="156"/>
      <c r="J15" s="172"/>
    </row>
    <row r="16" spans="2:10" ht="15" customHeight="1" x14ac:dyDescent="0.2">
      <c r="B16" s="152" t="s">
        <v>185</v>
      </c>
      <c r="C16" s="152" t="s">
        <v>150</v>
      </c>
      <c r="D16" s="152" t="s">
        <v>141</v>
      </c>
      <c r="E16" s="154">
        <f>2009621.6816-19893.168</f>
        <v>1989728.5135999999</v>
      </c>
      <c r="F16" s="155">
        <f>E16</f>
        <v>1989728.5135999999</v>
      </c>
      <c r="G16" s="155">
        <f t="shared" si="1"/>
        <v>0</v>
      </c>
      <c r="H16" s="172"/>
      <c r="I16" s="156"/>
      <c r="J16" s="172"/>
    </row>
    <row r="17" spans="2:10" ht="15" customHeight="1" x14ac:dyDescent="0.2">
      <c r="B17" s="152" t="s">
        <v>196</v>
      </c>
      <c r="C17" s="152" t="s">
        <v>150</v>
      </c>
      <c r="D17" s="152" t="s">
        <v>150</v>
      </c>
      <c r="E17" s="154">
        <v>1024481.80738</v>
      </c>
      <c r="F17" s="155">
        <f>E17</f>
        <v>1024481.80738</v>
      </c>
      <c r="G17" s="155">
        <f t="shared" si="1"/>
        <v>0</v>
      </c>
      <c r="H17" s="172"/>
      <c r="I17" s="156"/>
      <c r="J17" s="172"/>
    </row>
    <row r="18" spans="2:10" ht="15" customHeight="1" x14ac:dyDescent="0.2">
      <c r="B18" s="152" t="s">
        <v>196</v>
      </c>
      <c r="C18" s="152" t="s">
        <v>150</v>
      </c>
      <c r="D18" s="152" t="s">
        <v>150</v>
      </c>
      <c r="E18" s="154">
        <v>138380.78056000001</v>
      </c>
      <c r="F18" s="155">
        <f>E18</f>
        <v>138380.78056000001</v>
      </c>
      <c r="G18" s="155">
        <f t="shared" si="1"/>
        <v>0</v>
      </c>
      <c r="H18" s="172"/>
      <c r="I18" s="156"/>
      <c r="J18" s="172"/>
    </row>
    <row r="19" spans="2:10" ht="15" customHeight="1" x14ac:dyDescent="0.2">
      <c r="B19" s="152" t="s">
        <v>179</v>
      </c>
      <c r="C19" s="152" t="s">
        <v>212</v>
      </c>
      <c r="D19" s="152" t="s">
        <v>211</v>
      </c>
      <c r="E19" s="155">
        <v>1003976.4840000001</v>
      </c>
      <c r="F19" s="155"/>
      <c r="G19" s="155">
        <f t="shared" si="1"/>
        <v>1003976.4840000001</v>
      </c>
      <c r="H19" s="172">
        <v>90</v>
      </c>
      <c r="I19" s="156">
        <v>5.0500000000000003E-2</v>
      </c>
      <c r="J19" s="191">
        <v>41394</v>
      </c>
    </row>
    <row r="20" spans="2:10" ht="15" customHeight="1" x14ac:dyDescent="0.2">
      <c r="B20" s="152" t="s">
        <v>179</v>
      </c>
      <c r="C20" s="152" t="s">
        <v>213</v>
      </c>
      <c r="D20" s="152" t="s">
        <v>213</v>
      </c>
      <c r="E20" s="154">
        <f>'[1]calculos CDT'!N7</f>
        <v>502085.65062222222</v>
      </c>
      <c r="F20" s="155"/>
      <c r="G20" s="155">
        <f t="shared" si="1"/>
        <v>502085.65062222222</v>
      </c>
      <c r="H20" s="172">
        <v>90</v>
      </c>
      <c r="I20" s="156">
        <v>5.5500000000000001E-2</v>
      </c>
      <c r="J20" s="191">
        <v>41394</v>
      </c>
    </row>
    <row r="21" spans="2:10" ht="15" customHeight="1" x14ac:dyDescent="0.2">
      <c r="B21" s="152" t="s">
        <v>179</v>
      </c>
      <c r="C21" s="152" t="s">
        <v>213</v>
      </c>
      <c r="D21" s="152" t="s">
        <v>213</v>
      </c>
      <c r="E21" s="154">
        <f>'[1]calculos CDT'!N6</f>
        <v>3021641.7664000001</v>
      </c>
      <c r="F21" s="155"/>
      <c r="G21" s="155">
        <f t="shared" si="1"/>
        <v>3021641.7664000001</v>
      </c>
      <c r="H21" s="172">
        <v>90</v>
      </c>
      <c r="I21" s="156">
        <v>5.6000000000000001E-2</v>
      </c>
      <c r="J21" s="191">
        <v>41374</v>
      </c>
    </row>
    <row r="22" spans="2:10" ht="15" customHeight="1" x14ac:dyDescent="0.2">
      <c r="B22" s="152" t="s">
        <v>179</v>
      </c>
      <c r="C22" s="152" t="s">
        <v>214</v>
      </c>
      <c r="D22" s="152" t="s">
        <v>140</v>
      </c>
      <c r="E22" s="154">
        <f>'[1]calculos CDT'!N3-'[1]calculos CDT'!L3</f>
        <v>1005756.1055769231</v>
      </c>
      <c r="F22" s="155">
        <v>0</v>
      </c>
      <c r="G22" s="155">
        <f t="shared" si="1"/>
        <v>1005756.1055769231</v>
      </c>
      <c r="H22" s="172">
        <v>130</v>
      </c>
      <c r="I22" s="156">
        <v>5.1999999999999998E-2</v>
      </c>
      <c r="J22" s="191">
        <v>41425</v>
      </c>
    </row>
    <row r="23" spans="2:10" ht="15" customHeight="1" x14ac:dyDescent="0.2">
      <c r="B23" s="152" t="s">
        <v>179</v>
      </c>
      <c r="C23" s="152" t="s">
        <v>197</v>
      </c>
      <c r="D23" s="152" t="s">
        <v>140</v>
      </c>
      <c r="E23" s="154">
        <f>'[1]calculos CDT'!N4</f>
        <v>1006377.2647563026</v>
      </c>
      <c r="F23" s="155"/>
      <c r="G23" s="155">
        <f t="shared" si="1"/>
        <v>1006377.2647563026</v>
      </c>
      <c r="H23" s="172">
        <v>119</v>
      </c>
      <c r="I23" s="156">
        <v>5.3499999999999999E-2</v>
      </c>
      <c r="J23" s="191">
        <v>41414</v>
      </c>
    </row>
    <row r="24" spans="2:10" ht="15" customHeight="1" x14ac:dyDescent="0.2">
      <c r="B24" s="152" t="s">
        <v>179</v>
      </c>
      <c r="C24" s="152" t="s">
        <v>214</v>
      </c>
      <c r="D24" s="152" t="s">
        <v>215</v>
      </c>
      <c r="E24" s="154">
        <f>'[1]calculos CDT'!N5</f>
        <v>1911442.0068833334</v>
      </c>
      <c r="F24" s="155"/>
      <c r="G24" s="155">
        <f t="shared" si="1"/>
        <v>1911442.0068833334</v>
      </c>
      <c r="H24" s="172">
        <v>120</v>
      </c>
      <c r="I24" s="156">
        <v>5.1999999999999998E-2</v>
      </c>
      <c r="J24" s="191">
        <v>41410</v>
      </c>
    </row>
    <row r="25" spans="2:10" x14ac:dyDescent="0.2">
      <c r="B25" s="152" t="s">
        <v>179</v>
      </c>
      <c r="C25" s="152" t="s">
        <v>249</v>
      </c>
      <c r="D25" s="152" t="s">
        <v>211</v>
      </c>
      <c r="E25" s="154">
        <v>2081576.835</v>
      </c>
      <c r="F25" s="155">
        <v>0</v>
      </c>
      <c r="G25" s="155">
        <f t="shared" si="1"/>
        <v>2081576.835</v>
      </c>
      <c r="H25" s="172">
        <v>365</v>
      </c>
      <c r="I25" s="156">
        <v>6.5500000000000003E-2</v>
      </c>
      <c r="J25" s="191">
        <v>41468</v>
      </c>
    </row>
    <row r="26" spans="2:10" ht="15" customHeight="1" x14ac:dyDescent="0.2">
      <c r="B26" s="152" t="s">
        <v>179</v>
      </c>
      <c r="C26" s="152" t="s">
        <v>197</v>
      </c>
      <c r="D26" s="152" t="s">
        <v>211</v>
      </c>
      <c r="E26" s="155">
        <v>2086094.1</v>
      </c>
      <c r="F26" s="155">
        <v>0</v>
      </c>
      <c r="G26" s="155">
        <f t="shared" si="1"/>
        <v>2086094.1</v>
      </c>
      <c r="H26" s="172">
        <v>365</v>
      </c>
      <c r="I26" s="156">
        <v>6.6000000000000003E-2</v>
      </c>
      <c r="J26" s="191">
        <v>41468</v>
      </c>
    </row>
    <row r="27" spans="2:10" ht="15" customHeight="1" x14ac:dyDescent="0.2">
      <c r="B27" s="152" t="s">
        <v>179</v>
      </c>
      <c r="C27" s="152" t="s">
        <v>216</v>
      </c>
      <c r="D27" s="152" t="s">
        <v>211</v>
      </c>
      <c r="E27" s="155">
        <v>32082.965540000001</v>
      </c>
      <c r="F27" s="155">
        <v>0</v>
      </c>
      <c r="G27" s="155">
        <f t="shared" si="1"/>
        <v>32082.965540000001</v>
      </c>
      <c r="H27" s="172">
        <v>276</v>
      </c>
      <c r="I27" s="156">
        <v>5.6099999999999997E-2</v>
      </c>
      <c r="J27" s="191">
        <v>41568</v>
      </c>
    </row>
    <row r="28" spans="2:10" ht="15.95" customHeight="1" x14ac:dyDescent="0.2">
      <c r="B28" s="157" t="s">
        <v>129</v>
      </c>
      <c r="C28" s="473"/>
      <c r="D28" s="473"/>
      <c r="E28" s="158">
        <f>SUM(E8:E27)</f>
        <v>47806881.238368772</v>
      </c>
      <c r="F28" s="158">
        <f>SUM(F8:F27)</f>
        <v>3639074.4661400001</v>
      </c>
      <c r="G28" s="158">
        <f>SUM(G8:G27)</f>
        <v>44167806.772228777</v>
      </c>
      <c r="H28" s="175"/>
      <c r="I28" s="175"/>
      <c r="J28" s="170"/>
    </row>
    <row r="29" spans="2:10" ht="15.95" customHeight="1" x14ac:dyDescent="0.2">
      <c r="B29" s="174" t="s">
        <v>130</v>
      </c>
      <c r="C29" s="466"/>
      <c r="D29" s="466"/>
      <c r="E29" s="131">
        <v>0</v>
      </c>
      <c r="F29" s="131">
        <v>0</v>
      </c>
      <c r="G29" s="131">
        <v>0</v>
      </c>
      <c r="H29" s="466"/>
      <c r="I29" s="466"/>
      <c r="J29" s="466"/>
    </row>
    <row r="30" spans="2:10" ht="15.95" customHeight="1" x14ac:dyDescent="0.2">
      <c r="B30" s="192" t="s">
        <v>133</v>
      </c>
      <c r="C30" s="469"/>
      <c r="D30" s="469"/>
      <c r="E30" s="193">
        <f>+E29+E28</f>
        <v>47806881.238368772</v>
      </c>
      <c r="F30" s="193">
        <f>F28+F29</f>
        <v>3639074.4661400001</v>
      </c>
      <c r="G30" s="193">
        <f>G28+G29</f>
        <v>44167806.772228777</v>
      </c>
      <c r="H30" s="466"/>
      <c r="I30" s="466"/>
      <c r="J30" s="466"/>
    </row>
    <row r="31" spans="2:10" x14ac:dyDescent="0.2">
      <c r="B31" s="103"/>
      <c r="C31" s="103"/>
      <c r="D31" s="123"/>
      <c r="E31" s="132"/>
      <c r="F31" s="132"/>
      <c r="G31" s="132"/>
      <c r="H31" s="123"/>
      <c r="I31" s="133"/>
      <c r="J31" s="134"/>
    </row>
    <row r="32" spans="2:10" ht="15" customHeight="1" x14ac:dyDescent="0.2">
      <c r="B32" s="470" t="s">
        <v>182</v>
      </c>
      <c r="C32" s="470"/>
      <c r="D32" s="471"/>
      <c r="E32" s="471"/>
      <c r="F32" s="471"/>
      <c r="G32" s="471"/>
      <c r="H32" s="471"/>
      <c r="I32" s="471"/>
      <c r="J32" s="471"/>
    </row>
    <row r="33" spans="2:10" ht="15" customHeight="1" x14ac:dyDescent="0.2">
      <c r="B33" s="173" t="s">
        <v>145</v>
      </c>
      <c r="C33" s="152" t="s">
        <v>205</v>
      </c>
      <c r="D33" s="152" t="s">
        <v>150</v>
      </c>
      <c r="E33" s="155">
        <v>318687.91668000002</v>
      </c>
      <c r="F33" s="155">
        <v>0</v>
      </c>
      <c r="G33" s="155">
        <f>E33-F33</f>
        <v>318687.91668000002</v>
      </c>
      <c r="H33" s="172"/>
      <c r="I33" s="156"/>
      <c r="J33" s="172"/>
    </row>
    <row r="34" spans="2:10" ht="15" customHeight="1" x14ac:dyDescent="0.2">
      <c r="B34" s="152" t="s">
        <v>185</v>
      </c>
      <c r="C34" s="152" t="s">
        <v>150</v>
      </c>
      <c r="D34" s="152" t="s">
        <v>150</v>
      </c>
      <c r="E34" s="155">
        <v>957950.32099000004</v>
      </c>
      <c r="F34" s="155">
        <f>E34</f>
        <v>957950.32099000004</v>
      </c>
      <c r="G34" s="155">
        <f>E34-F34</f>
        <v>0</v>
      </c>
      <c r="H34" s="172">
        <v>180</v>
      </c>
      <c r="I34" s="156">
        <v>6.8000000000000005E-2</v>
      </c>
      <c r="J34" s="172"/>
    </row>
    <row r="35" spans="2:10" ht="15" customHeight="1" x14ac:dyDescent="0.2">
      <c r="B35" s="157" t="s">
        <v>129</v>
      </c>
      <c r="C35" s="472"/>
      <c r="D35" s="472"/>
      <c r="E35" s="158">
        <f>E33+E34</f>
        <v>1276638.2376700002</v>
      </c>
      <c r="F35" s="158">
        <f>F34</f>
        <v>957950.32099000004</v>
      </c>
      <c r="G35" s="158">
        <f>E35-F35</f>
        <v>318687.91668000014</v>
      </c>
      <c r="H35" s="473"/>
      <c r="I35" s="473"/>
      <c r="J35" s="473"/>
    </row>
    <row r="36" spans="2:10" ht="15.95" customHeight="1" x14ac:dyDescent="0.2">
      <c r="B36" s="174" t="s">
        <v>130</v>
      </c>
      <c r="C36" s="466"/>
      <c r="D36" s="466"/>
      <c r="E36" s="131">
        <v>0</v>
      </c>
      <c r="F36" s="131">
        <v>0</v>
      </c>
      <c r="G36" s="130">
        <f>E36-F36</f>
        <v>0</v>
      </c>
      <c r="H36" s="466"/>
      <c r="I36" s="466"/>
      <c r="J36" s="466"/>
    </row>
    <row r="37" spans="2:10" ht="15.95" customHeight="1" x14ac:dyDescent="0.2">
      <c r="B37" s="192" t="s">
        <v>169</v>
      </c>
      <c r="C37" s="468"/>
      <c r="D37" s="468"/>
      <c r="E37" s="193">
        <f>+E36+E35</f>
        <v>1276638.2376700002</v>
      </c>
      <c r="F37" s="193">
        <f>+F36+F35</f>
        <v>957950.32099000004</v>
      </c>
      <c r="G37" s="193">
        <f>E37-F37</f>
        <v>318687.91668000014</v>
      </c>
      <c r="H37" s="466"/>
      <c r="I37" s="466"/>
      <c r="J37" s="466"/>
    </row>
    <row r="38" spans="2:10" ht="15.95" customHeight="1" x14ac:dyDescent="0.2">
      <c r="B38" s="171"/>
      <c r="C38" s="135"/>
      <c r="D38" s="135"/>
      <c r="E38" s="132"/>
      <c r="F38" s="132"/>
      <c r="G38" s="132"/>
      <c r="H38" s="136"/>
      <c r="I38" s="136"/>
      <c r="J38" s="134"/>
    </row>
    <row r="39" spans="2:10" ht="15.95" customHeight="1" x14ac:dyDescent="0.2">
      <c r="B39" s="474" t="s">
        <v>131</v>
      </c>
      <c r="C39" s="475"/>
      <c r="D39" s="475"/>
      <c r="E39" s="475"/>
      <c r="F39" s="475"/>
      <c r="G39" s="475"/>
      <c r="H39" s="475"/>
      <c r="I39" s="475"/>
      <c r="J39" s="475"/>
    </row>
    <row r="40" spans="2:10" ht="15" customHeight="1" x14ac:dyDescent="0.2">
      <c r="B40" s="152" t="s">
        <v>180</v>
      </c>
      <c r="C40" s="152"/>
      <c r="D40" s="176" t="s">
        <v>138</v>
      </c>
      <c r="E40" s="155">
        <v>723092.75399999996</v>
      </c>
      <c r="F40" s="155">
        <v>0</v>
      </c>
      <c r="G40" s="155">
        <v>723092.75399999996</v>
      </c>
      <c r="H40" s="172" t="s">
        <v>128</v>
      </c>
      <c r="I40" s="156">
        <v>5.5800000000000002E-2</v>
      </c>
      <c r="J40" s="172"/>
    </row>
    <row r="41" spans="2:10" ht="15" customHeight="1" x14ac:dyDescent="0.2">
      <c r="B41" s="152" t="s">
        <v>217</v>
      </c>
      <c r="C41" s="152"/>
      <c r="D41" s="152" t="s">
        <v>139</v>
      </c>
      <c r="E41" s="154">
        <v>239493.003</v>
      </c>
      <c r="F41" s="155">
        <v>0</v>
      </c>
      <c r="G41" s="154">
        <f>+E41</f>
        <v>239493.003</v>
      </c>
      <c r="H41" s="172" t="s">
        <v>128</v>
      </c>
      <c r="I41" s="156">
        <v>6.2399999999999997E-2</v>
      </c>
      <c r="J41" s="172"/>
    </row>
    <row r="42" spans="2:10" ht="15" customHeight="1" x14ac:dyDescent="0.2">
      <c r="B42" s="152" t="s">
        <v>146</v>
      </c>
      <c r="C42" s="152" t="s">
        <v>205</v>
      </c>
      <c r="D42" s="152" t="s">
        <v>150</v>
      </c>
      <c r="E42" s="155">
        <v>942.15380000000005</v>
      </c>
      <c r="F42" s="155">
        <v>0</v>
      </c>
      <c r="G42" s="155">
        <f>E42-F42</f>
        <v>942.15380000000005</v>
      </c>
      <c r="H42" s="172"/>
      <c r="I42" s="156"/>
      <c r="J42" s="172"/>
    </row>
    <row r="43" spans="2:10" ht="15" customHeight="1" x14ac:dyDescent="0.2">
      <c r="B43" s="152" t="s">
        <v>145</v>
      </c>
      <c r="C43" s="152" t="s">
        <v>205</v>
      </c>
      <c r="D43" s="152" t="s">
        <v>150</v>
      </c>
      <c r="E43" s="155">
        <v>5141.5009899999995</v>
      </c>
      <c r="F43" s="155">
        <v>0</v>
      </c>
      <c r="G43" s="155">
        <f>E43-F43</f>
        <v>5141.5009899999995</v>
      </c>
      <c r="H43" s="172"/>
      <c r="I43" s="156"/>
      <c r="J43" s="172"/>
    </row>
    <row r="44" spans="2:10" ht="15.95" customHeight="1" x14ac:dyDescent="0.2">
      <c r="B44" s="157" t="s">
        <v>129</v>
      </c>
      <c r="C44" s="476"/>
      <c r="D44" s="476"/>
      <c r="E44" s="158">
        <f>+E40+E41+E42+E43</f>
        <v>968669.41178999993</v>
      </c>
      <c r="F44" s="158">
        <f>SUM(F40:F43)</f>
        <v>0</v>
      </c>
      <c r="G44" s="158">
        <f>E44-F44</f>
        <v>968669.41178999993</v>
      </c>
      <c r="H44" s="466"/>
      <c r="I44" s="466"/>
      <c r="J44" s="466"/>
    </row>
    <row r="45" spans="2:10" ht="15.95" customHeight="1" x14ac:dyDescent="0.2">
      <c r="B45" s="174" t="s">
        <v>130</v>
      </c>
      <c r="C45" s="483"/>
      <c r="D45" s="483"/>
      <c r="E45" s="131">
        <v>0</v>
      </c>
      <c r="F45" s="131">
        <v>0</v>
      </c>
      <c r="G45" s="130">
        <f>E45-F45</f>
        <v>0</v>
      </c>
      <c r="H45" s="466"/>
      <c r="I45" s="466"/>
      <c r="J45" s="466"/>
    </row>
    <row r="46" spans="2:10" ht="15.95" customHeight="1" x14ac:dyDescent="0.2">
      <c r="B46" s="192" t="s">
        <v>186</v>
      </c>
      <c r="C46" s="468"/>
      <c r="D46" s="468"/>
      <c r="E46" s="193">
        <f>+E45+E44</f>
        <v>968669.41178999993</v>
      </c>
      <c r="F46" s="193">
        <f>+F45+F44</f>
        <v>0</v>
      </c>
      <c r="G46" s="193">
        <f>E46-F46</f>
        <v>968669.41178999993</v>
      </c>
      <c r="H46" s="466"/>
      <c r="I46" s="466"/>
      <c r="J46" s="466"/>
    </row>
    <row r="47" spans="2:10" ht="15.95" customHeight="1" x14ac:dyDescent="0.2">
      <c r="B47" s="103"/>
      <c r="C47" s="104"/>
      <c r="D47" s="104"/>
      <c r="E47" s="132"/>
      <c r="F47" s="132"/>
      <c r="G47" s="132"/>
      <c r="H47" s="123"/>
      <c r="I47" s="123"/>
      <c r="J47" s="123"/>
    </row>
    <row r="48" spans="2:10" ht="15.95" customHeight="1" x14ac:dyDescent="0.2">
      <c r="B48" s="484" t="s">
        <v>218</v>
      </c>
      <c r="C48" s="484"/>
      <c r="D48" s="484"/>
      <c r="E48" s="158">
        <f>+E30+E37+E46</f>
        <v>50052188.887828767</v>
      </c>
      <c r="F48" s="158">
        <f>+F30+F37+F46</f>
        <v>4597024.7871300001</v>
      </c>
      <c r="G48" s="158">
        <f>+G30+G37+G46</f>
        <v>45455164.100698777</v>
      </c>
      <c r="I48" s="137"/>
    </row>
    <row r="49" spans="2:10" ht="15.95" customHeight="1" x14ac:dyDescent="0.2">
      <c r="B49" s="484" t="s">
        <v>219</v>
      </c>
      <c r="C49" s="484"/>
      <c r="D49" s="484"/>
      <c r="E49" s="158">
        <f>+E29+E36+E45</f>
        <v>0</v>
      </c>
      <c r="F49" s="158">
        <f>+F29+F36+F45</f>
        <v>0</v>
      </c>
      <c r="G49" s="158">
        <f>+G29+G36+G45</f>
        <v>0</v>
      </c>
    </row>
    <row r="50" spans="2:10" ht="15.95" customHeight="1" x14ac:dyDescent="0.2">
      <c r="B50" s="481" t="s">
        <v>183</v>
      </c>
      <c r="C50" s="481"/>
      <c r="D50" s="481"/>
      <c r="E50" s="194">
        <f>+E49+E48</f>
        <v>50052188.887828767</v>
      </c>
      <c r="F50" s="194">
        <f>+F49+F48</f>
        <v>4597024.7871300001</v>
      </c>
      <c r="G50" s="194">
        <f>+G49+G48</f>
        <v>45455164.100698777</v>
      </c>
      <c r="I50" s="137"/>
    </row>
    <row r="51" spans="2:10" x14ac:dyDescent="0.2">
      <c r="H51" s="137"/>
    </row>
    <row r="52" spans="2:10" x14ac:dyDescent="0.2">
      <c r="E52" s="196"/>
      <c r="F52" s="196"/>
    </row>
    <row r="53" spans="2:10" x14ac:dyDescent="0.2">
      <c r="E53" s="196"/>
    </row>
    <row r="54" spans="2:10" x14ac:dyDescent="0.2">
      <c r="B54" s="482" t="s">
        <v>238</v>
      </c>
      <c r="C54" s="482"/>
      <c r="D54" s="482"/>
      <c r="E54" s="482"/>
      <c r="F54" s="482"/>
      <c r="G54" s="482"/>
      <c r="H54" s="482"/>
      <c r="I54" s="482"/>
      <c r="J54" s="482"/>
    </row>
    <row r="55" spans="2:10" x14ac:dyDescent="0.2">
      <c r="B55" s="482" t="s">
        <v>239</v>
      </c>
      <c r="C55" s="482"/>
      <c r="D55" s="482"/>
      <c r="E55" s="482"/>
      <c r="F55" s="482"/>
      <c r="G55" s="482"/>
      <c r="H55" s="482"/>
      <c r="I55" s="482"/>
      <c r="J55" s="482"/>
    </row>
    <row r="56" spans="2:10" ht="13.5" thickBot="1" x14ac:dyDescent="0.25">
      <c r="B56" s="467" t="s">
        <v>240</v>
      </c>
      <c r="C56" s="467"/>
      <c r="D56" s="467"/>
      <c r="E56" s="467"/>
      <c r="F56" s="467"/>
      <c r="G56" s="467"/>
      <c r="H56" s="467"/>
      <c r="I56" s="467"/>
      <c r="J56" s="467"/>
    </row>
    <row r="57" spans="2:10" x14ac:dyDescent="0.2">
      <c r="B57" s="160" t="s">
        <v>241</v>
      </c>
      <c r="C57" s="100"/>
      <c r="D57" s="100"/>
      <c r="E57" s="100"/>
      <c r="F57" s="100"/>
      <c r="G57" s="100"/>
      <c r="H57" s="100"/>
      <c r="I57" s="100"/>
      <c r="J57" s="100"/>
    </row>
    <row r="58" spans="2:10" x14ac:dyDescent="0.2">
      <c r="B58" s="109"/>
      <c r="C58" s="100"/>
      <c r="D58" s="100"/>
      <c r="E58" s="100"/>
      <c r="F58" s="100"/>
      <c r="G58" s="100"/>
      <c r="H58" s="100"/>
      <c r="I58" s="100"/>
      <c r="J58" s="100"/>
    </row>
    <row r="59" spans="2:10" ht="13.5" thickBot="1" x14ac:dyDescent="0.25">
      <c r="B59" s="109" t="s">
        <v>199</v>
      </c>
      <c r="C59" s="100"/>
      <c r="D59" s="100"/>
      <c r="E59" s="100"/>
      <c r="F59" s="100"/>
      <c r="G59" s="100"/>
      <c r="H59" s="100"/>
      <c r="I59" s="100"/>
      <c r="J59" s="100"/>
    </row>
    <row r="60" spans="2:10" ht="52.5" thickTop="1" thickBot="1" x14ac:dyDescent="0.25">
      <c r="B60" s="177" t="s">
        <v>190</v>
      </c>
      <c r="C60" s="178" t="s">
        <v>192</v>
      </c>
      <c r="D60" s="179" t="s">
        <v>198</v>
      </c>
      <c r="E60" s="178" t="s">
        <v>142</v>
      </c>
      <c r="F60" s="178" t="s">
        <v>175</v>
      </c>
      <c r="G60" s="178" t="s">
        <v>176</v>
      </c>
      <c r="H60" s="178" t="s">
        <v>168</v>
      </c>
      <c r="I60" s="178" t="s">
        <v>187</v>
      </c>
      <c r="J60" s="178" t="s">
        <v>177</v>
      </c>
    </row>
    <row r="61" spans="2:10" ht="13.5" thickTop="1" x14ac:dyDescent="0.2">
      <c r="B61" s="138" t="s">
        <v>173</v>
      </c>
      <c r="C61" s="139">
        <v>500</v>
      </c>
      <c r="D61" s="139" t="s">
        <v>242</v>
      </c>
      <c r="E61" s="143"/>
      <c r="F61" s="143"/>
      <c r="G61" s="143"/>
      <c r="H61" s="143"/>
      <c r="I61" s="140">
        <f>(C61*D61)/1000</f>
        <v>19570</v>
      </c>
      <c r="J61" s="140">
        <f>+(38660*C61)/1000</f>
        <v>19330</v>
      </c>
    </row>
    <row r="62" spans="2:10" ht="13.5" thickBot="1" x14ac:dyDescent="0.25">
      <c r="B62" s="138" t="s">
        <v>173</v>
      </c>
      <c r="C62" s="139">
        <v>770</v>
      </c>
      <c r="D62" s="139" t="s">
        <v>188</v>
      </c>
      <c r="E62" s="143"/>
      <c r="F62" s="143"/>
      <c r="G62" s="143"/>
      <c r="H62" s="143"/>
      <c r="I62" s="140">
        <f>(C62*D62)/1000</f>
        <v>30184</v>
      </c>
      <c r="J62" s="140">
        <f>+(38660*C62)/1000</f>
        <v>29768.2</v>
      </c>
    </row>
    <row r="63" spans="2:10" ht="13.5" thickBot="1" x14ac:dyDescent="0.25">
      <c r="B63" s="161" t="s">
        <v>193</v>
      </c>
      <c r="C63" s="162">
        <f>SUM(C61:C62)</f>
        <v>1270</v>
      </c>
      <c r="D63" s="163"/>
      <c r="E63" s="163"/>
      <c r="F63" s="163"/>
      <c r="G63" s="163"/>
      <c r="H63" s="163"/>
      <c r="I63" s="164"/>
      <c r="J63" s="162">
        <f>SUM(J61:J62)</f>
        <v>49098.2</v>
      </c>
    </row>
    <row r="64" spans="2:10" x14ac:dyDescent="0.2">
      <c r="B64" s="142"/>
      <c r="C64" s="110"/>
      <c r="D64" s="110"/>
      <c r="E64" s="110"/>
      <c r="F64" s="110"/>
      <c r="G64" s="110"/>
      <c r="H64" s="110"/>
      <c r="I64" s="110"/>
      <c r="J64" s="110"/>
    </row>
    <row r="65" spans="2:10" x14ac:dyDescent="0.2">
      <c r="B65" s="109"/>
      <c r="C65" s="100"/>
      <c r="D65" s="100"/>
      <c r="E65" s="100"/>
      <c r="F65" s="100"/>
      <c r="G65" s="100"/>
      <c r="H65" s="100"/>
      <c r="I65" s="100"/>
      <c r="J65" s="124"/>
    </row>
    <row r="66" spans="2:10" ht="13.5" thickBot="1" x14ac:dyDescent="0.25">
      <c r="B66" s="109" t="s">
        <v>132</v>
      </c>
      <c r="C66" s="100"/>
      <c r="D66" s="100"/>
      <c r="E66" s="100"/>
      <c r="F66" s="100"/>
      <c r="G66" s="100"/>
      <c r="H66" s="100"/>
      <c r="I66" s="100"/>
      <c r="J66" s="110"/>
    </row>
    <row r="67" spans="2:10" ht="52.5" thickTop="1" thickBot="1" x14ac:dyDescent="0.25">
      <c r="B67" s="177" t="s">
        <v>190</v>
      </c>
      <c r="C67" s="178" t="s">
        <v>192</v>
      </c>
      <c r="D67" s="179" t="s">
        <v>198</v>
      </c>
      <c r="E67" s="178" t="s">
        <v>142</v>
      </c>
      <c r="F67" s="178" t="s">
        <v>175</v>
      </c>
      <c r="G67" s="178" t="s">
        <v>176</v>
      </c>
      <c r="H67" s="178" t="s">
        <v>168</v>
      </c>
      <c r="I67" s="178" t="s">
        <v>187</v>
      </c>
      <c r="J67" s="178" t="s">
        <v>177</v>
      </c>
    </row>
    <row r="68" spans="2:10" ht="13.5" thickTop="1" x14ac:dyDescent="0.2">
      <c r="B68" s="144" t="s">
        <v>243</v>
      </c>
      <c r="C68" s="139">
        <v>276294</v>
      </c>
      <c r="D68" s="139">
        <v>72</v>
      </c>
      <c r="E68" s="139"/>
      <c r="F68" s="139"/>
      <c r="G68" s="139"/>
      <c r="H68" s="145"/>
      <c r="I68" s="139">
        <f>(C68*D68)/1000</f>
        <v>19893.168000000001</v>
      </c>
      <c r="J68" s="159">
        <f>+I68</f>
        <v>19893.168000000001</v>
      </c>
    </row>
    <row r="69" spans="2:10" x14ac:dyDescent="0.2">
      <c r="B69" s="144" t="s">
        <v>243</v>
      </c>
      <c r="C69" s="139">
        <v>3590089</v>
      </c>
      <c r="D69" s="139"/>
      <c r="E69" s="139"/>
      <c r="F69" s="139"/>
      <c r="G69" s="139"/>
      <c r="H69" s="145"/>
      <c r="I69" s="139"/>
      <c r="J69" s="159">
        <f>(C69*D69)/1000</f>
        <v>0</v>
      </c>
    </row>
    <row r="70" spans="2:10" x14ac:dyDescent="0.2">
      <c r="B70" s="144" t="s">
        <v>244</v>
      </c>
      <c r="C70" s="139">
        <v>14478</v>
      </c>
      <c r="D70" s="139"/>
      <c r="E70" s="139"/>
      <c r="F70" s="139"/>
      <c r="G70" s="139"/>
      <c r="H70" s="145"/>
      <c r="I70" s="139"/>
      <c r="J70" s="159">
        <f>(C70*D70)/1000</f>
        <v>0</v>
      </c>
    </row>
    <row r="71" spans="2:10" x14ac:dyDescent="0.2">
      <c r="B71" s="144" t="s">
        <v>245</v>
      </c>
      <c r="C71" s="139">
        <v>5549</v>
      </c>
      <c r="D71" s="139"/>
      <c r="E71" s="139"/>
      <c r="F71" s="139"/>
      <c r="G71" s="139"/>
      <c r="H71" s="145"/>
      <c r="I71" s="139"/>
      <c r="J71" s="159">
        <f>(C71*D71)/1000</f>
        <v>0</v>
      </c>
    </row>
    <row r="72" spans="2:10" x14ac:dyDescent="0.2">
      <c r="B72" s="144" t="s">
        <v>173</v>
      </c>
      <c r="C72" s="139">
        <v>2113</v>
      </c>
      <c r="D72" s="139"/>
      <c r="E72" s="139"/>
      <c r="F72" s="139"/>
      <c r="G72" s="139"/>
      <c r="H72" s="145"/>
      <c r="I72" s="139"/>
      <c r="J72" s="159">
        <f>(C72*D72)/1000</f>
        <v>0</v>
      </c>
    </row>
    <row r="73" spans="2:10" x14ac:dyDescent="0.2">
      <c r="B73" s="109"/>
      <c r="C73" s="100"/>
      <c r="D73" s="100"/>
      <c r="E73" s="100"/>
      <c r="F73" s="100"/>
      <c r="G73" s="100"/>
      <c r="H73" s="100"/>
      <c r="I73" s="100"/>
      <c r="J73" s="110"/>
    </row>
    <row r="74" spans="2:10" ht="13.5" thickBot="1" x14ac:dyDescent="0.25">
      <c r="B74" s="109"/>
      <c r="C74" s="100"/>
      <c r="D74" s="100"/>
      <c r="E74" s="100"/>
      <c r="F74" s="100"/>
      <c r="G74" s="100"/>
      <c r="H74" s="100"/>
      <c r="I74" s="100"/>
      <c r="J74" s="110"/>
    </row>
    <row r="75" spans="2:10" ht="52.5" thickTop="1" thickBot="1" x14ac:dyDescent="0.25">
      <c r="B75" s="177" t="s">
        <v>200</v>
      </c>
      <c r="C75" s="178" t="s">
        <v>192</v>
      </c>
      <c r="D75" s="178" t="s">
        <v>191</v>
      </c>
      <c r="E75" s="178" t="s">
        <v>142</v>
      </c>
      <c r="F75" s="178" t="s">
        <v>175</v>
      </c>
      <c r="G75" s="178" t="s">
        <v>176</v>
      </c>
      <c r="H75" s="178" t="s">
        <v>168</v>
      </c>
      <c r="I75" s="178" t="s">
        <v>187</v>
      </c>
      <c r="J75" s="178" t="s">
        <v>201</v>
      </c>
    </row>
    <row r="76" spans="2:10" ht="13.5" thickTop="1" x14ac:dyDescent="0.2">
      <c r="B76" s="144" t="s">
        <v>178</v>
      </c>
      <c r="C76" s="139">
        <v>4064</v>
      </c>
      <c r="D76" s="139">
        <v>4339.25</v>
      </c>
      <c r="E76" s="139">
        <v>12167.62275</v>
      </c>
      <c r="F76" s="139"/>
      <c r="G76" s="139">
        <v>11724.7017</v>
      </c>
      <c r="H76" s="139">
        <v>4005.9470500000002</v>
      </c>
      <c r="I76" s="139">
        <f>+D76+E76+F76-G76-H76</f>
        <v>776.22400000000243</v>
      </c>
      <c r="J76" s="139">
        <f>242*C76/1000</f>
        <v>983.48800000000006</v>
      </c>
    </row>
    <row r="77" spans="2:10" x14ac:dyDescent="0.2">
      <c r="B77" s="144" t="s">
        <v>170</v>
      </c>
      <c r="C77" s="139">
        <f>302663+13671</f>
        <v>316334</v>
      </c>
      <c r="D77" s="139">
        <v>206833.94678</v>
      </c>
      <c r="E77" s="139">
        <v>39583.37988</v>
      </c>
      <c r="F77" s="139">
        <v>444674.39980000001</v>
      </c>
      <c r="G77" s="139">
        <v>254455.90622999999</v>
      </c>
      <c r="H77" s="145"/>
      <c r="I77" s="139">
        <f>+D77+E77+F77-G77-H77</f>
        <v>436635.82023000007</v>
      </c>
      <c r="J77" s="139">
        <f>(2185.2*C77)/1000</f>
        <v>691253.0567999999</v>
      </c>
    </row>
    <row r="78" spans="2:10" x14ac:dyDescent="0.2">
      <c r="B78" s="113"/>
      <c r="C78" s="112"/>
      <c r="D78" s="112"/>
      <c r="E78" s="112"/>
      <c r="F78" s="112"/>
      <c r="G78" s="112"/>
      <c r="H78" s="180"/>
      <c r="I78" s="112"/>
      <c r="J78" s="181"/>
    </row>
    <row r="79" spans="2:10" ht="13.5" thickBot="1" x14ac:dyDescent="0.25">
      <c r="B79" s="146"/>
      <c r="C79" s="147"/>
      <c r="D79" s="146"/>
      <c r="E79" s="146"/>
      <c r="F79" s="148"/>
      <c r="G79" s="148"/>
      <c r="H79" s="148"/>
      <c r="I79" s="148"/>
      <c r="J79" s="148"/>
    </row>
    <row r="80" spans="2:10" ht="52.5" thickTop="1" thickBot="1" x14ac:dyDescent="0.25">
      <c r="B80" s="177" t="s">
        <v>194</v>
      </c>
      <c r="C80" s="178" t="s">
        <v>192</v>
      </c>
      <c r="D80" s="178" t="s">
        <v>191</v>
      </c>
      <c r="E80" s="178" t="s">
        <v>142</v>
      </c>
      <c r="F80" s="178" t="s">
        <v>202</v>
      </c>
      <c r="G80" s="178" t="s">
        <v>203</v>
      </c>
      <c r="H80" s="178" t="s">
        <v>204</v>
      </c>
      <c r="I80" s="178" t="s">
        <v>195</v>
      </c>
      <c r="J80" s="178" t="s">
        <v>184</v>
      </c>
    </row>
    <row r="81" spans="2:10" ht="13.5" thickTop="1" x14ac:dyDescent="0.2">
      <c r="B81" s="165" t="s">
        <v>134</v>
      </c>
      <c r="C81" s="139"/>
      <c r="D81" s="139">
        <v>995.05</v>
      </c>
      <c r="E81" s="139">
        <v>1322.03467</v>
      </c>
      <c r="F81" s="139"/>
      <c r="G81" s="139">
        <v>2317.0846700000002</v>
      </c>
      <c r="H81" s="139"/>
      <c r="I81" s="139">
        <f>+D81+E81-G81</f>
        <v>0</v>
      </c>
      <c r="J81" s="139">
        <v>0</v>
      </c>
    </row>
    <row r="82" spans="2:10" ht="13.5" thickBot="1" x14ac:dyDescent="0.25">
      <c r="B82" s="149" t="s">
        <v>135</v>
      </c>
      <c r="C82" s="141">
        <v>400</v>
      </c>
      <c r="D82" s="141">
        <v>160000</v>
      </c>
      <c r="E82" s="141">
        <v>88891.298030000005</v>
      </c>
      <c r="F82" s="141"/>
      <c r="G82" s="141">
        <v>237302.08392</v>
      </c>
      <c r="H82" s="141">
        <v>11589.214110000001</v>
      </c>
      <c r="I82" s="141">
        <f>+D82+E82-G82-H82</f>
        <v>0</v>
      </c>
      <c r="J82" s="141">
        <v>0</v>
      </c>
    </row>
    <row r="83" spans="2:10" ht="26.25" thickBot="1" x14ac:dyDescent="0.25">
      <c r="B83" s="169" t="s">
        <v>133</v>
      </c>
      <c r="C83" s="166"/>
      <c r="D83" s="166"/>
      <c r="E83" s="166"/>
      <c r="F83" s="166"/>
      <c r="G83" s="166"/>
      <c r="H83" s="166"/>
      <c r="I83" s="167"/>
      <c r="J83" s="168">
        <f>+J76+J68+J81+J82</f>
        <v>20876.656000000003</v>
      </c>
    </row>
    <row r="84" spans="2:10" x14ac:dyDescent="0.2">
      <c r="B84" s="105" t="s">
        <v>167</v>
      </c>
      <c r="C84" s="106"/>
      <c r="D84" s="106"/>
      <c r="E84" s="106"/>
      <c r="F84" s="106"/>
      <c r="G84" s="106"/>
      <c r="H84" s="106"/>
      <c r="I84" s="108"/>
      <c r="J84" s="106"/>
    </row>
    <row r="85" spans="2:10" x14ac:dyDescent="0.2">
      <c r="B85" s="182" t="s">
        <v>246</v>
      </c>
      <c r="C85" s="102"/>
      <c r="D85" s="102"/>
      <c r="E85" s="102"/>
      <c r="F85" s="123"/>
      <c r="G85" s="123"/>
      <c r="H85" s="123"/>
      <c r="I85" s="107"/>
      <c r="J85" s="123"/>
    </row>
    <row r="86" spans="2:10" x14ac:dyDescent="0.2">
      <c r="B86" s="101" t="s">
        <v>247</v>
      </c>
      <c r="C86" s="102"/>
      <c r="D86" s="102"/>
      <c r="E86" s="102"/>
      <c r="F86" s="123"/>
      <c r="G86" s="123"/>
      <c r="H86" s="123"/>
      <c r="I86" s="123"/>
      <c r="J86" s="123"/>
    </row>
    <row r="87" spans="2:10" x14ac:dyDescent="0.2">
      <c r="E87" s="101"/>
      <c r="F87" s="101"/>
      <c r="G87" s="101"/>
    </row>
    <row r="88" spans="2:10" x14ac:dyDescent="0.2">
      <c r="E88" s="101"/>
      <c r="F88" s="101"/>
      <c r="G88" s="101"/>
    </row>
    <row r="89" spans="2:10" x14ac:dyDescent="0.2">
      <c r="E89" s="101"/>
      <c r="F89" s="101"/>
      <c r="G89" s="101"/>
    </row>
    <row r="90" spans="2:10" x14ac:dyDescent="0.2">
      <c r="E90" s="101"/>
      <c r="F90" s="101"/>
      <c r="G90" s="101"/>
    </row>
    <row r="91" spans="2:10" x14ac:dyDescent="0.2">
      <c r="E91" s="101"/>
      <c r="F91" s="101"/>
      <c r="G91" s="101"/>
    </row>
    <row r="92" spans="2:10" x14ac:dyDescent="0.2">
      <c r="E92" s="101"/>
      <c r="F92" s="101"/>
      <c r="G92" s="101"/>
    </row>
    <row r="93" spans="2:10" x14ac:dyDescent="0.2">
      <c r="E93" s="101"/>
      <c r="F93" s="101"/>
      <c r="G93" s="101"/>
    </row>
    <row r="94" spans="2:10" x14ac:dyDescent="0.2">
      <c r="E94" s="101"/>
      <c r="F94" s="101"/>
      <c r="G94" s="101"/>
    </row>
    <row r="95" spans="2:10" x14ac:dyDescent="0.2">
      <c r="E95" s="101"/>
      <c r="F95" s="101"/>
      <c r="G95" s="101"/>
    </row>
    <row r="96" spans="2:10" x14ac:dyDescent="0.2">
      <c r="E96" s="101"/>
      <c r="F96" s="101"/>
      <c r="G96" s="101"/>
    </row>
    <row r="97" spans="5:7" x14ac:dyDescent="0.2">
      <c r="E97" s="101"/>
      <c r="F97" s="101"/>
      <c r="G97" s="101"/>
    </row>
    <row r="98" spans="5:7" x14ac:dyDescent="0.2">
      <c r="E98" s="101"/>
      <c r="F98" s="101"/>
      <c r="G98" s="101"/>
    </row>
    <row r="99" spans="5:7" x14ac:dyDescent="0.2">
      <c r="E99" s="101"/>
      <c r="F99" s="101"/>
      <c r="G99" s="101"/>
    </row>
    <row r="100" spans="5:7" x14ac:dyDescent="0.2">
      <c r="E100" s="101"/>
      <c r="F100" s="101"/>
      <c r="G100" s="101"/>
    </row>
    <row r="101" spans="5:7" x14ac:dyDescent="0.2">
      <c r="E101" s="101"/>
      <c r="F101" s="101"/>
      <c r="G101" s="101"/>
    </row>
    <row r="102" spans="5:7" x14ac:dyDescent="0.2">
      <c r="E102" s="101"/>
      <c r="F102" s="101"/>
      <c r="G102" s="101"/>
    </row>
    <row r="103" spans="5:7" x14ac:dyDescent="0.2">
      <c r="E103" s="101"/>
      <c r="F103" s="101"/>
      <c r="G103" s="101"/>
    </row>
    <row r="104" spans="5:7" x14ac:dyDescent="0.2">
      <c r="E104" s="101"/>
      <c r="F104" s="101"/>
      <c r="G104" s="101"/>
    </row>
    <row r="105" spans="5:7" x14ac:dyDescent="0.2">
      <c r="E105" s="101"/>
      <c r="F105" s="101"/>
      <c r="G105" s="101"/>
    </row>
    <row r="407" spans="5:7" x14ac:dyDescent="0.2">
      <c r="E407" s="101"/>
      <c r="F407" s="101"/>
      <c r="G407" s="101"/>
    </row>
    <row r="408" spans="5:7" x14ac:dyDescent="0.2">
      <c r="E408" s="101"/>
      <c r="F408" s="101"/>
      <c r="G408" s="101"/>
    </row>
    <row r="409" spans="5:7" x14ac:dyDescent="0.2">
      <c r="E409" s="101"/>
      <c r="F409" s="101"/>
      <c r="G409" s="101"/>
    </row>
    <row r="410" spans="5:7" x14ac:dyDescent="0.2">
      <c r="E410" s="101"/>
      <c r="F410" s="101"/>
      <c r="G410" s="101"/>
    </row>
    <row r="411" spans="5:7" x14ac:dyDescent="0.2">
      <c r="E411" s="101"/>
      <c r="F411" s="101"/>
      <c r="G411" s="101"/>
    </row>
    <row r="412" spans="5:7" x14ac:dyDescent="0.2">
      <c r="E412" s="101"/>
      <c r="F412" s="101"/>
      <c r="G412" s="101"/>
    </row>
    <row r="413" spans="5:7" x14ac:dyDescent="0.2">
      <c r="E413" s="101"/>
      <c r="F413" s="101"/>
      <c r="G413" s="101"/>
    </row>
    <row r="414" spans="5:7" x14ac:dyDescent="0.2">
      <c r="E414" s="101"/>
      <c r="F414" s="101"/>
      <c r="G414" s="101"/>
    </row>
    <row r="415" spans="5:7" x14ac:dyDescent="0.2">
      <c r="E415" s="101"/>
      <c r="F415" s="101"/>
      <c r="G415" s="101"/>
    </row>
    <row r="416" spans="5:7" x14ac:dyDescent="0.2">
      <c r="E416" s="101"/>
      <c r="F416" s="101"/>
      <c r="G416" s="101"/>
    </row>
    <row r="417" spans="5:7" x14ac:dyDescent="0.2">
      <c r="E417" s="101"/>
      <c r="F417" s="101"/>
      <c r="G417" s="101"/>
    </row>
    <row r="418" spans="5:7" x14ac:dyDescent="0.2">
      <c r="E418" s="101"/>
      <c r="F418" s="101"/>
      <c r="G418" s="101"/>
    </row>
    <row r="419" spans="5:7" x14ac:dyDescent="0.2">
      <c r="E419" s="101"/>
      <c r="F419" s="101"/>
      <c r="G419" s="101"/>
    </row>
    <row r="420" spans="5:7" x14ac:dyDescent="0.2">
      <c r="E420" s="101"/>
      <c r="F420" s="101"/>
      <c r="G420" s="101"/>
    </row>
    <row r="421" spans="5:7" x14ac:dyDescent="0.2">
      <c r="E421" s="101"/>
      <c r="F421" s="101"/>
      <c r="G421" s="101"/>
    </row>
    <row r="422" spans="5:7" x14ac:dyDescent="0.2">
      <c r="E422" s="101"/>
      <c r="F422" s="101"/>
      <c r="G422" s="101"/>
    </row>
    <row r="423" spans="5:7" x14ac:dyDescent="0.2">
      <c r="E423" s="101"/>
      <c r="F423" s="101"/>
      <c r="G423" s="101"/>
    </row>
    <row r="424" spans="5:7" x14ac:dyDescent="0.2">
      <c r="E424" s="101"/>
      <c r="F424" s="101"/>
      <c r="G424" s="101"/>
    </row>
    <row r="425" spans="5:7" x14ac:dyDescent="0.2">
      <c r="E425" s="101"/>
      <c r="F425" s="101"/>
      <c r="G425" s="101"/>
    </row>
    <row r="426" spans="5:7" x14ac:dyDescent="0.2">
      <c r="E426" s="101"/>
      <c r="F426" s="101"/>
      <c r="G426" s="101"/>
    </row>
    <row r="427" spans="5:7" x14ac:dyDescent="0.2">
      <c r="E427" s="101"/>
      <c r="F427" s="101"/>
      <c r="G427" s="101"/>
    </row>
    <row r="428" spans="5:7" x14ac:dyDescent="0.2">
      <c r="E428" s="101"/>
      <c r="F428" s="101"/>
      <c r="G428" s="101"/>
    </row>
    <row r="429" spans="5:7" x14ac:dyDescent="0.2">
      <c r="E429" s="101"/>
      <c r="F429" s="101"/>
      <c r="G429" s="101"/>
    </row>
    <row r="430" spans="5:7" x14ac:dyDescent="0.2">
      <c r="E430" s="101"/>
      <c r="F430" s="101"/>
      <c r="G430" s="101"/>
    </row>
    <row r="431" spans="5:7" x14ac:dyDescent="0.2">
      <c r="E431" s="101"/>
      <c r="F431" s="101"/>
      <c r="G431" s="101"/>
    </row>
    <row r="432" spans="5:7" x14ac:dyDescent="0.2">
      <c r="E432" s="101"/>
      <c r="F432" s="101"/>
      <c r="G432" s="101"/>
    </row>
    <row r="433" spans="5:7" x14ac:dyDescent="0.2">
      <c r="E433" s="101"/>
      <c r="F433" s="101"/>
      <c r="G433" s="101"/>
    </row>
    <row r="434" spans="5:7" x14ac:dyDescent="0.2">
      <c r="E434" s="101"/>
      <c r="F434" s="101"/>
      <c r="G434" s="101"/>
    </row>
    <row r="435" spans="5:7" x14ac:dyDescent="0.2">
      <c r="E435" s="101"/>
      <c r="F435" s="101"/>
      <c r="G435" s="101"/>
    </row>
    <row r="436" spans="5:7" x14ac:dyDescent="0.2">
      <c r="E436" s="101"/>
      <c r="F436" s="101"/>
      <c r="G436" s="101"/>
    </row>
    <row r="437" spans="5:7" x14ac:dyDescent="0.2">
      <c r="E437" s="101"/>
      <c r="F437" s="101"/>
      <c r="G437" s="101"/>
    </row>
    <row r="438" spans="5:7" x14ac:dyDescent="0.2">
      <c r="E438" s="101"/>
      <c r="F438" s="101"/>
      <c r="G438" s="101"/>
    </row>
    <row r="439" spans="5:7" x14ac:dyDescent="0.2">
      <c r="E439" s="101"/>
      <c r="F439" s="101"/>
      <c r="G439" s="101"/>
    </row>
    <row r="440" spans="5:7" x14ac:dyDescent="0.2">
      <c r="E440" s="101"/>
      <c r="F440" s="101"/>
      <c r="G440" s="101"/>
    </row>
    <row r="441" spans="5:7" x14ac:dyDescent="0.2">
      <c r="E441" s="101"/>
      <c r="F441" s="101"/>
      <c r="G441" s="101"/>
    </row>
    <row r="442" spans="5:7" x14ac:dyDescent="0.2">
      <c r="E442" s="101"/>
      <c r="F442" s="101"/>
      <c r="G442" s="101"/>
    </row>
    <row r="443" spans="5:7" x14ac:dyDescent="0.2">
      <c r="E443" s="101"/>
      <c r="F443" s="101"/>
      <c r="G443" s="101"/>
    </row>
    <row r="444" spans="5:7" x14ac:dyDescent="0.2">
      <c r="E444" s="101"/>
      <c r="F444" s="101"/>
      <c r="G444" s="101"/>
    </row>
    <row r="445" spans="5:7" x14ac:dyDescent="0.2">
      <c r="E445" s="101"/>
      <c r="F445" s="101"/>
      <c r="G445" s="101"/>
    </row>
    <row r="446" spans="5:7" x14ac:dyDescent="0.2">
      <c r="E446" s="101"/>
      <c r="F446" s="101"/>
      <c r="G446" s="101"/>
    </row>
    <row r="447" spans="5:7" x14ac:dyDescent="0.2">
      <c r="E447" s="101"/>
      <c r="F447" s="101"/>
      <c r="G447" s="101"/>
    </row>
    <row r="448" spans="5:7" x14ac:dyDescent="0.2">
      <c r="E448" s="101"/>
      <c r="F448" s="101"/>
      <c r="G448" s="101"/>
    </row>
    <row r="449" spans="5:7" x14ac:dyDescent="0.2">
      <c r="E449" s="101"/>
      <c r="F449" s="101"/>
      <c r="G449" s="101"/>
    </row>
    <row r="450" spans="5:7" x14ac:dyDescent="0.2">
      <c r="E450" s="101"/>
      <c r="F450" s="101"/>
      <c r="G450" s="101"/>
    </row>
    <row r="451" spans="5:7" x14ac:dyDescent="0.2">
      <c r="E451" s="101"/>
      <c r="F451" s="101"/>
      <c r="G451" s="101"/>
    </row>
    <row r="452" spans="5:7" x14ac:dyDescent="0.2">
      <c r="E452" s="101"/>
      <c r="F452" s="101"/>
      <c r="G452" s="101"/>
    </row>
    <row r="453" spans="5:7" x14ac:dyDescent="0.2">
      <c r="E453" s="101"/>
      <c r="F453" s="101"/>
      <c r="G453" s="101"/>
    </row>
    <row r="454" spans="5:7" x14ac:dyDescent="0.2">
      <c r="E454" s="101"/>
      <c r="F454" s="101"/>
      <c r="G454" s="101"/>
    </row>
    <row r="455" spans="5:7" x14ac:dyDescent="0.2">
      <c r="E455" s="101"/>
      <c r="F455" s="101"/>
      <c r="G455" s="101"/>
    </row>
    <row r="456" spans="5:7" x14ac:dyDescent="0.2">
      <c r="E456" s="101"/>
      <c r="F456" s="101"/>
      <c r="G456" s="101"/>
    </row>
    <row r="457" spans="5:7" x14ac:dyDescent="0.2">
      <c r="E457" s="101"/>
      <c r="F457" s="101"/>
      <c r="G457" s="101"/>
    </row>
    <row r="458" spans="5:7" x14ac:dyDescent="0.2">
      <c r="E458" s="101"/>
      <c r="F458" s="101"/>
      <c r="G458" s="101"/>
    </row>
    <row r="459" spans="5:7" x14ac:dyDescent="0.2">
      <c r="E459" s="101"/>
      <c r="F459" s="101"/>
      <c r="G459" s="101"/>
    </row>
    <row r="460" spans="5:7" x14ac:dyDescent="0.2">
      <c r="E460" s="101"/>
      <c r="F460" s="101"/>
      <c r="G460" s="101"/>
    </row>
    <row r="461" spans="5:7" x14ac:dyDescent="0.2">
      <c r="E461" s="101"/>
      <c r="F461" s="101"/>
      <c r="G461" s="101"/>
    </row>
    <row r="462" spans="5:7" x14ac:dyDescent="0.2">
      <c r="E462" s="101"/>
      <c r="F462" s="101"/>
      <c r="G462" s="101"/>
    </row>
    <row r="463" spans="5:7" x14ac:dyDescent="0.2">
      <c r="E463" s="101"/>
      <c r="F463" s="101"/>
      <c r="G463" s="101"/>
    </row>
    <row r="464" spans="5:7" x14ac:dyDescent="0.2">
      <c r="E464" s="101"/>
      <c r="F464" s="101"/>
      <c r="G464" s="101"/>
    </row>
    <row r="465" spans="5:7" x14ac:dyDescent="0.2">
      <c r="E465" s="101"/>
      <c r="F465" s="101"/>
      <c r="G465" s="101"/>
    </row>
    <row r="466" spans="5:7" x14ac:dyDescent="0.2">
      <c r="E466" s="101"/>
      <c r="F466" s="101"/>
      <c r="G466" s="101"/>
    </row>
    <row r="467" spans="5:7" x14ac:dyDescent="0.2">
      <c r="E467" s="101"/>
      <c r="F467" s="101"/>
      <c r="G467" s="101"/>
    </row>
    <row r="468" spans="5:7" x14ac:dyDescent="0.2">
      <c r="E468" s="101"/>
      <c r="F468" s="101"/>
      <c r="G468" s="101"/>
    </row>
    <row r="469" spans="5:7" x14ac:dyDescent="0.2">
      <c r="E469" s="101"/>
      <c r="F469" s="101"/>
      <c r="G469" s="101"/>
    </row>
    <row r="470" spans="5:7" x14ac:dyDescent="0.2">
      <c r="E470" s="101"/>
      <c r="F470" s="101"/>
      <c r="G470" s="101"/>
    </row>
    <row r="471" spans="5:7" x14ac:dyDescent="0.2">
      <c r="E471" s="101"/>
      <c r="F471" s="101"/>
      <c r="G471" s="101"/>
    </row>
    <row r="472" spans="5:7" x14ac:dyDescent="0.2">
      <c r="E472" s="101"/>
      <c r="F472" s="101"/>
      <c r="G472" s="101"/>
    </row>
    <row r="473" spans="5:7" x14ac:dyDescent="0.2">
      <c r="E473" s="101"/>
      <c r="F473" s="101"/>
      <c r="G473" s="101"/>
    </row>
    <row r="474" spans="5:7" x14ac:dyDescent="0.2">
      <c r="E474" s="101"/>
      <c r="F474" s="101"/>
      <c r="G474" s="101"/>
    </row>
    <row r="475" spans="5:7" x14ac:dyDescent="0.2">
      <c r="E475" s="101"/>
      <c r="F475" s="101"/>
      <c r="G475" s="101"/>
    </row>
    <row r="476" spans="5:7" x14ac:dyDescent="0.2">
      <c r="E476" s="101"/>
      <c r="F476" s="101"/>
      <c r="G476" s="101"/>
    </row>
    <row r="477" spans="5:7" x14ac:dyDescent="0.2">
      <c r="E477" s="101"/>
      <c r="F477" s="101"/>
      <c r="G477" s="101"/>
    </row>
    <row r="478" spans="5:7" x14ac:dyDescent="0.2">
      <c r="E478" s="101"/>
      <c r="F478" s="101"/>
      <c r="G478" s="101"/>
    </row>
    <row r="479" spans="5:7" x14ac:dyDescent="0.2">
      <c r="E479" s="101"/>
      <c r="F479" s="101"/>
      <c r="G479" s="101"/>
    </row>
    <row r="480" spans="5:7" x14ac:dyDescent="0.2">
      <c r="E480" s="101"/>
      <c r="F480" s="101"/>
      <c r="G480" s="101"/>
    </row>
    <row r="481" spans="5:7" x14ac:dyDescent="0.2">
      <c r="E481" s="101"/>
      <c r="F481" s="101"/>
      <c r="G481" s="101"/>
    </row>
    <row r="482" spans="5:7" x14ac:dyDescent="0.2">
      <c r="E482" s="101"/>
      <c r="F482" s="101"/>
      <c r="G482" s="101"/>
    </row>
    <row r="483" spans="5:7" x14ac:dyDescent="0.2">
      <c r="E483" s="101"/>
      <c r="F483" s="101"/>
      <c r="G483" s="101"/>
    </row>
    <row r="484" spans="5:7" x14ac:dyDescent="0.2">
      <c r="E484" s="101"/>
      <c r="F484" s="101"/>
      <c r="G484" s="101"/>
    </row>
    <row r="485" spans="5:7" x14ac:dyDescent="0.2">
      <c r="E485" s="101"/>
      <c r="F485" s="101"/>
      <c r="G485" s="101"/>
    </row>
    <row r="486" spans="5:7" x14ac:dyDescent="0.2">
      <c r="E486" s="101"/>
      <c r="F486" s="101"/>
      <c r="G486" s="101"/>
    </row>
    <row r="487" spans="5:7" x14ac:dyDescent="0.2">
      <c r="E487" s="101"/>
      <c r="F487" s="101"/>
      <c r="G487" s="101"/>
    </row>
    <row r="488" spans="5:7" x14ac:dyDescent="0.2">
      <c r="E488" s="101"/>
      <c r="F488" s="101"/>
      <c r="G488" s="101"/>
    </row>
    <row r="489" spans="5:7" x14ac:dyDescent="0.2">
      <c r="E489" s="101"/>
      <c r="F489" s="101"/>
      <c r="G489" s="101"/>
    </row>
    <row r="490" spans="5:7" x14ac:dyDescent="0.2">
      <c r="E490" s="101"/>
      <c r="F490" s="101"/>
      <c r="G490" s="101"/>
    </row>
    <row r="491" spans="5:7" x14ac:dyDescent="0.2">
      <c r="E491" s="101"/>
      <c r="F491" s="101"/>
      <c r="G491" s="101"/>
    </row>
    <row r="492" spans="5:7" x14ac:dyDescent="0.2">
      <c r="E492" s="101"/>
      <c r="F492" s="101"/>
      <c r="G492" s="101"/>
    </row>
    <row r="493" spans="5:7" x14ac:dyDescent="0.2">
      <c r="E493" s="101"/>
      <c r="F493" s="101"/>
      <c r="G493" s="101"/>
    </row>
    <row r="494" spans="5:7" x14ac:dyDescent="0.2">
      <c r="E494" s="101"/>
      <c r="F494" s="101"/>
      <c r="G494" s="101"/>
    </row>
    <row r="495" spans="5:7" x14ac:dyDescent="0.2">
      <c r="E495" s="101"/>
      <c r="F495" s="101"/>
      <c r="G495" s="101"/>
    </row>
    <row r="496" spans="5:7" x14ac:dyDescent="0.2">
      <c r="E496" s="101"/>
      <c r="F496" s="101"/>
      <c r="G496" s="101"/>
    </row>
    <row r="497" spans="5:7" x14ac:dyDescent="0.2">
      <c r="E497" s="101"/>
      <c r="F497" s="101"/>
      <c r="G497" s="101"/>
    </row>
    <row r="498" spans="5:7" x14ac:dyDescent="0.2">
      <c r="E498" s="101"/>
      <c r="F498" s="101"/>
      <c r="G498" s="101"/>
    </row>
    <row r="499" spans="5:7" x14ac:dyDescent="0.2">
      <c r="E499" s="101"/>
      <c r="F499" s="101"/>
      <c r="G499" s="101"/>
    </row>
    <row r="500" spans="5:7" x14ac:dyDescent="0.2">
      <c r="E500" s="101"/>
      <c r="F500" s="101"/>
      <c r="G500" s="101"/>
    </row>
    <row r="501" spans="5:7" x14ac:dyDescent="0.2">
      <c r="E501" s="101"/>
      <c r="F501" s="101"/>
      <c r="G501" s="101"/>
    </row>
    <row r="502" spans="5:7" x14ac:dyDescent="0.2">
      <c r="E502" s="101"/>
      <c r="F502" s="101"/>
      <c r="G502" s="101"/>
    </row>
    <row r="503" spans="5:7" x14ac:dyDescent="0.2">
      <c r="E503" s="101"/>
      <c r="F503" s="101"/>
      <c r="G503" s="101"/>
    </row>
    <row r="504" spans="5:7" x14ac:dyDescent="0.2">
      <c r="E504" s="101"/>
      <c r="F504" s="101"/>
      <c r="G504" s="101"/>
    </row>
    <row r="505" spans="5:7" x14ac:dyDescent="0.2">
      <c r="E505" s="101"/>
      <c r="F505" s="101"/>
      <c r="G505" s="101"/>
    </row>
    <row r="506" spans="5:7" x14ac:dyDescent="0.2">
      <c r="E506" s="101"/>
      <c r="F506" s="101"/>
      <c r="G506" s="101"/>
    </row>
    <row r="507" spans="5:7" x14ac:dyDescent="0.2">
      <c r="E507" s="101"/>
      <c r="F507" s="101"/>
      <c r="G507" s="101"/>
    </row>
    <row r="508" spans="5:7" x14ac:dyDescent="0.2">
      <c r="E508" s="101"/>
      <c r="F508" s="101"/>
      <c r="G508" s="101"/>
    </row>
    <row r="509" spans="5:7" x14ac:dyDescent="0.2">
      <c r="E509" s="101"/>
      <c r="F509" s="101"/>
      <c r="G509" s="101"/>
    </row>
    <row r="510" spans="5:7" x14ac:dyDescent="0.2">
      <c r="E510" s="101"/>
      <c r="F510" s="101"/>
      <c r="G510" s="101"/>
    </row>
    <row r="511" spans="5:7" x14ac:dyDescent="0.2">
      <c r="E511" s="101"/>
      <c r="F511" s="101"/>
      <c r="G511" s="101"/>
    </row>
    <row r="512" spans="5:7" x14ac:dyDescent="0.2">
      <c r="E512" s="101"/>
      <c r="F512" s="101"/>
      <c r="G512" s="101"/>
    </row>
    <row r="513" spans="5:7" x14ac:dyDescent="0.2">
      <c r="E513" s="101"/>
      <c r="F513" s="101"/>
      <c r="G513" s="101"/>
    </row>
    <row r="514" spans="5:7" x14ac:dyDescent="0.2">
      <c r="E514" s="101"/>
      <c r="F514" s="101"/>
      <c r="G514" s="101"/>
    </row>
    <row r="515" spans="5:7" x14ac:dyDescent="0.2">
      <c r="E515" s="101"/>
      <c r="F515" s="101"/>
      <c r="G515" s="101"/>
    </row>
    <row r="516" spans="5:7" x14ac:dyDescent="0.2">
      <c r="E516" s="101"/>
      <c r="F516" s="101"/>
      <c r="G516" s="101"/>
    </row>
    <row r="517" spans="5:7" x14ac:dyDescent="0.2">
      <c r="E517" s="101"/>
      <c r="F517" s="101"/>
      <c r="G517" s="101"/>
    </row>
    <row r="518" spans="5:7" x14ac:dyDescent="0.2">
      <c r="E518" s="101"/>
      <c r="F518" s="101"/>
      <c r="G518" s="101"/>
    </row>
    <row r="519" spans="5:7" x14ac:dyDescent="0.2">
      <c r="E519" s="101"/>
      <c r="F519" s="101"/>
      <c r="G519" s="101"/>
    </row>
    <row r="520" spans="5:7" x14ac:dyDescent="0.2">
      <c r="E520" s="101"/>
      <c r="F520" s="101"/>
      <c r="G520" s="101"/>
    </row>
    <row r="521" spans="5:7" x14ac:dyDescent="0.2">
      <c r="E521" s="101"/>
      <c r="F521" s="101"/>
      <c r="G521" s="101"/>
    </row>
    <row r="522" spans="5:7" x14ac:dyDescent="0.2">
      <c r="E522" s="101"/>
      <c r="F522" s="101"/>
      <c r="G522" s="101"/>
    </row>
    <row r="523" spans="5:7" x14ac:dyDescent="0.2">
      <c r="E523" s="101"/>
      <c r="F523" s="101"/>
      <c r="G523" s="101"/>
    </row>
    <row r="524" spans="5:7" x14ac:dyDescent="0.2">
      <c r="E524" s="101"/>
      <c r="F524" s="101"/>
      <c r="G524" s="101"/>
    </row>
    <row r="525" spans="5:7" x14ac:dyDescent="0.2">
      <c r="E525" s="101"/>
      <c r="F525" s="101"/>
      <c r="G525" s="101"/>
    </row>
    <row r="526" spans="5:7" x14ac:dyDescent="0.2">
      <c r="E526" s="101"/>
      <c r="F526" s="101"/>
      <c r="G526" s="101"/>
    </row>
    <row r="527" spans="5:7" x14ac:dyDescent="0.2">
      <c r="E527" s="101"/>
      <c r="F527" s="101"/>
      <c r="G527" s="101"/>
    </row>
    <row r="528" spans="5:7" x14ac:dyDescent="0.2">
      <c r="E528" s="101"/>
      <c r="F528" s="101"/>
      <c r="G528" s="101"/>
    </row>
    <row r="529" spans="5:7" x14ac:dyDescent="0.2">
      <c r="E529" s="101"/>
      <c r="F529" s="101"/>
      <c r="G529" s="101"/>
    </row>
    <row r="530" spans="5:7" x14ac:dyDescent="0.2">
      <c r="E530" s="101"/>
      <c r="F530" s="101"/>
      <c r="G530" s="101"/>
    </row>
    <row r="531" spans="5:7" x14ac:dyDescent="0.2">
      <c r="E531" s="101"/>
      <c r="F531" s="101"/>
      <c r="G531" s="101"/>
    </row>
    <row r="532" spans="5:7" x14ac:dyDescent="0.2">
      <c r="E532" s="101"/>
      <c r="F532" s="101"/>
      <c r="G532" s="101"/>
    </row>
    <row r="533" spans="5:7" x14ac:dyDescent="0.2">
      <c r="E533" s="101"/>
      <c r="F533" s="101"/>
      <c r="G533" s="101"/>
    </row>
    <row r="534" spans="5:7" x14ac:dyDescent="0.2">
      <c r="E534" s="101"/>
      <c r="F534" s="101"/>
      <c r="G534" s="101"/>
    </row>
    <row r="535" spans="5:7" x14ac:dyDescent="0.2">
      <c r="E535" s="101"/>
      <c r="F535" s="101"/>
      <c r="G535" s="101"/>
    </row>
    <row r="536" spans="5:7" x14ac:dyDescent="0.2">
      <c r="E536" s="101"/>
      <c r="F536" s="101"/>
      <c r="G536" s="101"/>
    </row>
    <row r="537" spans="5:7" x14ac:dyDescent="0.2">
      <c r="E537" s="101"/>
      <c r="F537" s="101"/>
      <c r="G537" s="101"/>
    </row>
    <row r="538" spans="5:7" x14ac:dyDescent="0.2">
      <c r="E538" s="101"/>
      <c r="F538" s="101"/>
      <c r="G538" s="101"/>
    </row>
    <row r="539" spans="5:7" x14ac:dyDescent="0.2">
      <c r="E539" s="101"/>
      <c r="F539" s="101"/>
      <c r="G539" s="101"/>
    </row>
    <row r="540" spans="5:7" x14ac:dyDescent="0.2">
      <c r="E540" s="101"/>
      <c r="F540" s="101"/>
      <c r="G540" s="101"/>
    </row>
    <row r="541" spans="5:7" x14ac:dyDescent="0.2">
      <c r="E541" s="101"/>
      <c r="F541" s="101"/>
      <c r="G541" s="101"/>
    </row>
    <row r="542" spans="5:7" x14ac:dyDescent="0.2">
      <c r="E542" s="101"/>
      <c r="F542" s="101"/>
      <c r="G542" s="101"/>
    </row>
    <row r="543" spans="5:7" x14ac:dyDescent="0.2">
      <c r="E543" s="101"/>
      <c r="F543" s="101"/>
      <c r="G543" s="101"/>
    </row>
    <row r="544" spans="5:7" x14ac:dyDescent="0.2">
      <c r="E544" s="101"/>
      <c r="F544" s="101"/>
      <c r="G544" s="101"/>
    </row>
    <row r="545" spans="5:7" x14ac:dyDescent="0.2">
      <c r="E545" s="101"/>
      <c r="F545" s="101"/>
      <c r="G545" s="101"/>
    </row>
    <row r="546" spans="5:7" x14ac:dyDescent="0.2">
      <c r="E546" s="101"/>
      <c r="F546" s="101"/>
      <c r="G546" s="101"/>
    </row>
    <row r="547" spans="5:7" x14ac:dyDescent="0.2">
      <c r="E547" s="101"/>
      <c r="F547" s="101"/>
      <c r="G547" s="101"/>
    </row>
    <row r="548" spans="5:7" x14ac:dyDescent="0.2">
      <c r="E548" s="101"/>
      <c r="F548" s="101"/>
      <c r="G548" s="101"/>
    </row>
    <row r="549" spans="5:7" x14ac:dyDescent="0.2">
      <c r="E549" s="101"/>
      <c r="F549" s="101"/>
      <c r="G549" s="101"/>
    </row>
    <row r="550" spans="5:7" x14ac:dyDescent="0.2">
      <c r="E550" s="101"/>
      <c r="F550" s="101"/>
      <c r="G550" s="101"/>
    </row>
    <row r="551" spans="5:7" x14ac:dyDescent="0.2">
      <c r="E551" s="101"/>
      <c r="F551" s="101"/>
      <c r="G551" s="101"/>
    </row>
    <row r="552" spans="5:7" x14ac:dyDescent="0.2">
      <c r="E552" s="101"/>
      <c r="F552" s="101"/>
      <c r="G552" s="101"/>
    </row>
    <row r="553" spans="5:7" x14ac:dyDescent="0.2">
      <c r="E553" s="101"/>
      <c r="F553" s="101"/>
      <c r="G553" s="101"/>
    </row>
    <row r="554" spans="5:7" x14ac:dyDescent="0.2">
      <c r="E554" s="101"/>
      <c r="F554" s="101"/>
      <c r="G554" s="101"/>
    </row>
    <row r="555" spans="5:7" x14ac:dyDescent="0.2">
      <c r="E555" s="101"/>
      <c r="F555" s="101"/>
      <c r="G555" s="101"/>
    </row>
    <row r="556" spans="5:7" x14ac:dyDescent="0.2">
      <c r="E556" s="101"/>
      <c r="F556" s="101"/>
      <c r="G556" s="101"/>
    </row>
    <row r="557" spans="5:7" x14ac:dyDescent="0.2">
      <c r="E557" s="101"/>
      <c r="F557" s="101"/>
      <c r="G557" s="101"/>
    </row>
    <row r="558" spans="5:7" x14ac:dyDescent="0.2">
      <c r="E558" s="101"/>
      <c r="F558" s="101"/>
      <c r="G558" s="101"/>
    </row>
    <row r="559" spans="5:7" x14ac:dyDescent="0.2">
      <c r="E559" s="101"/>
      <c r="F559" s="101"/>
      <c r="G559" s="101"/>
    </row>
    <row r="560" spans="5:7" x14ac:dyDescent="0.2">
      <c r="E560" s="101"/>
      <c r="F560" s="101"/>
      <c r="G560" s="101"/>
    </row>
    <row r="561" spans="5:7" x14ac:dyDescent="0.2">
      <c r="E561" s="101"/>
      <c r="F561" s="101"/>
      <c r="G561" s="101"/>
    </row>
    <row r="562" spans="5:7" x14ac:dyDescent="0.2">
      <c r="E562" s="101"/>
      <c r="F562" s="101"/>
      <c r="G562" s="101"/>
    </row>
    <row r="563" spans="5:7" x14ac:dyDescent="0.2">
      <c r="E563" s="101"/>
      <c r="F563" s="101"/>
      <c r="G563" s="101"/>
    </row>
    <row r="564" spans="5:7" x14ac:dyDescent="0.2">
      <c r="E564" s="101"/>
      <c r="F564" s="101"/>
      <c r="G564" s="101"/>
    </row>
    <row r="565" spans="5:7" x14ac:dyDescent="0.2">
      <c r="E565" s="101"/>
      <c r="F565" s="101"/>
      <c r="G565" s="101"/>
    </row>
    <row r="566" spans="5:7" x14ac:dyDescent="0.2">
      <c r="E566" s="101"/>
      <c r="F566" s="101"/>
      <c r="G566" s="101"/>
    </row>
    <row r="567" spans="5:7" x14ac:dyDescent="0.2">
      <c r="E567" s="101"/>
      <c r="F567" s="101"/>
      <c r="G567" s="101"/>
    </row>
    <row r="568" spans="5:7" x14ac:dyDescent="0.2">
      <c r="E568" s="101"/>
      <c r="F568" s="101"/>
      <c r="G568" s="101"/>
    </row>
    <row r="569" spans="5:7" x14ac:dyDescent="0.2">
      <c r="E569" s="101"/>
      <c r="F569" s="101"/>
      <c r="G569" s="101"/>
    </row>
    <row r="570" spans="5:7" x14ac:dyDescent="0.2">
      <c r="E570" s="101"/>
      <c r="F570" s="101"/>
      <c r="G570" s="101"/>
    </row>
    <row r="571" spans="5:7" x14ac:dyDescent="0.2">
      <c r="E571" s="101"/>
      <c r="F571" s="101"/>
      <c r="G571" s="101"/>
    </row>
    <row r="572" spans="5:7" x14ac:dyDescent="0.2">
      <c r="E572" s="101"/>
      <c r="F572" s="101"/>
      <c r="G572" s="101"/>
    </row>
    <row r="573" spans="5:7" x14ac:dyDescent="0.2">
      <c r="E573" s="101"/>
      <c r="F573" s="101"/>
      <c r="G573" s="101"/>
    </row>
    <row r="574" spans="5:7" x14ac:dyDescent="0.2">
      <c r="E574" s="101"/>
      <c r="F574" s="101"/>
      <c r="G574" s="101"/>
    </row>
    <row r="575" spans="5:7" x14ac:dyDescent="0.2">
      <c r="E575" s="101"/>
      <c r="F575" s="101"/>
      <c r="G575" s="101"/>
    </row>
    <row r="576" spans="5:7" x14ac:dyDescent="0.2">
      <c r="E576" s="101"/>
      <c r="F576" s="101"/>
      <c r="G576" s="101"/>
    </row>
    <row r="577" spans="5:7" x14ac:dyDescent="0.2">
      <c r="E577" s="101"/>
      <c r="F577" s="101"/>
      <c r="G577" s="101"/>
    </row>
    <row r="578" spans="5:7" x14ac:dyDescent="0.2">
      <c r="E578" s="101"/>
      <c r="F578" s="101"/>
      <c r="G578" s="101"/>
    </row>
    <row r="579" spans="5:7" x14ac:dyDescent="0.2">
      <c r="E579" s="101"/>
      <c r="F579" s="101"/>
      <c r="G579" s="101"/>
    </row>
    <row r="580" spans="5:7" x14ac:dyDescent="0.2">
      <c r="E580" s="101"/>
      <c r="F580" s="101"/>
      <c r="G580" s="101"/>
    </row>
    <row r="581" spans="5:7" x14ac:dyDescent="0.2">
      <c r="E581" s="101"/>
      <c r="F581" s="101"/>
      <c r="G581" s="101"/>
    </row>
    <row r="582" spans="5:7" x14ac:dyDescent="0.2">
      <c r="E582" s="101"/>
      <c r="F582" s="101"/>
      <c r="G582" s="101"/>
    </row>
    <row r="583" spans="5:7" x14ac:dyDescent="0.2">
      <c r="E583" s="101"/>
      <c r="F583" s="101"/>
      <c r="G583" s="101"/>
    </row>
    <row r="584" spans="5:7" x14ac:dyDescent="0.2">
      <c r="E584" s="101"/>
      <c r="F584" s="101"/>
      <c r="G584" s="101"/>
    </row>
    <row r="585" spans="5:7" x14ac:dyDescent="0.2">
      <c r="E585" s="101"/>
      <c r="F585" s="101"/>
      <c r="G585" s="101"/>
    </row>
    <row r="586" spans="5:7" x14ac:dyDescent="0.2">
      <c r="E586" s="101"/>
      <c r="F586" s="101"/>
      <c r="G586" s="101"/>
    </row>
    <row r="587" spans="5:7" x14ac:dyDescent="0.2">
      <c r="E587" s="101"/>
      <c r="F587" s="101"/>
      <c r="G587" s="101"/>
    </row>
    <row r="588" spans="5:7" x14ac:dyDescent="0.2">
      <c r="E588" s="101"/>
      <c r="F588" s="101"/>
      <c r="G588" s="101"/>
    </row>
    <row r="589" spans="5:7" x14ac:dyDescent="0.2">
      <c r="E589" s="101"/>
      <c r="F589" s="101"/>
      <c r="G589" s="101"/>
    </row>
    <row r="590" spans="5:7" x14ac:dyDescent="0.2">
      <c r="E590" s="101"/>
      <c r="F590" s="101"/>
      <c r="G590" s="101"/>
    </row>
    <row r="591" spans="5:7" x14ac:dyDescent="0.2">
      <c r="E591" s="101"/>
      <c r="F591" s="101"/>
      <c r="G591" s="101"/>
    </row>
    <row r="592" spans="5:7" x14ac:dyDescent="0.2">
      <c r="E592" s="101"/>
      <c r="F592" s="101"/>
      <c r="G592" s="101"/>
    </row>
    <row r="593" spans="5:7" x14ac:dyDescent="0.2">
      <c r="E593" s="101"/>
      <c r="F593" s="101"/>
      <c r="G593" s="101"/>
    </row>
    <row r="594" spans="5:7" x14ac:dyDescent="0.2">
      <c r="E594" s="101"/>
      <c r="F594" s="101"/>
      <c r="G594" s="101"/>
    </row>
    <row r="595" spans="5:7" x14ac:dyDescent="0.2">
      <c r="E595" s="101"/>
      <c r="F595" s="101"/>
      <c r="G595" s="101"/>
    </row>
    <row r="596" spans="5:7" x14ac:dyDescent="0.2">
      <c r="E596" s="101"/>
      <c r="F596" s="101"/>
      <c r="G596" s="101"/>
    </row>
    <row r="597" spans="5:7" x14ac:dyDescent="0.2">
      <c r="E597" s="101"/>
      <c r="F597" s="101"/>
      <c r="G597" s="101"/>
    </row>
    <row r="598" spans="5:7" x14ac:dyDescent="0.2">
      <c r="E598" s="101"/>
      <c r="F598" s="101"/>
      <c r="G598" s="101"/>
    </row>
    <row r="599" spans="5:7" x14ac:dyDescent="0.2">
      <c r="E599" s="101"/>
      <c r="F599" s="101"/>
      <c r="G599" s="101"/>
    </row>
    <row r="600" spans="5:7" x14ac:dyDescent="0.2">
      <c r="E600" s="101"/>
      <c r="F600" s="101"/>
      <c r="G600" s="101"/>
    </row>
    <row r="601" spans="5:7" x14ac:dyDescent="0.2">
      <c r="E601" s="101"/>
      <c r="F601" s="101"/>
      <c r="G601" s="101"/>
    </row>
    <row r="602" spans="5:7" x14ac:dyDescent="0.2">
      <c r="E602" s="101"/>
      <c r="F602" s="101"/>
      <c r="G602" s="101"/>
    </row>
    <row r="603" spans="5:7" x14ac:dyDescent="0.2">
      <c r="E603" s="101"/>
      <c r="F603" s="101"/>
      <c r="G603" s="101"/>
    </row>
    <row r="604" spans="5:7" x14ac:dyDescent="0.2">
      <c r="E604" s="101"/>
      <c r="F604" s="101"/>
      <c r="G604" s="101"/>
    </row>
    <row r="605" spans="5:7" x14ac:dyDescent="0.2">
      <c r="E605" s="101"/>
      <c r="F605" s="101"/>
      <c r="G605" s="101"/>
    </row>
    <row r="606" spans="5:7" x14ac:dyDescent="0.2">
      <c r="E606" s="101"/>
      <c r="F606" s="101"/>
      <c r="G606" s="101"/>
    </row>
    <row r="607" spans="5:7" x14ac:dyDescent="0.2">
      <c r="E607" s="101"/>
      <c r="F607" s="101"/>
      <c r="G607" s="101"/>
    </row>
    <row r="608" spans="5:7" x14ac:dyDescent="0.2">
      <c r="E608" s="101"/>
      <c r="F608" s="101"/>
      <c r="G608" s="101"/>
    </row>
    <row r="609" spans="5:7" x14ac:dyDescent="0.2">
      <c r="E609" s="101"/>
      <c r="F609" s="101"/>
      <c r="G609" s="101"/>
    </row>
    <row r="610" spans="5:7" x14ac:dyDescent="0.2">
      <c r="E610" s="101"/>
      <c r="F610" s="101"/>
      <c r="G610" s="101"/>
    </row>
    <row r="611" spans="5:7" x14ac:dyDescent="0.2">
      <c r="E611" s="101"/>
      <c r="F611" s="101"/>
      <c r="G611" s="101"/>
    </row>
    <row r="612" spans="5:7" x14ac:dyDescent="0.2">
      <c r="E612" s="101"/>
      <c r="F612" s="101"/>
      <c r="G612" s="101"/>
    </row>
    <row r="621" spans="5:7" x14ac:dyDescent="0.2">
      <c r="E621" s="101"/>
      <c r="F621" s="101"/>
      <c r="G621" s="101"/>
    </row>
    <row r="622" spans="5:7" x14ac:dyDescent="0.2">
      <c r="E622" s="101"/>
      <c r="F622" s="101"/>
      <c r="G622" s="101"/>
    </row>
    <row r="623" spans="5:7" x14ac:dyDescent="0.2">
      <c r="E623" s="101"/>
      <c r="F623" s="101"/>
      <c r="G623" s="101"/>
    </row>
    <row r="624" spans="5:7" x14ac:dyDescent="0.2">
      <c r="E624" s="101"/>
      <c r="F624" s="101"/>
      <c r="G624" s="101"/>
    </row>
    <row r="625" spans="5:7" x14ac:dyDescent="0.2">
      <c r="E625" s="101"/>
      <c r="F625" s="101"/>
      <c r="G625" s="101"/>
    </row>
    <row r="626" spans="5:7" x14ac:dyDescent="0.2">
      <c r="E626" s="101"/>
      <c r="F626" s="101"/>
      <c r="G626" s="101"/>
    </row>
    <row r="635" spans="5:7" x14ac:dyDescent="0.2">
      <c r="E635" s="101"/>
      <c r="F635" s="101"/>
      <c r="G635" s="101"/>
    </row>
    <row r="636" spans="5:7" x14ac:dyDescent="0.2">
      <c r="E636" s="101"/>
      <c r="F636" s="101"/>
      <c r="G636" s="101"/>
    </row>
    <row r="637" spans="5:7" x14ac:dyDescent="0.2">
      <c r="E637" s="101"/>
      <c r="F637" s="101"/>
      <c r="G637" s="101"/>
    </row>
    <row r="638" spans="5:7" x14ac:dyDescent="0.2">
      <c r="E638" s="101"/>
      <c r="F638" s="101"/>
      <c r="G638" s="101"/>
    </row>
    <row r="639" spans="5:7" x14ac:dyDescent="0.2">
      <c r="E639" s="101"/>
      <c r="F639" s="101"/>
      <c r="G639" s="101"/>
    </row>
    <row r="640" spans="5:7" x14ac:dyDescent="0.2">
      <c r="E640" s="101"/>
      <c r="F640" s="101"/>
      <c r="G640" s="101"/>
    </row>
    <row r="641" spans="5:7" x14ac:dyDescent="0.2">
      <c r="E641" s="101"/>
      <c r="F641" s="101"/>
      <c r="G641" s="101"/>
    </row>
    <row r="642" spans="5:7" x14ac:dyDescent="0.2">
      <c r="E642" s="101"/>
      <c r="F642" s="101"/>
      <c r="G642" s="101"/>
    </row>
    <row r="651" spans="5:7" x14ac:dyDescent="0.2">
      <c r="E651" s="101"/>
      <c r="F651" s="101"/>
      <c r="G651" s="101"/>
    </row>
    <row r="652" spans="5:7" x14ac:dyDescent="0.2">
      <c r="E652" s="101"/>
      <c r="F652" s="101"/>
      <c r="G652" s="101"/>
    </row>
    <row r="653" spans="5:7" x14ac:dyDescent="0.2">
      <c r="E653" s="101"/>
      <c r="F653" s="101"/>
      <c r="G653" s="101"/>
    </row>
    <row r="654" spans="5:7" x14ac:dyDescent="0.2">
      <c r="E654" s="101"/>
      <c r="F654" s="101"/>
      <c r="G654" s="101"/>
    </row>
    <row r="655" spans="5:7" x14ac:dyDescent="0.2">
      <c r="E655" s="101"/>
      <c r="F655" s="101"/>
      <c r="G655" s="101"/>
    </row>
    <row r="656" spans="5:7" x14ac:dyDescent="0.2">
      <c r="E656" s="101"/>
      <c r="F656" s="101"/>
      <c r="G656" s="101"/>
    </row>
    <row r="657" spans="5:7" x14ac:dyDescent="0.2">
      <c r="E657" s="101"/>
      <c r="F657" s="101"/>
      <c r="G657" s="101"/>
    </row>
  </sheetData>
  <mergeCells count="29">
    <mergeCell ref="B50:D50"/>
    <mergeCell ref="B54:J54"/>
    <mergeCell ref="B55:J55"/>
    <mergeCell ref="H44:J44"/>
    <mergeCell ref="C45:D45"/>
    <mergeCell ref="H45:J45"/>
    <mergeCell ref="B48:D48"/>
    <mergeCell ref="B49:D49"/>
    <mergeCell ref="B1:J1"/>
    <mergeCell ref="B2:J2"/>
    <mergeCell ref="B4:J4"/>
    <mergeCell ref="B7:C7"/>
    <mergeCell ref="C28:D28"/>
    <mergeCell ref="C29:D29"/>
    <mergeCell ref="H29:J29"/>
    <mergeCell ref="B56:J56"/>
    <mergeCell ref="C46:D46"/>
    <mergeCell ref="H46:J46"/>
    <mergeCell ref="C30:D30"/>
    <mergeCell ref="H30:J30"/>
    <mergeCell ref="B32:J32"/>
    <mergeCell ref="C35:D35"/>
    <mergeCell ref="H35:J35"/>
    <mergeCell ref="C36:D36"/>
    <mergeCell ref="H36:J36"/>
    <mergeCell ref="C37:D37"/>
    <mergeCell ref="H37:J37"/>
    <mergeCell ref="B39:J39"/>
    <mergeCell ref="C44:D44"/>
  </mergeCells>
  <conditionalFormatting sqref="G41 E41">
    <cfRule type="containsText" dxfId="0" priority="1" operator="containsText" text="interbolsa">
      <formula>NOT(ISERROR(SEARCH("interbolsa",E41)))</formula>
    </cfRule>
  </conditionalFormatting>
  <pageMargins left="0.70866141732283472" right="0.70866141732283472" top="2.204724409448819" bottom="1.4173228346456694" header="0.31496062992125984" footer="0.31496062992125984"/>
  <pageSetup paperSize="119" scale="61" orientation="portrait" r:id="rId1"/>
  <headerFooter differentFirst="1">
    <oddFooter>&amp;L&amp;"Garamond,Cursiva"&amp;14Informe Financiero a Enero de 2013&amp;C5</oddFooter>
    <evenFooter>&amp;C5</evenFooter>
    <firstFooter>&amp;L&amp;"Garamond,Cursiva"&amp;14Informe Financiero a Diciembre de 2012&amp;C4</first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L158"/>
  <sheetViews>
    <sheetView workbookViewId="0">
      <selection activeCell="B10" sqref="B10"/>
    </sheetView>
  </sheetViews>
  <sheetFormatPr baseColWidth="10" defaultRowHeight="12.75" x14ac:dyDescent="0.2"/>
  <cols>
    <col min="1" max="1" width="41.140625" style="261" customWidth="1"/>
    <col min="2" max="2" width="12.28515625" style="261" bestFit="1" customWidth="1"/>
    <col min="3" max="16384" width="11.42578125" style="261"/>
  </cols>
  <sheetData>
    <row r="1" spans="1:12" ht="18.75" x14ac:dyDescent="0.3">
      <c r="A1" s="260" t="s">
        <v>264</v>
      </c>
    </row>
    <row r="3" spans="1:12" x14ac:dyDescent="0.2">
      <c r="A3" s="261" t="s">
        <v>227</v>
      </c>
      <c r="B3" s="262" t="s">
        <v>497</v>
      </c>
    </row>
    <row r="4" spans="1:12" ht="15.75" x14ac:dyDescent="0.25">
      <c r="A4" s="261" t="s">
        <v>224</v>
      </c>
      <c r="B4" s="485" t="s">
        <v>498</v>
      </c>
      <c r="C4" s="485"/>
      <c r="D4" s="485"/>
      <c r="E4" s="485"/>
      <c r="F4" s="485"/>
      <c r="G4" s="485"/>
      <c r="H4" s="485"/>
      <c r="I4" s="485"/>
      <c r="J4" s="485"/>
      <c r="K4" s="485"/>
      <c r="L4" s="485"/>
    </row>
    <row r="5" spans="1:12" x14ac:dyDescent="0.2">
      <c r="B5" s="261" t="s">
        <v>225</v>
      </c>
      <c r="C5" s="261" t="s">
        <v>226</v>
      </c>
    </row>
    <row r="6" spans="1:12" x14ac:dyDescent="0.2">
      <c r="A6" s="261" t="s">
        <v>237</v>
      </c>
      <c r="B6" s="263">
        <v>213514</v>
      </c>
      <c r="C6" s="263">
        <v>490614</v>
      </c>
    </row>
    <row r="8" spans="1:12" x14ac:dyDescent="0.2">
      <c r="A8" s="261" t="s">
        <v>492</v>
      </c>
      <c r="B8" s="261">
        <v>6270995</v>
      </c>
      <c r="C8" s="261">
        <v>0</v>
      </c>
    </row>
    <row r="9" spans="1:12" x14ac:dyDescent="0.2">
      <c r="A9" s="261" t="s">
        <v>493</v>
      </c>
      <c r="B9" s="261">
        <v>-4450000</v>
      </c>
      <c r="C9" s="261">
        <v>0</v>
      </c>
    </row>
    <row r="11" spans="1:12" ht="15.75" x14ac:dyDescent="0.25">
      <c r="A11" s="264" t="s">
        <v>269</v>
      </c>
      <c r="B11" s="265">
        <f>+bce!E5</f>
        <v>2013</v>
      </c>
      <c r="C11" s="265">
        <f>+bce!G5</f>
        <v>2012</v>
      </c>
    </row>
    <row r="13" spans="1:12" x14ac:dyDescent="0.2">
      <c r="A13" s="261" t="s">
        <v>265</v>
      </c>
      <c r="B13" s="266">
        <f>+bce!E42</f>
        <v>475178782</v>
      </c>
      <c r="C13" s="266">
        <f>+bce!G42</f>
        <v>438346533</v>
      </c>
    </row>
    <row r="14" spans="1:12" x14ac:dyDescent="0.2">
      <c r="A14" s="261" t="s">
        <v>267</v>
      </c>
      <c r="B14" s="266">
        <f>+bce!Q29</f>
        <v>123586899</v>
      </c>
      <c r="C14" s="266">
        <f>+bce!S29</f>
        <v>102361894</v>
      </c>
    </row>
    <row r="15" spans="1:12" x14ac:dyDescent="0.2">
      <c r="A15" s="261" t="s">
        <v>266</v>
      </c>
      <c r="B15" s="267">
        <f>+bce!Q40</f>
        <v>351591883</v>
      </c>
      <c r="C15" s="267">
        <f>+bce!S40</f>
        <v>335984639</v>
      </c>
    </row>
    <row r="16" spans="1:12" x14ac:dyDescent="0.2">
      <c r="A16" s="261" t="s">
        <v>268</v>
      </c>
      <c r="B16" s="268">
        <f>+B13-B14-B15</f>
        <v>0</v>
      </c>
      <c r="C16" s="268">
        <f>+C13-C14-C15</f>
        <v>0</v>
      </c>
    </row>
    <row r="19" spans="1:3" ht="15.75" x14ac:dyDescent="0.25">
      <c r="A19" s="264" t="s">
        <v>270</v>
      </c>
      <c r="B19" s="265">
        <f>+$B$11</f>
        <v>2013</v>
      </c>
      <c r="C19" s="265">
        <f>+$C$11</f>
        <v>2012</v>
      </c>
    </row>
    <row r="20" spans="1:3" ht="15.75" x14ac:dyDescent="0.25">
      <c r="A20" s="264"/>
      <c r="B20" s="264"/>
      <c r="C20" s="264"/>
    </row>
    <row r="21" spans="1:3" x14ac:dyDescent="0.2">
      <c r="A21" s="261" t="str">
        <f>+pyg!A14</f>
        <v>Total Ingresos operacionales</v>
      </c>
      <c r="B21" s="266">
        <f>+pyg!D14</f>
        <v>199753003</v>
      </c>
      <c r="C21" s="266">
        <f>+pyg!F14</f>
        <v>171603316</v>
      </c>
    </row>
    <row r="22" spans="1:3" x14ac:dyDescent="0.2">
      <c r="A22" s="261" t="str">
        <f>+pyg!A18</f>
        <v>Total Gastos Operacionales</v>
      </c>
      <c r="B22" s="266">
        <f>+pyg!D18</f>
        <v>189560670</v>
      </c>
      <c r="C22" s="266">
        <f>+pyg!F18</f>
        <v>169285841</v>
      </c>
    </row>
    <row r="23" spans="1:3" x14ac:dyDescent="0.2">
      <c r="A23" s="261" t="str">
        <f>+pyg!A21</f>
        <v>Excedente operacionales</v>
      </c>
      <c r="B23" s="268">
        <f>+B21-B22</f>
        <v>10192333</v>
      </c>
      <c r="C23" s="268">
        <f>+C21-C22</f>
        <v>2317475</v>
      </c>
    </row>
    <row r="24" spans="1:3" x14ac:dyDescent="0.2">
      <c r="B24" s="269"/>
      <c r="C24" s="269"/>
    </row>
    <row r="26" spans="1:3" x14ac:dyDescent="0.2">
      <c r="A26" s="261" t="str">
        <f>+pyg!A33</f>
        <v>Total ingresos no operacionales</v>
      </c>
      <c r="B26" s="266">
        <f>+pyg!D33</f>
        <v>10791263</v>
      </c>
      <c r="C26" s="266">
        <f>+pyg!F33</f>
        <v>13218245</v>
      </c>
    </row>
    <row r="27" spans="1:3" x14ac:dyDescent="0.2">
      <c r="A27" s="261" t="str">
        <f>+pyg!A38</f>
        <v>Total gastos no operacionales</v>
      </c>
      <c r="B27" s="266">
        <f>+pyg!D38</f>
        <v>5637264</v>
      </c>
      <c r="C27" s="266">
        <f>+pyg!F38</f>
        <v>4454831</v>
      </c>
    </row>
    <row r="28" spans="1:3" x14ac:dyDescent="0.2">
      <c r="A28" s="261" t="s">
        <v>271</v>
      </c>
      <c r="B28" s="268">
        <f>+B26-B27</f>
        <v>5153999</v>
      </c>
      <c r="C28" s="268">
        <f>+C26-C27</f>
        <v>8763414</v>
      </c>
    </row>
    <row r="31" spans="1:3" x14ac:dyDescent="0.2">
      <c r="A31" s="270" t="str">
        <f>+pyg!A41</f>
        <v>EXCEDENTE NETO</v>
      </c>
      <c r="B31" s="271">
        <f>+B23+B28</f>
        <v>15346332</v>
      </c>
      <c r="C31" s="271">
        <f>+C23+C28</f>
        <v>11080889</v>
      </c>
    </row>
    <row r="32" spans="1:3" x14ac:dyDescent="0.2">
      <c r="A32" s="261" t="s">
        <v>268</v>
      </c>
      <c r="B32" s="268">
        <f>+B31-pyg!D41</f>
        <v>0</v>
      </c>
      <c r="C32" s="268">
        <f>+C31-pyg!F41</f>
        <v>0</v>
      </c>
    </row>
    <row r="35" spans="1:4" ht="15.75" x14ac:dyDescent="0.25">
      <c r="A35" s="264" t="s">
        <v>272</v>
      </c>
      <c r="B35" s="265">
        <f>+$B$11</f>
        <v>2013</v>
      </c>
      <c r="C35" s="265">
        <f>+$C$11</f>
        <v>2012</v>
      </c>
    </row>
    <row r="37" spans="1:4" x14ac:dyDescent="0.2">
      <c r="A37" s="261" t="s">
        <v>0</v>
      </c>
      <c r="B37" s="266">
        <f>+notas!D14</f>
        <v>45228345</v>
      </c>
      <c r="C37" s="266">
        <f>+notas!F14</f>
        <v>3735005</v>
      </c>
    </row>
    <row r="38" spans="1:4" x14ac:dyDescent="0.2">
      <c r="A38" s="261" t="s">
        <v>268</v>
      </c>
      <c r="B38" s="268">
        <f>+B37-bce!E13</f>
        <v>0</v>
      </c>
      <c r="C38" s="268">
        <f>+C37-bce!G13</f>
        <v>0</v>
      </c>
    </row>
    <row r="40" spans="1:4" x14ac:dyDescent="0.2">
      <c r="A40" s="272" t="s">
        <v>4</v>
      </c>
      <c r="B40" s="273" t="e">
        <f>+notas!#REF!</f>
        <v>#REF!</v>
      </c>
      <c r="C40" s="273" t="e">
        <f>+notas!#REF!</f>
        <v>#REF!</v>
      </c>
      <c r="D40" s="272"/>
    </row>
    <row r="41" spans="1:4" x14ac:dyDescent="0.2">
      <c r="A41" s="272" t="s">
        <v>268</v>
      </c>
      <c r="B41" s="274" t="e">
        <f>+B40-bce!E16</f>
        <v>#REF!</v>
      </c>
      <c r="C41" s="274" t="e">
        <f>+C40-bce!G16</f>
        <v>#REF!</v>
      </c>
      <c r="D41" s="272"/>
    </row>
    <row r="43" spans="1:4" x14ac:dyDescent="0.2">
      <c r="A43" s="261" t="s">
        <v>120</v>
      </c>
    </row>
    <row r="44" spans="1:4" x14ac:dyDescent="0.2">
      <c r="A44" s="275" t="s">
        <v>273</v>
      </c>
      <c r="B44" s="266">
        <f>+notas!D104</f>
        <v>71215801</v>
      </c>
      <c r="C44" s="266">
        <f>+notas!F104</f>
        <v>65301719</v>
      </c>
    </row>
    <row r="45" spans="1:4" x14ac:dyDescent="0.2">
      <c r="A45" s="261" t="s">
        <v>268</v>
      </c>
      <c r="B45" s="268">
        <f>+B44-bce!E15</f>
        <v>0</v>
      </c>
      <c r="C45" s="268">
        <f>+C44-bce!G15</f>
        <v>0</v>
      </c>
    </row>
    <row r="46" spans="1:4" x14ac:dyDescent="0.2">
      <c r="A46" s="275"/>
      <c r="B46" s="266"/>
      <c r="C46" s="266"/>
    </row>
    <row r="47" spans="1:4" x14ac:dyDescent="0.2">
      <c r="A47" s="275" t="s">
        <v>274</v>
      </c>
      <c r="B47" s="266">
        <f>+notas!D118</f>
        <v>162916</v>
      </c>
      <c r="C47" s="266">
        <f>+notas!F118</f>
        <v>7172162</v>
      </c>
    </row>
    <row r="48" spans="1:4" x14ac:dyDescent="0.2">
      <c r="A48" s="261" t="s">
        <v>268</v>
      </c>
      <c r="B48" s="268">
        <f>+B47-bce!E29</f>
        <v>0</v>
      </c>
      <c r="C48" s="268">
        <f>+C47-bce!G29</f>
        <v>0</v>
      </c>
    </row>
    <row r="50" spans="1:3" x14ac:dyDescent="0.2">
      <c r="A50" s="261" t="s">
        <v>118</v>
      </c>
      <c r="B50" s="266">
        <f>+notas!D130</f>
        <v>709599</v>
      </c>
      <c r="C50" s="266">
        <f>+notas!F130</f>
        <v>759220</v>
      </c>
    </row>
    <row r="51" spans="1:3" x14ac:dyDescent="0.2">
      <c r="A51" s="261" t="s">
        <v>268</v>
      </c>
      <c r="B51" s="268">
        <f>+B50-bce!E17</f>
        <v>0</v>
      </c>
      <c r="C51" s="268">
        <f>+C50-bce!G17</f>
        <v>0</v>
      </c>
    </row>
    <row r="53" spans="1:3" x14ac:dyDescent="0.2">
      <c r="A53" s="261" t="s">
        <v>119</v>
      </c>
      <c r="B53" s="266">
        <f>+notas!D152</f>
        <v>137956712</v>
      </c>
      <c r="C53" s="266">
        <f>+notas!F152</f>
        <v>141203834</v>
      </c>
    </row>
    <row r="54" spans="1:3" x14ac:dyDescent="0.2">
      <c r="A54" s="261" t="s">
        <v>268</v>
      </c>
      <c r="B54" s="268">
        <f>+B53-bce!E27</f>
        <v>0</v>
      </c>
      <c r="C54" s="268">
        <f>+C53-bce!G27</f>
        <v>0</v>
      </c>
    </row>
    <row r="56" spans="1:3" x14ac:dyDescent="0.2">
      <c r="A56" s="261" t="s">
        <v>250</v>
      </c>
      <c r="B56" s="266">
        <f>+notas!D172</f>
        <v>2463791</v>
      </c>
      <c r="C56" s="266">
        <f>+notas!F172</f>
        <v>1730509</v>
      </c>
    </row>
    <row r="57" spans="1:3" x14ac:dyDescent="0.2">
      <c r="A57" s="261" t="s">
        <v>268</v>
      </c>
      <c r="B57" s="268">
        <f>+B56-bce!E30</f>
        <v>0</v>
      </c>
      <c r="C57" s="268">
        <f>+C56-bce!G30</f>
        <v>0</v>
      </c>
    </row>
    <row r="59" spans="1:3" x14ac:dyDescent="0.2">
      <c r="A59" s="261" t="s">
        <v>57</v>
      </c>
    </row>
    <row r="60" spans="1:3" x14ac:dyDescent="0.2">
      <c r="A60" s="261" t="s">
        <v>277</v>
      </c>
      <c r="B60" s="266">
        <f>+notas!D205</f>
        <v>186499763</v>
      </c>
      <c r="C60" s="266">
        <f>+notas!F205</f>
        <v>186944437</v>
      </c>
    </row>
    <row r="61" spans="1:3" x14ac:dyDescent="0.2">
      <c r="A61" s="261" t="s">
        <v>268</v>
      </c>
      <c r="B61" s="268">
        <f>+B60-bce!E33</f>
        <v>0</v>
      </c>
      <c r="C61" s="268">
        <f>+C60-bce!G33</f>
        <v>0</v>
      </c>
    </row>
    <row r="62" spans="1:3" x14ac:dyDescent="0.2">
      <c r="B62" s="276"/>
      <c r="C62" s="276"/>
    </row>
    <row r="63" spans="1:3" x14ac:dyDescent="0.2">
      <c r="A63" s="261" t="s">
        <v>278</v>
      </c>
      <c r="B63" s="266">
        <f>+notas!D205</f>
        <v>186499763</v>
      </c>
      <c r="C63" s="266">
        <f>+notas!F205</f>
        <v>186944437</v>
      </c>
    </row>
    <row r="64" spans="1:3" x14ac:dyDescent="0.2">
      <c r="A64" s="261" t="s">
        <v>268</v>
      </c>
      <c r="B64" s="268">
        <f>+B63-bce!Q38</f>
        <v>0</v>
      </c>
      <c r="C64" s="268">
        <f>+C63-bce!S38</f>
        <v>0</v>
      </c>
    </row>
    <row r="65" spans="1:3" x14ac:dyDescent="0.2">
      <c r="B65" s="276"/>
      <c r="C65" s="276"/>
    </row>
    <row r="66" spans="1:3" x14ac:dyDescent="0.2">
      <c r="A66" s="261" t="s">
        <v>98</v>
      </c>
    </row>
    <row r="67" spans="1:3" x14ac:dyDescent="0.2">
      <c r="A67" s="275" t="s">
        <v>275</v>
      </c>
      <c r="B67" s="266">
        <f>+notas!D219</f>
        <v>2028078</v>
      </c>
      <c r="C67" s="266">
        <f>+notas!F219</f>
        <v>5950000</v>
      </c>
    </row>
    <row r="68" spans="1:3" x14ac:dyDescent="0.2">
      <c r="A68" s="261" t="s">
        <v>268</v>
      </c>
      <c r="B68" s="268">
        <f>+B67-bce!Q11</f>
        <v>0</v>
      </c>
      <c r="C68" s="268">
        <f>+C67-bce!S11</f>
        <v>0</v>
      </c>
    </row>
    <row r="69" spans="1:3" x14ac:dyDescent="0.2">
      <c r="A69" s="275"/>
      <c r="B69" s="269"/>
      <c r="C69" s="269"/>
    </row>
    <row r="70" spans="1:3" x14ac:dyDescent="0.2">
      <c r="A70" s="275" t="s">
        <v>276</v>
      </c>
      <c r="B70" s="266">
        <f>+notas!D230</f>
        <v>4871</v>
      </c>
      <c r="C70" s="266">
        <f>+notas!F230</f>
        <v>5514372</v>
      </c>
    </row>
    <row r="71" spans="1:3" x14ac:dyDescent="0.2">
      <c r="A71" s="261" t="s">
        <v>268</v>
      </c>
      <c r="B71" s="268">
        <f>+B70-bce!Q24</f>
        <v>0</v>
      </c>
      <c r="C71" s="268">
        <f>+C70-bce!S24</f>
        <v>0</v>
      </c>
    </row>
    <row r="73" spans="1:3" x14ac:dyDescent="0.2">
      <c r="A73" s="261" t="s">
        <v>99</v>
      </c>
      <c r="B73" s="266">
        <f>+notas!D245</f>
        <v>9173070</v>
      </c>
      <c r="C73" s="266">
        <f>+notas!F245</f>
        <v>8043335</v>
      </c>
    </row>
    <row r="74" spans="1:3" x14ac:dyDescent="0.2">
      <c r="A74" s="261" t="s">
        <v>268</v>
      </c>
      <c r="B74" s="268">
        <f>+B73-bce!Q13</f>
        <v>0</v>
      </c>
      <c r="C74" s="268">
        <f>+C73-bce!S13</f>
        <v>0</v>
      </c>
    </row>
    <row r="76" spans="1:3" x14ac:dyDescent="0.2">
      <c r="A76" s="261" t="s">
        <v>100</v>
      </c>
      <c r="B76" s="266">
        <f>+notas!D257</f>
        <v>4125597</v>
      </c>
      <c r="C76" s="266">
        <f>+notas!F257</f>
        <v>3669772</v>
      </c>
    </row>
    <row r="77" spans="1:3" x14ac:dyDescent="0.2">
      <c r="A77" s="261" t="s">
        <v>268</v>
      </c>
      <c r="B77" s="268">
        <f>+B76-bce!Q14</f>
        <v>0</v>
      </c>
      <c r="C77" s="268">
        <f>+C76-bce!S14</f>
        <v>0</v>
      </c>
    </row>
    <row r="79" spans="1:3" x14ac:dyDescent="0.2">
      <c r="A79" s="261" t="s">
        <v>101</v>
      </c>
      <c r="B79" s="266">
        <f>++notas!D271</f>
        <v>21010459</v>
      </c>
      <c r="C79" s="266">
        <f>++notas!F271</f>
        <v>4919727</v>
      </c>
    </row>
    <row r="80" spans="1:3" x14ac:dyDescent="0.2">
      <c r="A80" s="261" t="s">
        <v>268</v>
      </c>
      <c r="B80" s="268">
        <f>+B79-bce!Q15</f>
        <v>0</v>
      </c>
      <c r="C80" s="268">
        <f>+C79-bce!S15</f>
        <v>0</v>
      </c>
    </row>
    <row r="82" spans="1:3" x14ac:dyDescent="0.2">
      <c r="A82" s="261" t="s">
        <v>154</v>
      </c>
      <c r="B82" s="266">
        <f>+notas!D293</f>
        <v>81789866</v>
      </c>
      <c r="C82" s="266">
        <f>+notas!F293</f>
        <v>70894628</v>
      </c>
    </row>
    <row r="83" spans="1:3" x14ac:dyDescent="0.2">
      <c r="A83" s="261" t="s">
        <v>268</v>
      </c>
      <c r="B83" s="268">
        <f>+B82-bce!Q25</f>
        <v>0</v>
      </c>
      <c r="C83" s="268">
        <f>+C82-bce!S25</f>
        <v>0</v>
      </c>
    </row>
    <row r="85" spans="1:3" x14ac:dyDescent="0.2">
      <c r="A85" s="261" t="s">
        <v>155</v>
      </c>
      <c r="B85" s="266">
        <f>notas!D316</f>
        <v>9435832</v>
      </c>
      <c r="C85" s="266">
        <f>notas!F316</f>
        <v>8730246</v>
      </c>
    </row>
    <row r="86" spans="1:3" x14ac:dyDescent="0.2">
      <c r="A86" s="261" t="s">
        <v>268</v>
      </c>
      <c r="B86" s="268">
        <f>+B85-bce!Q34</f>
        <v>0</v>
      </c>
      <c r="C86" s="268">
        <f>+C85-bce!S34</f>
        <v>0</v>
      </c>
    </row>
    <row r="88" spans="1:3" x14ac:dyDescent="0.2">
      <c r="A88" s="261" t="s">
        <v>156</v>
      </c>
      <c r="B88" s="266">
        <f>+pyg!D9</f>
        <v>183349234</v>
      </c>
      <c r="C88" s="266">
        <f>+pyg!F9</f>
        <v>159740093</v>
      </c>
    </row>
    <row r="89" spans="1:3" x14ac:dyDescent="0.2">
      <c r="A89" s="261" t="s">
        <v>268</v>
      </c>
      <c r="B89" s="268">
        <f>+B88-notas!D343</f>
        <v>0</v>
      </c>
      <c r="C89" s="268">
        <f>+C88-notas!F343</f>
        <v>0</v>
      </c>
    </row>
    <row r="91" spans="1:3" x14ac:dyDescent="0.2">
      <c r="A91" s="261" t="s">
        <v>157</v>
      </c>
      <c r="B91" s="266">
        <f>+pyg!D10</f>
        <v>37266781</v>
      </c>
      <c r="C91" s="266">
        <f>+pyg!F10</f>
        <v>26138228</v>
      </c>
    </row>
    <row r="92" spans="1:3" x14ac:dyDescent="0.2">
      <c r="A92" s="261" t="s">
        <v>268</v>
      </c>
      <c r="B92" s="268">
        <f>+B91-notas!D365</f>
        <v>0</v>
      </c>
      <c r="C92" s="268">
        <f>+C91-notas!F365</f>
        <v>0</v>
      </c>
    </row>
    <row r="94" spans="1:3" x14ac:dyDescent="0.2">
      <c r="A94" s="261" t="s">
        <v>158</v>
      </c>
      <c r="B94" s="266">
        <f>+pyg!D11</f>
        <v>-2801651</v>
      </c>
      <c r="C94" s="266">
        <f>+pyg!F11</f>
        <v>-2182842</v>
      </c>
    </row>
    <row r="95" spans="1:3" x14ac:dyDescent="0.2">
      <c r="A95" s="261" t="s">
        <v>268</v>
      </c>
      <c r="B95" s="268">
        <f>+B94-notas!D384</f>
        <v>0</v>
      </c>
      <c r="C95" s="268">
        <f>+C94-notas!F384</f>
        <v>0</v>
      </c>
    </row>
    <row r="97" spans="1:3" x14ac:dyDescent="0.2">
      <c r="A97" s="261" t="s">
        <v>159</v>
      </c>
      <c r="B97" s="266">
        <f>+pyg!D12</f>
        <v>-12146492</v>
      </c>
      <c r="C97" s="266">
        <f>+pyg!F12</f>
        <v>-7116317</v>
      </c>
    </row>
    <row r="98" spans="1:3" x14ac:dyDescent="0.2">
      <c r="A98" s="261" t="s">
        <v>268</v>
      </c>
      <c r="B98" s="268">
        <f>+B97-notas!D400</f>
        <v>0</v>
      </c>
      <c r="C98" s="268">
        <f>+C97-notas!F400</f>
        <v>0</v>
      </c>
    </row>
    <row r="100" spans="1:3" x14ac:dyDescent="0.2">
      <c r="A100" s="261" t="s">
        <v>160</v>
      </c>
      <c r="B100" s="266">
        <f>+pyg!D13</f>
        <v>-5914869</v>
      </c>
      <c r="C100" s="266">
        <f>+pyg!F13</f>
        <v>-4975846</v>
      </c>
    </row>
    <row r="101" spans="1:3" x14ac:dyDescent="0.2">
      <c r="A101" s="261" t="s">
        <v>268</v>
      </c>
      <c r="B101" s="268">
        <f>+B100-notas!D417</f>
        <v>0</v>
      </c>
      <c r="C101" s="268">
        <f>+C100-notas!F417</f>
        <v>0</v>
      </c>
    </row>
    <row r="103" spans="1:3" x14ac:dyDescent="0.2">
      <c r="A103" s="261" t="s">
        <v>161</v>
      </c>
      <c r="B103" s="266">
        <f>+pyg!D17</f>
        <v>189560670</v>
      </c>
      <c r="C103" s="266">
        <f>+pyg!F17</f>
        <v>169285841</v>
      </c>
    </row>
    <row r="104" spans="1:3" x14ac:dyDescent="0.2">
      <c r="A104" s="261" t="s">
        <v>268</v>
      </c>
      <c r="B104" s="268">
        <f>+B103-notas!D457</f>
        <v>0</v>
      </c>
      <c r="C104" s="268">
        <f>+C103-notas!F457</f>
        <v>0</v>
      </c>
    </row>
    <row r="106" spans="1:3" x14ac:dyDescent="0.2">
      <c r="A106" s="261" t="s">
        <v>162</v>
      </c>
      <c r="B106" s="266">
        <f>+pyg!D24</f>
        <v>3077437</v>
      </c>
      <c r="C106" s="266">
        <f>+pyg!F24</f>
        <v>3689290</v>
      </c>
    </row>
    <row r="107" spans="1:3" x14ac:dyDescent="0.2">
      <c r="A107" s="261" t="s">
        <v>268</v>
      </c>
      <c r="B107" s="268">
        <f>+B106-notas!D474</f>
        <v>0</v>
      </c>
      <c r="C107" s="268">
        <f>+C106-notas!F474</f>
        <v>0</v>
      </c>
    </row>
    <row r="109" spans="1:3" x14ac:dyDescent="0.2">
      <c r="A109" s="261" t="s">
        <v>163</v>
      </c>
      <c r="B109" s="266">
        <f>+pyg!D25</f>
        <v>1828838</v>
      </c>
      <c r="C109" s="266">
        <f>+pyg!F25</f>
        <v>2711105</v>
      </c>
    </row>
    <row r="110" spans="1:3" x14ac:dyDescent="0.2">
      <c r="A110" s="261" t="s">
        <v>268</v>
      </c>
      <c r="B110" s="268">
        <f>+B109-notas!D486</f>
        <v>0</v>
      </c>
      <c r="C110" s="268">
        <f>+C109-notas!F486</f>
        <v>0</v>
      </c>
    </row>
    <row r="112" spans="1:3" x14ac:dyDescent="0.2">
      <c r="A112" s="261" t="s">
        <v>232</v>
      </c>
      <c r="B112" s="266">
        <f>+pyg!D27</f>
        <v>121062</v>
      </c>
      <c r="C112" s="266">
        <f>+pyg!F27</f>
        <v>216024</v>
      </c>
    </row>
    <row r="113" spans="1:3" x14ac:dyDescent="0.2">
      <c r="A113" s="261" t="s">
        <v>268</v>
      </c>
      <c r="B113" s="268">
        <f>+B112-notas!D499</f>
        <v>0</v>
      </c>
      <c r="C113" s="268">
        <f>+C112-notas!F499</f>
        <v>0</v>
      </c>
    </row>
    <row r="115" spans="1:3" x14ac:dyDescent="0.2">
      <c r="A115" s="261" t="s">
        <v>164</v>
      </c>
      <c r="B115" s="266">
        <f>+pyg!D32</f>
        <v>1625420</v>
      </c>
      <c r="C115" s="266">
        <f>+pyg!F32</f>
        <v>2115504</v>
      </c>
    </row>
    <row r="116" spans="1:3" x14ac:dyDescent="0.2">
      <c r="A116" s="261" t="s">
        <v>268</v>
      </c>
      <c r="B116" s="268">
        <f>+B115-notas!D519</f>
        <v>0</v>
      </c>
      <c r="C116" s="268">
        <f>+C115-notas!F519</f>
        <v>0</v>
      </c>
    </row>
    <row r="118" spans="1:3" x14ac:dyDescent="0.2">
      <c r="A118" s="261" t="s">
        <v>165</v>
      </c>
      <c r="B118" s="266">
        <f>+pyg!D36</f>
        <v>1679521</v>
      </c>
      <c r="C118" s="266">
        <f>+pyg!F36</f>
        <v>2087262</v>
      </c>
    </row>
    <row r="119" spans="1:3" x14ac:dyDescent="0.2">
      <c r="A119" s="261" t="s">
        <v>268</v>
      </c>
      <c r="B119" s="268">
        <f>+B118-notas!D535</f>
        <v>0</v>
      </c>
      <c r="C119" s="268">
        <f>+C118-notas!F535</f>
        <v>0</v>
      </c>
    </row>
    <row r="121" spans="1:3" x14ac:dyDescent="0.2">
      <c r="A121" s="261" t="s">
        <v>166</v>
      </c>
      <c r="B121" s="266">
        <f>+pyg!D37</f>
        <v>3957743</v>
      </c>
      <c r="C121" s="266">
        <f>+pyg!F37</f>
        <v>2367569</v>
      </c>
    </row>
    <row r="122" spans="1:3" x14ac:dyDescent="0.2">
      <c r="A122" s="261" t="s">
        <v>268</v>
      </c>
      <c r="B122" s="268">
        <f>+B121-notas!D552</f>
        <v>0</v>
      </c>
      <c r="C122" s="268">
        <f>+C121-notas!F552</f>
        <v>0</v>
      </c>
    </row>
    <row r="124" spans="1:3" x14ac:dyDescent="0.2">
      <c r="A124" s="261" t="s">
        <v>260</v>
      </c>
    </row>
    <row r="125" spans="1:3" x14ac:dyDescent="0.2">
      <c r="A125" s="275" t="s">
        <v>279</v>
      </c>
      <c r="B125" s="266">
        <f>+notas!D567</f>
        <v>9701234</v>
      </c>
      <c r="C125" s="266">
        <f>+notas!F567</f>
        <v>10240433</v>
      </c>
    </row>
    <row r="126" spans="1:3" x14ac:dyDescent="0.2">
      <c r="A126" s="261" t="s">
        <v>268</v>
      </c>
      <c r="B126" s="268">
        <f>+B125-bce!E44</f>
        <v>0</v>
      </c>
      <c r="C126" s="268">
        <f>+C125-bce!G44</f>
        <v>0</v>
      </c>
    </row>
    <row r="128" spans="1:3" x14ac:dyDescent="0.2">
      <c r="A128" s="275" t="s">
        <v>280</v>
      </c>
      <c r="B128" s="266">
        <f>+notas!D575</f>
        <v>442719</v>
      </c>
      <c r="C128" s="266">
        <f>+notas!F575</f>
        <v>661026</v>
      </c>
    </row>
    <row r="129" spans="1:3" x14ac:dyDescent="0.2">
      <c r="A129" s="261" t="s">
        <v>268</v>
      </c>
      <c r="B129" s="268">
        <f>+B128-bce!Q44</f>
        <v>0</v>
      </c>
      <c r="C129" s="268">
        <f>+C128-bce!S44</f>
        <v>0</v>
      </c>
    </row>
    <row r="132" spans="1:3" ht="15.75" x14ac:dyDescent="0.25">
      <c r="A132" s="264" t="s">
        <v>281</v>
      </c>
      <c r="B132" s="265">
        <f>+$B$11</f>
        <v>2013</v>
      </c>
      <c r="C132" s="265">
        <f>+$C$11</f>
        <v>2012</v>
      </c>
    </row>
    <row r="134" spans="1:3" ht="18.75" x14ac:dyDescent="0.3">
      <c r="A134" s="277" t="s">
        <v>282</v>
      </c>
    </row>
    <row r="135" spans="1:3" x14ac:dyDescent="0.2">
      <c r="A135" s="261" t="s">
        <v>94</v>
      </c>
      <c r="B135" s="278">
        <f>+'res bce'!C16</f>
        <v>475178782</v>
      </c>
      <c r="C135" s="278">
        <f>+'res bce'!E16</f>
        <v>438346533</v>
      </c>
    </row>
    <row r="136" spans="1:3" x14ac:dyDescent="0.2">
      <c r="A136" s="261" t="s">
        <v>268</v>
      </c>
      <c r="B136" s="268">
        <f>+B135-B13</f>
        <v>0</v>
      </c>
      <c r="C136" s="268">
        <f>+C135-C13</f>
        <v>0</v>
      </c>
    </row>
    <row r="138" spans="1:3" x14ac:dyDescent="0.2">
      <c r="A138" s="261" t="s">
        <v>283</v>
      </c>
      <c r="B138" s="278">
        <f>+'res bce'!C21</f>
        <v>123586899</v>
      </c>
      <c r="C138" s="278">
        <f>+'res bce'!E21</f>
        <v>102361894</v>
      </c>
    </row>
    <row r="139" spans="1:3" x14ac:dyDescent="0.2">
      <c r="A139" s="261" t="s">
        <v>268</v>
      </c>
      <c r="B139" s="268">
        <f>+B138-B14</f>
        <v>0</v>
      </c>
      <c r="C139" s="268">
        <f>+C138-bce!S29</f>
        <v>0</v>
      </c>
    </row>
    <row r="140" spans="1:3" x14ac:dyDescent="0.2">
      <c r="B140" s="276"/>
      <c r="C140" s="276"/>
    </row>
    <row r="141" spans="1:3" x14ac:dyDescent="0.2">
      <c r="A141" s="261" t="s">
        <v>222</v>
      </c>
      <c r="B141" s="278">
        <f>+'res bce'!C29</f>
        <v>351591883</v>
      </c>
      <c r="C141" s="278">
        <f>+'res bce'!E29</f>
        <v>335984639</v>
      </c>
    </row>
    <row r="142" spans="1:3" x14ac:dyDescent="0.2">
      <c r="A142" s="261" t="s">
        <v>268</v>
      </c>
      <c r="B142" s="268">
        <f>+B141-B15</f>
        <v>0</v>
      </c>
      <c r="C142" s="268">
        <f>+C141-bce!S40</f>
        <v>0</v>
      </c>
    </row>
    <row r="144" spans="1:3" x14ac:dyDescent="0.2">
      <c r="A144" s="261" t="s">
        <v>284</v>
      </c>
      <c r="B144" s="278">
        <f>+'res bce'!C31</f>
        <v>475178782</v>
      </c>
      <c r="C144" s="278">
        <f>+'res bce'!E31</f>
        <v>438346533</v>
      </c>
    </row>
    <row r="145" spans="1:3" x14ac:dyDescent="0.2">
      <c r="A145" s="261" t="s">
        <v>268</v>
      </c>
      <c r="B145" s="268">
        <f>+B144-B141-B138</f>
        <v>0</v>
      </c>
      <c r="C145" s="268">
        <f>+C144-C141-C138</f>
        <v>0</v>
      </c>
    </row>
    <row r="148" spans="1:3" ht="18.75" x14ac:dyDescent="0.3">
      <c r="A148" s="277" t="s">
        <v>270</v>
      </c>
    </row>
    <row r="149" spans="1:3" x14ac:dyDescent="0.2">
      <c r="A149" s="261" t="s">
        <v>285</v>
      </c>
      <c r="B149" s="278">
        <f>+'resumen pyg'!C23</f>
        <v>210544266</v>
      </c>
      <c r="C149" s="278">
        <f>+'resumen pyg'!E23</f>
        <v>184821561</v>
      </c>
    </row>
    <row r="150" spans="1:3" x14ac:dyDescent="0.2">
      <c r="A150" s="261" t="s">
        <v>268</v>
      </c>
      <c r="B150" s="268">
        <f>+B149-B21-B26</f>
        <v>0</v>
      </c>
      <c r="C150" s="268">
        <f>+C149-C21-C26</f>
        <v>0</v>
      </c>
    </row>
    <row r="152" spans="1:3" x14ac:dyDescent="0.2">
      <c r="A152" s="261" t="s">
        <v>286</v>
      </c>
      <c r="B152" s="278">
        <f>+'resumen pyg'!C45</f>
        <v>195197934</v>
      </c>
      <c r="C152" s="278">
        <f>+'resumen pyg'!E45</f>
        <v>173740672</v>
      </c>
    </row>
    <row r="153" spans="1:3" x14ac:dyDescent="0.2">
      <c r="A153" s="261" t="s">
        <v>268</v>
      </c>
      <c r="B153" s="268">
        <f>+B152-B22-B27</f>
        <v>0</v>
      </c>
      <c r="C153" s="268">
        <f>+C152-C22-C27</f>
        <v>0</v>
      </c>
    </row>
    <row r="154" spans="1:3" x14ac:dyDescent="0.2">
      <c r="B154" s="276"/>
      <c r="C154" s="276"/>
    </row>
    <row r="155" spans="1:3" x14ac:dyDescent="0.2">
      <c r="A155" s="261" t="s">
        <v>287</v>
      </c>
      <c r="B155" s="278">
        <f>+'resumen pyg'!C47</f>
        <v>15346332</v>
      </c>
      <c r="C155" s="278">
        <f>+'resumen pyg'!E47</f>
        <v>11080889</v>
      </c>
    </row>
    <row r="156" spans="1:3" x14ac:dyDescent="0.2">
      <c r="A156" s="261" t="s">
        <v>268</v>
      </c>
      <c r="B156" s="268">
        <f>+B155-B31</f>
        <v>0</v>
      </c>
      <c r="C156" s="268">
        <f>+C155-C31</f>
        <v>0</v>
      </c>
    </row>
    <row r="158" spans="1:3" x14ac:dyDescent="0.2">
      <c r="A158" s="279" t="s">
        <v>289</v>
      </c>
      <c r="B158" s="268">
        <f>B156+B153+B150+B145+B142+B139+B136+B129+B126+B122+B119+B116+B113+B110+B107+B104+B101+B98+B95+B92+B89+B86+B83+B80+B77+B74+B71+B68+B64+B61+B57+B51+B48+B45+B38+B32</f>
        <v>0</v>
      </c>
      <c r="C158" s="268">
        <f>C156+C153+C150+C145+C142+C139+C136+C129+C126+C122+C119+C116+C113+C110+C107+C104+C101+C98+C95+C92+C89+C86+C83+C80+C77+C74+C71+C68+C64+C61+C57+C51+C48+C45+C38+C32</f>
        <v>0</v>
      </c>
    </row>
  </sheetData>
  <mergeCells count="1">
    <mergeCell ref="B4:L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indexed="10"/>
  </sheetPr>
  <dimension ref="A2:Q218"/>
  <sheetViews>
    <sheetView showGridLines="0" zoomScale="75" zoomScaleNormal="75" workbookViewId="0">
      <selection activeCell="C25" sqref="C25"/>
    </sheetView>
  </sheetViews>
  <sheetFormatPr baseColWidth="10" defaultRowHeight="12.75" x14ac:dyDescent="0.2"/>
  <cols>
    <col min="1" max="1" width="37.5703125" style="38" bestFit="1" customWidth="1"/>
    <col min="2" max="2" width="3" style="38" customWidth="1"/>
    <col min="3" max="3" width="15.42578125" style="38" bestFit="1" customWidth="1"/>
    <col min="4" max="4" width="3.140625" style="38" customWidth="1"/>
    <col min="5" max="5" width="15.42578125" style="38" bestFit="1" customWidth="1"/>
    <col min="6" max="6" width="3.42578125" style="38" customWidth="1"/>
    <col min="7" max="7" width="15.140625" style="38" bestFit="1" customWidth="1"/>
    <col min="8" max="8" width="3.5703125" style="38" hidden="1" customWidth="1"/>
    <col min="9" max="9" width="4.28515625" style="38" hidden="1" customWidth="1"/>
    <col min="10" max="10" width="5.85546875" style="38" hidden="1" customWidth="1"/>
    <col min="11" max="11" width="3.42578125" style="38" hidden="1" customWidth="1"/>
    <col min="12" max="12" width="14.140625" style="38" hidden="1" customWidth="1"/>
    <col min="13" max="13" width="3.42578125" style="38" hidden="1" customWidth="1"/>
    <col min="14" max="14" width="12" style="38" hidden="1" customWidth="1"/>
    <col min="15" max="15" width="2.85546875" style="38" hidden="1" customWidth="1"/>
    <col min="16" max="16" width="3" style="38" hidden="1" customWidth="1"/>
    <col min="17" max="17" width="11.42578125" style="38" hidden="1" customWidth="1"/>
    <col min="18" max="16384" width="11.42578125" style="38"/>
  </cols>
  <sheetData>
    <row r="2" spans="1:17" ht="36" x14ac:dyDescent="0.2">
      <c r="A2" s="301" t="s">
        <v>451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3"/>
      <c r="O2" s="303"/>
    </row>
    <row r="3" spans="1:17" ht="15.75" x14ac:dyDescent="0.25">
      <c r="A3" s="486" t="s">
        <v>122</v>
      </c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  <c r="O3" s="486"/>
    </row>
    <row r="4" spans="1:17" x14ac:dyDescent="0.2">
      <c r="A4" s="57"/>
      <c r="B4" s="57"/>
    </row>
    <row r="5" spans="1:17" s="254" customFormat="1" ht="15.75" x14ac:dyDescent="0.2">
      <c r="A5" s="283" t="s">
        <v>59</v>
      </c>
      <c r="B5" s="65"/>
      <c r="C5" s="98">
        <v>2013</v>
      </c>
      <c r="D5" s="99"/>
      <c r="E5" s="98">
        <v>2012</v>
      </c>
      <c r="F5" s="99"/>
      <c r="G5" s="98">
        <v>2011</v>
      </c>
      <c r="H5" s="98"/>
      <c r="I5" s="98"/>
      <c r="J5" s="98"/>
      <c r="K5" s="99"/>
      <c r="L5" s="98">
        <v>2008</v>
      </c>
      <c r="M5" s="114"/>
      <c r="N5" s="304">
        <v>2001</v>
      </c>
      <c r="O5" s="305"/>
    </row>
    <row r="6" spans="1:17" s="254" customFormat="1" x14ac:dyDescent="0.2"/>
    <row r="7" spans="1:17" s="254" customFormat="1" ht="16.5" customHeight="1" x14ac:dyDescent="0.2">
      <c r="A7" s="36" t="s">
        <v>60</v>
      </c>
      <c r="B7" s="36"/>
      <c r="C7" s="436">
        <f>bce!E19</f>
        <v>146552347</v>
      </c>
      <c r="D7" s="286"/>
      <c r="E7" s="286">
        <f>bce!G19</f>
        <v>100263381</v>
      </c>
      <c r="F7" s="286"/>
      <c r="G7" s="327">
        <v>86282669</v>
      </c>
      <c r="H7" s="286"/>
      <c r="I7" s="286"/>
      <c r="J7" s="286"/>
      <c r="K7" s="286"/>
      <c r="L7" s="286">
        <v>45955678</v>
      </c>
      <c r="M7" s="286"/>
      <c r="N7" s="286">
        <v>6545809</v>
      </c>
      <c r="O7" s="286"/>
    </row>
    <row r="8" spans="1:17" s="254" customFormat="1" ht="16.5" customHeight="1" x14ac:dyDescent="0.2">
      <c r="A8" s="36" t="s">
        <v>61</v>
      </c>
      <c r="B8" s="36"/>
      <c r="C8" s="286">
        <f>bce!E27</f>
        <v>137956712</v>
      </c>
      <c r="D8" s="286"/>
      <c r="E8" s="286">
        <f>bce!G27</f>
        <v>141203834</v>
      </c>
      <c r="F8" s="286"/>
      <c r="G8" s="327">
        <v>139194689</v>
      </c>
      <c r="H8" s="286"/>
      <c r="I8" s="286"/>
      <c r="J8" s="286"/>
      <c r="K8" s="286"/>
      <c r="L8" s="286">
        <f>98584415+3000</f>
        <v>98587415</v>
      </c>
      <c r="M8" s="286"/>
      <c r="N8" s="286">
        <v>38727644</v>
      </c>
      <c r="O8" s="286"/>
      <c r="Q8" s="254" t="s">
        <v>181</v>
      </c>
    </row>
    <row r="9" spans="1:17" s="254" customFormat="1" ht="16.5" customHeight="1" x14ac:dyDescent="0.2">
      <c r="A9" s="36" t="s">
        <v>62</v>
      </c>
      <c r="B9" s="36"/>
      <c r="C9" s="286">
        <f>bce!E28</f>
        <v>213514</v>
      </c>
      <c r="D9" s="286"/>
      <c r="E9" s="286">
        <f>bce!G28</f>
        <v>490614</v>
      </c>
      <c r="F9" s="286"/>
      <c r="G9" s="327">
        <v>456960</v>
      </c>
      <c r="H9" s="286"/>
      <c r="I9" s="286"/>
      <c r="J9" s="286"/>
      <c r="K9" s="286"/>
      <c r="L9" s="286">
        <v>422682</v>
      </c>
      <c r="M9" s="286"/>
      <c r="N9" s="286">
        <v>1538390</v>
      </c>
      <c r="O9" s="286"/>
    </row>
    <row r="10" spans="1:17" s="254" customFormat="1" ht="16.5" customHeight="1" x14ac:dyDescent="0.2">
      <c r="A10" s="36" t="s">
        <v>63</v>
      </c>
      <c r="B10" s="36"/>
      <c r="C10" s="286">
        <f>bce!E29</f>
        <v>162916</v>
      </c>
      <c r="D10" s="286"/>
      <c r="E10" s="286">
        <f>bce!G29</f>
        <v>7172162</v>
      </c>
      <c r="F10" s="286"/>
      <c r="G10" s="327">
        <v>14006563</v>
      </c>
      <c r="H10" s="286"/>
      <c r="I10" s="286"/>
      <c r="J10" s="286"/>
      <c r="K10" s="286"/>
      <c r="L10" s="286">
        <v>309108</v>
      </c>
      <c r="M10" s="286"/>
      <c r="N10" s="286">
        <v>1228080</v>
      </c>
      <c r="O10" s="286"/>
    </row>
    <row r="11" spans="1:17" s="254" customFormat="1" ht="16.5" customHeight="1" x14ac:dyDescent="0.2">
      <c r="A11" s="36" t="str">
        <f>bce!B30</f>
        <v xml:space="preserve">Cargos diferidos </v>
      </c>
      <c r="B11" s="36"/>
      <c r="C11" s="286">
        <f>bce!E30</f>
        <v>2463791</v>
      </c>
      <c r="D11" s="286"/>
      <c r="E11" s="286">
        <f>bce!G30</f>
        <v>1730509</v>
      </c>
      <c r="F11" s="286"/>
      <c r="G11" s="327">
        <v>1229315</v>
      </c>
      <c r="H11" s="286"/>
      <c r="I11" s="286"/>
      <c r="J11" s="286"/>
      <c r="K11" s="286"/>
      <c r="L11" s="286">
        <v>1348530</v>
      </c>
      <c r="M11" s="286"/>
      <c r="N11" s="286"/>
      <c r="O11" s="286"/>
    </row>
    <row r="12" spans="1:17" s="254" customFormat="1" ht="16.5" customHeight="1" x14ac:dyDescent="0.2">
      <c r="A12" s="36" t="str">
        <f>bce!B31</f>
        <v>Intangibles</v>
      </c>
      <c r="B12" s="36"/>
      <c r="C12" s="286">
        <f>bce!E31</f>
        <v>895877</v>
      </c>
      <c r="D12" s="286"/>
      <c r="E12" s="286">
        <f>bce!G31</f>
        <v>107734</v>
      </c>
      <c r="F12" s="286"/>
      <c r="G12" s="327">
        <v>75009</v>
      </c>
      <c r="H12" s="286"/>
      <c r="I12" s="286"/>
      <c r="J12" s="286"/>
      <c r="K12" s="286"/>
      <c r="L12" s="286">
        <v>14871</v>
      </c>
      <c r="M12" s="286"/>
      <c r="N12" s="286"/>
      <c r="O12" s="286"/>
    </row>
    <row r="13" spans="1:17" s="254" customFormat="1" ht="16.5" customHeight="1" x14ac:dyDescent="0.2">
      <c r="A13" s="36" t="str">
        <f>bce!B32</f>
        <v xml:space="preserve">Obras de arte </v>
      </c>
      <c r="B13" s="36"/>
      <c r="C13" s="286">
        <f>bce!E32</f>
        <v>433862</v>
      </c>
      <c r="D13" s="286"/>
      <c r="E13" s="286">
        <f>bce!G32</f>
        <v>433862</v>
      </c>
      <c r="F13" s="286"/>
      <c r="G13" s="327">
        <v>416462</v>
      </c>
      <c r="H13" s="286"/>
      <c r="I13" s="286"/>
      <c r="J13" s="286"/>
      <c r="K13" s="286"/>
      <c r="L13" s="286">
        <v>393062</v>
      </c>
      <c r="M13" s="286"/>
      <c r="N13" s="286">
        <v>30712233</v>
      </c>
      <c r="O13" s="286"/>
    </row>
    <row r="14" spans="1:17" s="254" customFormat="1" ht="16.5" customHeight="1" x14ac:dyDescent="0.2">
      <c r="A14" s="36" t="str">
        <f>bce!B33</f>
        <v xml:space="preserve">Valorizaciones </v>
      </c>
      <c r="B14" s="36"/>
      <c r="C14" s="286">
        <f>bce!E33</f>
        <v>186499763</v>
      </c>
      <c r="D14" s="286"/>
      <c r="E14" s="286">
        <f>bce!G33</f>
        <v>186944437</v>
      </c>
      <c r="F14" s="286"/>
      <c r="G14" s="327">
        <v>154783706</v>
      </c>
      <c r="H14" s="286"/>
      <c r="I14" s="286"/>
      <c r="J14" s="286"/>
      <c r="K14" s="286"/>
      <c r="L14" s="286">
        <v>123673845</v>
      </c>
      <c r="M14" s="286"/>
      <c r="N14" s="286">
        <v>304427</v>
      </c>
      <c r="O14" s="286"/>
    </row>
    <row r="15" spans="1:17" s="254" customFormat="1" x14ac:dyDescent="0.2">
      <c r="C15" s="286"/>
      <c r="D15" s="286"/>
      <c r="E15" s="286"/>
      <c r="F15" s="286"/>
      <c r="G15" s="286"/>
      <c r="H15" s="286"/>
      <c r="I15" s="286"/>
      <c r="J15" s="286"/>
      <c r="K15" s="286"/>
      <c r="M15" s="286"/>
      <c r="O15" s="286"/>
    </row>
    <row r="16" spans="1:17" s="254" customFormat="1" ht="13.5" thickBot="1" x14ac:dyDescent="0.25">
      <c r="A16" s="34" t="s">
        <v>64</v>
      </c>
      <c r="B16" s="34"/>
      <c r="C16" s="437">
        <f>SUM(C7:C15)</f>
        <v>475178782</v>
      </c>
      <c r="D16" s="34"/>
      <c r="E16" s="35">
        <f>SUM(E7:E15)</f>
        <v>438346533</v>
      </c>
      <c r="F16" s="35"/>
      <c r="G16" s="35">
        <f>SUM(G7:G15)</f>
        <v>396445373</v>
      </c>
      <c r="H16" s="35"/>
      <c r="I16" s="35"/>
      <c r="J16" s="35"/>
      <c r="K16" s="306"/>
      <c r="L16" s="35">
        <f>SUM(L7:L15)</f>
        <v>270705191</v>
      </c>
      <c r="M16" s="306"/>
      <c r="N16" s="306">
        <f>SUM(N7:N15)</f>
        <v>79056583</v>
      </c>
      <c r="O16" s="306"/>
    </row>
    <row r="17" spans="1:15" s="254" customFormat="1" ht="13.5" thickTop="1" x14ac:dyDescent="0.2">
      <c r="C17" s="257"/>
    </row>
    <row r="18" spans="1:15" s="254" customFormat="1" ht="16.5" customHeight="1" x14ac:dyDescent="0.2">
      <c r="A18" s="36" t="s">
        <v>65</v>
      </c>
      <c r="B18" s="36"/>
      <c r="C18" s="286">
        <f>bce!Q19</f>
        <v>41792162</v>
      </c>
      <c r="D18" s="286"/>
      <c r="E18" s="286">
        <f>bce!S19</f>
        <v>25952894</v>
      </c>
      <c r="F18" s="286"/>
      <c r="G18" s="327">
        <v>27224573</v>
      </c>
      <c r="H18" s="286"/>
      <c r="I18" s="286"/>
      <c r="J18" s="286"/>
      <c r="K18" s="286"/>
      <c r="L18" s="286">
        <v>13125001</v>
      </c>
      <c r="M18" s="286"/>
      <c r="N18" s="286">
        <f>12101779</f>
        <v>12101779</v>
      </c>
      <c r="O18" s="286"/>
    </row>
    <row r="19" spans="1:15" s="254" customFormat="1" ht="16.5" customHeight="1" x14ac:dyDescent="0.2">
      <c r="A19" s="36" t="s">
        <v>66</v>
      </c>
      <c r="B19" s="36"/>
      <c r="C19" s="286">
        <f>bce!Q27</f>
        <v>81794737</v>
      </c>
      <c r="D19" s="286"/>
      <c r="E19" s="286">
        <f>bce!S27</f>
        <v>76409000</v>
      </c>
      <c r="F19" s="286"/>
      <c r="G19" s="327">
        <v>76477784</v>
      </c>
      <c r="H19" s="286"/>
      <c r="I19" s="286"/>
      <c r="J19" s="286"/>
      <c r="K19" s="286"/>
      <c r="L19" s="286">
        <v>57763025</v>
      </c>
      <c r="M19" s="286"/>
      <c r="N19" s="286">
        <f>10456246</f>
        <v>10456246</v>
      </c>
      <c r="O19" s="286"/>
    </row>
    <row r="20" spans="1:15" s="254" customFormat="1" x14ac:dyDescent="0.2"/>
    <row r="21" spans="1:15" s="254" customFormat="1" x14ac:dyDescent="0.2">
      <c r="A21" s="3" t="s">
        <v>67</v>
      </c>
      <c r="B21" s="3"/>
      <c r="C21" s="2">
        <f>SUM(C18:C20)</f>
        <v>123586899</v>
      </c>
      <c r="D21" s="3"/>
      <c r="E21" s="2">
        <f>SUM(E18:E20)</f>
        <v>102361894</v>
      </c>
      <c r="F21" s="2"/>
      <c r="G21" s="2">
        <f>SUM(G18:G20)</f>
        <v>103702357</v>
      </c>
      <c r="H21" s="2"/>
      <c r="I21" s="2"/>
      <c r="J21" s="2"/>
      <c r="K21" s="307"/>
      <c r="L21" s="2">
        <f>SUM(L18:L20)</f>
        <v>70888026</v>
      </c>
      <c r="M21" s="307"/>
      <c r="N21" s="307">
        <f>SUM(N18:N20)</f>
        <v>22558025</v>
      </c>
      <c r="O21" s="307"/>
    </row>
    <row r="22" spans="1:15" s="254" customFormat="1" x14ac:dyDescent="0.2"/>
    <row r="23" spans="1:15" s="254" customFormat="1" ht="16.5" customHeight="1" x14ac:dyDescent="0.2">
      <c r="A23" s="36" t="s">
        <v>105</v>
      </c>
      <c r="B23" s="36"/>
      <c r="C23" s="286">
        <f>bce!Q34</f>
        <v>9435832</v>
      </c>
      <c r="D23" s="286"/>
      <c r="E23" s="286">
        <f>bce!S34</f>
        <v>8730246</v>
      </c>
      <c r="F23" s="286"/>
      <c r="G23" s="327">
        <v>8730246</v>
      </c>
      <c r="H23" s="286"/>
      <c r="I23" s="286"/>
      <c r="J23" s="286"/>
      <c r="K23" s="286"/>
      <c r="L23" s="286">
        <v>8648064</v>
      </c>
      <c r="M23" s="286"/>
      <c r="N23" s="286">
        <v>30712233</v>
      </c>
      <c r="O23" s="286"/>
    </row>
    <row r="24" spans="1:15" s="254" customFormat="1" ht="16.5" customHeight="1" x14ac:dyDescent="0.2">
      <c r="A24" s="36" t="s">
        <v>68</v>
      </c>
      <c r="B24" s="36"/>
      <c r="C24" s="286">
        <f>bce!Q37</f>
        <v>122722518</v>
      </c>
      <c r="D24" s="286"/>
      <c r="E24" s="286">
        <f>bce!S37</f>
        <v>111641626</v>
      </c>
      <c r="F24" s="286"/>
      <c r="G24" s="327">
        <v>94890180</v>
      </c>
      <c r="H24" s="286"/>
      <c r="I24" s="286"/>
      <c r="J24" s="286"/>
      <c r="K24" s="286"/>
      <c r="L24" s="286">
        <v>35871234</v>
      </c>
      <c r="M24" s="286"/>
      <c r="N24" s="286">
        <v>6702574</v>
      </c>
      <c r="O24" s="286"/>
    </row>
    <row r="25" spans="1:15" s="254" customFormat="1" ht="16.5" customHeight="1" x14ac:dyDescent="0.2">
      <c r="A25" s="36" t="s">
        <v>69</v>
      </c>
      <c r="B25" s="36"/>
      <c r="C25" s="286">
        <f>bce!Q36</f>
        <v>15346332</v>
      </c>
      <c r="D25" s="286"/>
      <c r="E25" s="286">
        <f>bce!S36</f>
        <v>11080892</v>
      </c>
      <c r="F25" s="286"/>
      <c r="G25" s="327">
        <v>16751446</v>
      </c>
      <c r="H25" s="286"/>
      <c r="I25" s="286"/>
      <c r="J25" s="286"/>
      <c r="K25" s="286"/>
      <c r="L25" s="286">
        <v>14036584</v>
      </c>
      <c r="M25" s="286"/>
      <c r="N25" s="286">
        <v>445698</v>
      </c>
      <c r="O25" s="286"/>
    </row>
    <row r="26" spans="1:15" s="254" customFormat="1" ht="16.5" customHeight="1" x14ac:dyDescent="0.2">
      <c r="A26" s="36" t="s">
        <v>104</v>
      </c>
      <c r="B26" s="36"/>
      <c r="C26" s="286">
        <f>bce!Q35</f>
        <v>17587438</v>
      </c>
      <c r="D26" s="286"/>
      <c r="E26" s="286">
        <f>bce!S35</f>
        <v>17587438</v>
      </c>
      <c r="F26" s="286"/>
      <c r="G26" s="327">
        <v>17587438</v>
      </c>
      <c r="H26" s="286"/>
      <c r="I26" s="286"/>
      <c r="J26" s="286"/>
      <c r="K26" s="286"/>
      <c r="L26" s="286">
        <v>17587438</v>
      </c>
      <c r="M26" s="286"/>
      <c r="N26" s="286">
        <v>8223110</v>
      </c>
      <c r="O26" s="286"/>
    </row>
    <row r="27" spans="1:15" s="254" customFormat="1" ht="16.5" customHeight="1" x14ac:dyDescent="0.2">
      <c r="A27" s="36" t="s">
        <v>70</v>
      </c>
      <c r="B27" s="36"/>
      <c r="C27" s="286">
        <f>bce!Q38</f>
        <v>186499763</v>
      </c>
      <c r="D27" s="286"/>
      <c r="E27" s="286">
        <f>bce!S38</f>
        <v>186944437</v>
      </c>
      <c r="F27" s="286"/>
      <c r="G27" s="327">
        <v>154783706</v>
      </c>
      <c r="H27" s="286"/>
      <c r="I27" s="286"/>
      <c r="J27" s="286"/>
      <c r="K27" s="286"/>
      <c r="L27" s="286">
        <v>123673845</v>
      </c>
      <c r="M27" s="286"/>
      <c r="N27" s="286">
        <v>11243563</v>
      </c>
      <c r="O27" s="286"/>
    </row>
    <row r="28" spans="1:15" s="254" customFormat="1" x14ac:dyDescent="0.2">
      <c r="L28" s="286"/>
      <c r="M28" s="286"/>
    </row>
    <row r="29" spans="1:15" s="254" customFormat="1" x14ac:dyDescent="0.2">
      <c r="A29" s="3" t="s">
        <v>71</v>
      </c>
      <c r="B29" s="3"/>
      <c r="C29" s="2">
        <f>SUM(C23:C27)</f>
        <v>351591883</v>
      </c>
      <c r="D29" s="3"/>
      <c r="E29" s="2">
        <f>SUM(E23:E27)</f>
        <v>335984639</v>
      </c>
      <c r="F29" s="2"/>
      <c r="G29" s="2">
        <f>SUM(G23:G27)</f>
        <v>292743016</v>
      </c>
      <c r="H29" s="2"/>
      <c r="I29" s="2"/>
      <c r="J29" s="2"/>
      <c r="K29" s="307"/>
      <c r="L29" s="2">
        <f>SUM(L23:L27)</f>
        <v>199817165</v>
      </c>
      <c r="M29" s="307"/>
      <c r="N29" s="307">
        <f>SUM(N23:N27)</f>
        <v>57327178</v>
      </c>
      <c r="O29" s="307"/>
    </row>
    <row r="30" spans="1:15" s="254" customFormat="1" x14ac:dyDescent="0.2"/>
    <row r="31" spans="1:15" s="254" customFormat="1" ht="13.5" thickBot="1" x14ac:dyDescent="0.25">
      <c r="A31" s="34" t="s">
        <v>72</v>
      </c>
      <c r="B31" s="34"/>
      <c r="C31" s="35">
        <f>C21+C29</f>
        <v>475178782</v>
      </c>
      <c r="D31" s="35"/>
      <c r="E31" s="35">
        <f>E21+E29</f>
        <v>438346533</v>
      </c>
      <c r="F31" s="35"/>
      <c r="G31" s="35">
        <f>G21+G29</f>
        <v>396445373</v>
      </c>
      <c r="H31" s="35"/>
      <c r="I31" s="35"/>
      <c r="J31" s="35"/>
      <c r="K31" s="306"/>
      <c r="L31" s="35">
        <f>L21+L29</f>
        <v>270705191</v>
      </c>
      <c r="M31" s="306"/>
      <c r="N31" s="306">
        <f>N21+N29</f>
        <v>79885203</v>
      </c>
      <c r="O31" s="306"/>
    </row>
    <row r="32" spans="1:15" ht="16.5" customHeight="1" thickTop="1" x14ac:dyDescent="0.2">
      <c r="A32" s="12"/>
      <c r="B32" s="12"/>
      <c r="C32" s="13"/>
      <c r="D32" s="13"/>
      <c r="E32" s="13"/>
      <c r="F32" s="13"/>
      <c r="G32" s="13"/>
      <c r="H32" s="13"/>
      <c r="I32" s="13"/>
      <c r="J32" s="13"/>
      <c r="K32" s="60"/>
      <c r="L32" s="60"/>
      <c r="M32" s="60"/>
      <c r="N32" s="60"/>
      <c r="O32" s="60"/>
    </row>
    <row r="33" spans="1:15" ht="36" x14ac:dyDescent="0.2">
      <c r="A33" s="301" t="s">
        <v>452</v>
      </c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56"/>
      <c r="O33" s="56"/>
    </row>
    <row r="34" spans="1:15" x14ac:dyDescent="0.2">
      <c r="A34" s="57"/>
      <c r="B34" s="57"/>
    </row>
    <row r="35" spans="1:15" s="254" customFormat="1" ht="15.75" x14ac:dyDescent="0.2">
      <c r="A35" s="283" t="s">
        <v>59</v>
      </c>
      <c r="B35" s="65"/>
      <c r="C35" s="98">
        <f>C5</f>
        <v>2013</v>
      </c>
      <c r="D35" s="99"/>
      <c r="E35" s="98">
        <f>E5</f>
        <v>2012</v>
      </c>
      <c r="F35" s="99"/>
      <c r="G35" s="98">
        <f>G5</f>
        <v>2011</v>
      </c>
      <c r="H35" s="98"/>
      <c r="I35" s="98"/>
      <c r="J35" s="98"/>
      <c r="K35" s="99"/>
      <c r="L35" s="98">
        <v>2008</v>
      </c>
      <c r="M35" s="99"/>
      <c r="N35" s="304">
        <v>2001</v>
      </c>
      <c r="O35" s="305"/>
    </row>
    <row r="36" spans="1:15" s="254" customFormat="1" ht="15.75" x14ac:dyDescent="0.2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305"/>
      <c r="O36" s="305"/>
    </row>
    <row r="37" spans="1:15" s="254" customFormat="1" ht="15.75" x14ac:dyDescent="0.25">
      <c r="A37" s="44" t="s">
        <v>73</v>
      </c>
      <c r="C37" s="308"/>
    </row>
    <row r="38" spans="1:15" s="254" customFormat="1" x14ac:dyDescent="0.2">
      <c r="C38" s="308"/>
    </row>
    <row r="39" spans="1:15" s="254" customFormat="1" ht="16.5" customHeight="1" x14ac:dyDescent="0.2">
      <c r="A39" s="36" t="s">
        <v>457</v>
      </c>
      <c r="B39" s="36"/>
      <c r="C39" s="438">
        <f>C7/C18</f>
        <v>3.5066945567448746</v>
      </c>
      <c r="D39" s="309"/>
      <c r="E39" s="309">
        <f>E7/E18</f>
        <v>3.8632832623598738</v>
      </c>
      <c r="F39" s="309"/>
      <c r="G39" s="340">
        <v>3.1692937479680583</v>
      </c>
      <c r="H39" s="309"/>
      <c r="I39" s="309"/>
      <c r="J39" s="309"/>
      <c r="K39" s="55"/>
      <c r="L39" s="309">
        <f>L7/L18</f>
        <v>3.501384723704021</v>
      </c>
      <c r="M39" s="55"/>
      <c r="N39" s="55">
        <f>N7/N18</f>
        <v>0.54089642522805947</v>
      </c>
    </row>
    <row r="40" spans="1:15" s="254" customFormat="1" ht="16.5" customHeight="1" x14ac:dyDescent="0.2">
      <c r="A40" s="36" t="s">
        <v>458</v>
      </c>
      <c r="B40" s="36"/>
      <c r="C40" s="439">
        <f>+C7-C18</f>
        <v>104760185</v>
      </c>
      <c r="D40" s="310"/>
      <c r="E40" s="310">
        <f>+E7-E18</f>
        <v>74310487</v>
      </c>
      <c r="F40" s="310"/>
      <c r="G40" s="337">
        <v>59058096</v>
      </c>
      <c r="H40" s="310"/>
      <c r="I40" s="310"/>
      <c r="J40" s="310"/>
      <c r="K40" s="311"/>
      <c r="L40" s="310">
        <v>32830677</v>
      </c>
      <c r="M40" s="311"/>
      <c r="N40" s="284">
        <f>+N7-N18</f>
        <v>-5555970</v>
      </c>
      <c r="O40" s="311"/>
    </row>
    <row r="41" spans="1:15" s="254" customFormat="1" x14ac:dyDescent="0.2">
      <c r="G41" s="328"/>
    </row>
    <row r="42" spans="1:15" s="254" customFormat="1" ht="15.75" x14ac:dyDescent="0.25">
      <c r="A42" s="44" t="s">
        <v>75</v>
      </c>
      <c r="G42" s="329"/>
    </row>
    <row r="43" spans="1:15" s="254" customFormat="1" x14ac:dyDescent="0.2">
      <c r="C43" s="312"/>
      <c r="E43" s="312"/>
      <c r="F43" s="312"/>
      <c r="G43" s="333"/>
      <c r="H43" s="312"/>
      <c r="I43" s="312"/>
      <c r="J43" s="312"/>
      <c r="K43" s="312"/>
      <c r="L43" s="312"/>
      <c r="M43" s="312"/>
      <c r="N43" s="312"/>
      <c r="O43" s="312"/>
    </row>
    <row r="44" spans="1:15" s="254" customFormat="1" ht="16.5" customHeight="1" x14ac:dyDescent="0.2">
      <c r="A44" s="36" t="s">
        <v>456</v>
      </c>
      <c r="B44" s="36"/>
      <c r="C44" s="440">
        <f>+C21/C16</f>
        <v>0.26008505362935164</v>
      </c>
      <c r="D44" s="313"/>
      <c r="E44" s="55">
        <f>+E21/E16</f>
        <v>0.2335182014545556</v>
      </c>
      <c r="F44" s="55"/>
      <c r="G44" s="330">
        <v>0.2615804447792105</v>
      </c>
      <c r="H44" s="55"/>
      <c r="I44" s="55"/>
      <c r="J44" s="55"/>
      <c r="K44" s="55"/>
      <c r="L44" s="55">
        <f>+L21/L16</f>
        <v>0.26186430241007091</v>
      </c>
      <c r="M44" s="55"/>
      <c r="N44" s="55">
        <f>+N21/N16</f>
        <v>0.28534024800945418</v>
      </c>
      <c r="O44" s="55"/>
    </row>
    <row r="45" spans="1:15" s="254" customFormat="1" ht="16.5" customHeight="1" x14ac:dyDescent="0.2">
      <c r="A45" s="36" t="s">
        <v>76</v>
      </c>
      <c r="B45" s="36"/>
      <c r="C45" s="440">
        <f>(bce!Q19)/bce!E19</f>
        <v>0.28516883458713904</v>
      </c>
      <c r="D45" s="313"/>
      <c r="E45" s="55">
        <f>(bce!S19)/bce!G19</f>
        <v>0.25884718569384768</v>
      </c>
      <c r="F45" s="55"/>
      <c r="G45" s="330">
        <v>0.31552771043742284</v>
      </c>
      <c r="H45" s="55"/>
      <c r="I45" s="55"/>
      <c r="J45" s="55"/>
      <c r="K45" s="55"/>
      <c r="L45" s="55">
        <v>0.28560000000000002</v>
      </c>
      <c r="M45" s="55"/>
      <c r="N45" s="55">
        <f>(12101779-5149522)/6545809</f>
        <v>1.0620928597213881</v>
      </c>
      <c r="O45" s="55"/>
    </row>
    <row r="46" spans="1:15" s="254" customFormat="1" ht="16.5" customHeight="1" x14ac:dyDescent="0.2">
      <c r="A46" s="36" t="s">
        <v>459</v>
      </c>
      <c r="B46" s="36"/>
      <c r="C46" s="311">
        <f>C21-notas!D271-notas!D282-notas!D283-notas!D284</f>
        <v>31589854</v>
      </c>
      <c r="D46" s="313"/>
      <c r="E46" s="311">
        <f>E21-notas!F271-notas!F282-notas!F283-notas!F284</f>
        <v>30764267</v>
      </c>
      <c r="F46" s="55"/>
      <c r="G46" s="332">
        <v>37316916</v>
      </c>
      <c r="H46" s="311"/>
      <c r="I46" s="311"/>
      <c r="J46" s="311"/>
      <c r="K46" s="55"/>
      <c r="L46" s="311">
        <f>L21-45576994</f>
        <v>25311032</v>
      </c>
      <c r="M46" s="55"/>
      <c r="N46" s="55">
        <f>(22558025-5149522)/79885203</f>
        <v>0.21791899308311202</v>
      </c>
      <c r="O46" s="55"/>
    </row>
    <row r="47" spans="1:15" s="254" customFormat="1" ht="16.5" customHeight="1" x14ac:dyDescent="0.2">
      <c r="A47" s="36" t="s">
        <v>460</v>
      </c>
      <c r="B47" s="36"/>
      <c r="C47" s="440">
        <f>C46/C16</f>
        <v>6.6479933862030063E-2</v>
      </c>
      <c r="D47" s="313"/>
      <c r="E47" s="55">
        <f>E46/E16</f>
        <v>7.0182526115702165E-2</v>
      </c>
      <c r="F47" s="55"/>
      <c r="G47" s="330">
        <v>9.4128771683255341E-2</v>
      </c>
      <c r="H47" s="55"/>
      <c r="I47" s="55"/>
      <c r="J47" s="55"/>
      <c r="K47" s="55"/>
      <c r="L47" s="55">
        <f>L46/L16</f>
        <v>9.3500356999064713E-2</v>
      </c>
      <c r="M47" s="55"/>
      <c r="N47" s="55"/>
      <c r="O47" s="55"/>
    </row>
    <row r="48" spans="1:15" s="254" customFormat="1" ht="16.5" customHeight="1" x14ac:dyDescent="0.2">
      <c r="A48" s="36" t="s">
        <v>461</v>
      </c>
      <c r="B48" s="36"/>
      <c r="C48" s="55">
        <f>(bce!Q11+bce!Q24)/bce!Q40</f>
        <v>5.7821272284605046E-3</v>
      </c>
      <c r="D48" s="55"/>
      <c r="E48" s="55">
        <f>(bce!S11+bce!S24)/bce!S40</f>
        <v>3.4121714713272945E-2</v>
      </c>
      <c r="F48" s="55"/>
      <c r="G48" s="330">
        <v>5.3369987142579692E-2</v>
      </c>
      <c r="H48" s="55"/>
      <c r="I48" s="55"/>
      <c r="J48" s="55"/>
      <c r="K48" s="55"/>
      <c r="L48" s="55">
        <v>6.7500000000000004E-2</v>
      </c>
      <c r="M48" s="55"/>
      <c r="N48" s="55">
        <f>(4149488+8423873)/57327178</f>
        <v>0.21932635511903273</v>
      </c>
      <c r="O48" s="55"/>
    </row>
    <row r="49" spans="1:15" s="254" customFormat="1" ht="16.5" customHeight="1" x14ac:dyDescent="0.2">
      <c r="A49" s="36" t="s">
        <v>465</v>
      </c>
      <c r="B49" s="36"/>
      <c r="C49" s="314">
        <f>C56/'resumen pyg'!C42</f>
        <v>15.250446407041055</v>
      </c>
      <c r="D49" s="314"/>
      <c r="E49" s="314">
        <f>E56/'resumen pyg'!E42</f>
        <v>7.4921346721207014</v>
      </c>
      <c r="F49" s="314"/>
      <c r="G49" s="338">
        <v>13.192549771314161</v>
      </c>
      <c r="H49" s="314"/>
      <c r="I49" s="314"/>
      <c r="J49" s="314"/>
      <c r="K49" s="55"/>
      <c r="L49" s="55">
        <v>6.6100000000000006E-2</v>
      </c>
      <c r="M49" s="55"/>
      <c r="N49" s="315"/>
      <c r="O49" s="315"/>
    </row>
    <row r="50" spans="1:15" s="254" customFormat="1" x14ac:dyDescent="0.2">
      <c r="C50" s="244"/>
      <c r="D50" s="244"/>
      <c r="E50" s="244"/>
      <c r="F50" s="244"/>
      <c r="G50" s="334"/>
      <c r="H50" s="244"/>
      <c r="I50" s="244"/>
      <c r="J50" s="244"/>
      <c r="K50" s="244"/>
      <c r="L50" s="244"/>
      <c r="M50" s="244"/>
      <c r="N50" s="244"/>
      <c r="O50" s="244"/>
    </row>
    <row r="51" spans="1:15" s="254" customFormat="1" ht="15.75" x14ac:dyDescent="0.25">
      <c r="A51" s="44" t="s">
        <v>77</v>
      </c>
      <c r="C51" s="244"/>
      <c r="D51" s="244"/>
      <c r="E51" s="244"/>
      <c r="F51" s="244"/>
      <c r="G51" s="334"/>
      <c r="H51" s="244"/>
      <c r="I51" s="244"/>
      <c r="J51" s="244"/>
      <c r="K51" s="244"/>
      <c r="L51" s="244"/>
      <c r="M51" s="244"/>
      <c r="N51" s="244"/>
      <c r="O51" s="244"/>
    </row>
    <row r="52" spans="1:15" s="254" customFormat="1" x14ac:dyDescent="0.2">
      <c r="C52" s="316"/>
      <c r="D52" s="244"/>
      <c r="E52" s="316"/>
      <c r="F52" s="316"/>
      <c r="G52" s="335"/>
      <c r="H52" s="316"/>
      <c r="I52" s="316"/>
      <c r="J52" s="316"/>
      <c r="K52" s="316"/>
      <c r="L52" s="316"/>
      <c r="M52" s="316"/>
      <c r="N52" s="316"/>
      <c r="O52" s="316"/>
    </row>
    <row r="53" spans="1:15" s="254" customFormat="1" ht="16.5" customHeight="1" x14ac:dyDescent="0.2">
      <c r="A53" s="36" t="s">
        <v>462</v>
      </c>
      <c r="B53" s="36"/>
      <c r="C53" s="55">
        <f>C25/pyg!D14</f>
        <v>7.6826539624037599E-2</v>
      </c>
      <c r="D53" s="55"/>
      <c r="E53" s="55">
        <f>E25/pyg!F14</f>
        <v>6.457271490021789E-2</v>
      </c>
      <c r="F53" s="55"/>
      <c r="G53" s="330">
        <v>9.9136668133170888E-2</v>
      </c>
      <c r="H53" s="55"/>
      <c r="I53" s="55"/>
      <c r="J53" s="55"/>
      <c r="K53" s="55"/>
      <c r="L53" s="55">
        <v>0.12520000000000001</v>
      </c>
      <c r="M53" s="55"/>
      <c r="N53" s="55">
        <f>445698/41403676</f>
        <v>1.076469635208236E-2</v>
      </c>
      <c r="O53" s="55"/>
    </row>
    <row r="54" spans="1:15" s="254" customFormat="1" ht="16.5" customHeight="1" x14ac:dyDescent="0.2">
      <c r="A54" s="36" t="s">
        <v>463</v>
      </c>
      <c r="B54" s="36"/>
      <c r="C54" s="55">
        <f>+C25/C29</f>
        <v>4.3648140762111966E-2</v>
      </c>
      <c r="D54" s="55"/>
      <c r="E54" s="55">
        <f>+E25/E29</f>
        <v>3.2980353009531484E-2</v>
      </c>
      <c r="F54" s="55"/>
      <c r="G54" s="330">
        <v>5.7222359149295639E-2</v>
      </c>
      <c r="H54" s="55"/>
      <c r="I54" s="55"/>
      <c r="J54" s="55"/>
      <c r="K54" s="55"/>
      <c r="L54" s="55">
        <f>+L25/L29</f>
        <v>7.0247138177543453E-2</v>
      </c>
      <c r="M54" s="55"/>
      <c r="N54" s="55">
        <f>445698/57327178</f>
        <v>7.7746370142273528E-3</v>
      </c>
      <c r="O54" s="55"/>
    </row>
    <row r="55" spans="1:15" s="254" customFormat="1" ht="16.5" customHeight="1" x14ac:dyDescent="0.2">
      <c r="A55" s="36" t="s">
        <v>464</v>
      </c>
      <c r="B55" s="36"/>
      <c r="C55" s="440">
        <f>C25/C16</f>
        <v>3.2295911731176581E-2</v>
      </c>
      <c r="D55" s="55"/>
      <c r="E55" s="55">
        <f>E25/E16</f>
        <v>2.5278840291409355E-2</v>
      </c>
      <c r="F55" s="55"/>
      <c r="G55" s="330">
        <v>4.2254108991707159E-2</v>
      </c>
      <c r="H55" s="55"/>
      <c r="I55" s="55"/>
      <c r="J55" s="55"/>
      <c r="K55" s="55"/>
      <c r="L55" s="55">
        <v>5.1900000000000002E-2</v>
      </c>
      <c r="M55" s="55"/>
      <c r="N55" s="55" t="e">
        <f>'resumen pyg'!#REF!/'res bce'!N16</f>
        <v>#REF!</v>
      </c>
      <c r="O55" s="55"/>
    </row>
    <row r="56" spans="1:15" s="254" customFormat="1" ht="16.5" customHeight="1" x14ac:dyDescent="0.2">
      <c r="A56" s="36" t="s">
        <v>151</v>
      </c>
      <c r="B56" s="36"/>
      <c r="C56" s="317">
        <f>pyg!D21+'resumen pyg'!C32+'resumen pyg'!C38+'resumen pyg'!C39</f>
        <v>25613445</v>
      </c>
      <c r="D56" s="55"/>
      <c r="E56" s="317">
        <f>pyg!F21+'resumen pyg'!E32+'resumen pyg'!E38+'resumen pyg'!E39</f>
        <v>15638048</v>
      </c>
      <c r="F56" s="55"/>
      <c r="G56" s="339">
        <v>23496538</v>
      </c>
      <c r="H56" s="317"/>
      <c r="I56" s="317"/>
      <c r="J56" s="317"/>
      <c r="K56" s="55"/>
      <c r="L56" s="55">
        <v>5.1900000000000002E-2</v>
      </c>
      <c r="M56" s="55"/>
      <c r="N56" s="315"/>
      <c r="O56" s="315"/>
    </row>
    <row r="57" spans="1:15" s="254" customFormat="1" ht="16.5" customHeight="1" x14ac:dyDescent="0.2">
      <c r="A57" s="36" t="s">
        <v>123</v>
      </c>
      <c r="B57" s="36"/>
      <c r="C57" s="55">
        <f>C56/pyg!D14</f>
        <v>0.12822558166997869</v>
      </c>
      <c r="D57" s="55"/>
      <c r="E57" s="55">
        <f>E56/pyg!F14</f>
        <v>9.1129054872109816E-2</v>
      </c>
      <c r="F57" s="55"/>
      <c r="G57" s="330">
        <v>0.13905477115136441</v>
      </c>
      <c r="H57" s="55"/>
      <c r="I57" s="55"/>
      <c r="J57" s="55"/>
      <c r="K57" s="55"/>
      <c r="L57" s="55">
        <v>5.1900000000000002E-2</v>
      </c>
      <c r="M57" s="55"/>
      <c r="N57" s="315"/>
      <c r="O57" s="315"/>
    </row>
    <row r="58" spans="1:15" s="254" customFormat="1" x14ac:dyDescent="0.2">
      <c r="C58" s="308"/>
      <c r="E58" s="308"/>
      <c r="F58" s="308"/>
      <c r="G58" s="331"/>
      <c r="H58" s="308"/>
      <c r="I58" s="308"/>
      <c r="J58" s="308"/>
      <c r="K58" s="308"/>
      <c r="L58" s="308"/>
      <c r="M58" s="308"/>
      <c r="N58" s="308"/>
      <c r="O58" s="308"/>
    </row>
    <row r="59" spans="1:15" s="254" customFormat="1" ht="15.75" x14ac:dyDescent="0.25">
      <c r="A59" s="44" t="s">
        <v>78</v>
      </c>
      <c r="G59" s="329"/>
    </row>
    <row r="60" spans="1:15" s="254" customFormat="1" x14ac:dyDescent="0.2">
      <c r="C60" s="245"/>
      <c r="E60" s="245"/>
      <c r="F60" s="245"/>
      <c r="G60" s="336"/>
      <c r="H60" s="245"/>
      <c r="I60" s="245"/>
      <c r="J60" s="245"/>
      <c r="K60" s="245"/>
      <c r="L60" s="245"/>
      <c r="M60" s="245"/>
      <c r="N60" s="245"/>
      <c r="O60" s="245"/>
    </row>
    <row r="61" spans="1:15" s="254" customFormat="1" ht="16.5" customHeight="1" x14ac:dyDescent="0.2">
      <c r="A61" s="36" t="s">
        <v>74</v>
      </c>
      <c r="B61" s="36"/>
      <c r="C61" s="441">
        <f>+C16/C21</f>
        <v>3.8448960678267361</v>
      </c>
      <c r="D61" s="314"/>
      <c r="E61" s="314">
        <f>+E16/E21</f>
        <v>4.2823214369206575</v>
      </c>
      <c r="F61" s="314"/>
      <c r="G61" s="338">
        <v>3.822915741442598</v>
      </c>
      <c r="H61" s="314"/>
      <c r="I61" s="314"/>
      <c r="J61" s="314"/>
      <c r="K61" s="314"/>
      <c r="L61" s="314">
        <f>+L16/L21</f>
        <v>3.8187717485601871</v>
      </c>
      <c r="M61" s="55"/>
      <c r="N61" s="315">
        <f>+N16/N21</f>
        <v>3.5045879681399414</v>
      </c>
      <c r="O61" s="315"/>
    </row>
    <row r="62" spans="1:15" s="254" customFormat="1" x14ac:dyDescent="0.2"/>
    <row r="63" spans="1:15" s="254" customFormat="1" x14ac:dyDescent="0.2"/>
    <row r="64" spans="1:15" s="254" customFormat="1" x14ac:dyDescent="0.2"/>
    <row r="65" s="254" customFormat="1" x14ac:dyDescent="0.2"/>
    <row r="66" s="254" customFormat="1" x14ac:dyDescent="0.2"/>
    <row r="67" s="254" customFormat="1" x14ac:dyDescent="0.2"/>
    <row r="68" s="254" customFormat="1" x14ac:dyDescent="0.2"/>
    <row r="69" s="254" customFormat="1" x14ac:dyDescent="0.2"/>
    <row r="70" s="254" customFormat="1" x14ac:dyDescent="0.2"/>
    <row r="71" s="254" customFormat="1" x14ac:dyDescent="0.2"/>
    <row r="72" s="254" customFormat="1" x14ac:dyDescent="0.2"/>
    <row r="73" s="254" customFormat="1" x14ac:dyDescent="0.2"/>
    <row r="74" s="254" customFormat="1" x14ac:dyDescent="0.2"/>
    <row r="75" s="254" customFormat="1" x14ac:dyDescent="0.2"/>
    <row r="76" s="254" customFormat="1" x14ac:dyDescent="0.2"/>
    <row r="77" s="254" customFormat="1" x14ac:dyDescent="0.2"/>
    <row r="78" s="254" customFormat="1" x14ac:dyDescent="0.2"/>
    <row r="79" s="254" customFormat="1" x14ac:dyDescent="0.2"/>
    <row r="80" s="254" customFormat="1" x14ac:dyDescent="0.2"/>
    <row r="81" s="254" customFormat="1" x14ac:dyDescent="0.2"/>
    <row r="82" s="254" customFormat="1" x14ac:dyDescent="0.2"/>
    <row r="83" s="254" customFormat="1" x14ac:dyDescent="0.2"/>
    <row r="84" s="254" customFormat="1" x14ac:dyDescent="0.2"/>
    <row r="85" s="254" customFormat="1" x14ac:dyDescent="0.2"/>
    <row r="86" s="254" customFormat="1" x14ac:dyDescent="0.2"/>
    <row r="87" s="254" customFormat="1" x14ac:dyDescent="0.2"/>
    <row r="88" s="254" customFormat="1" x14ac:dyDescent="0.2"/>
    <row r="89" s="254" customFormat="1" x14ac:dyDescent="0.2"/>
    <row r="90" s="254" customFormat="1" x14ac:dyDescent="0.2"/>
    <row r="91" s="254" customFormat="1" x14ac:dyDescent="0.2"/>
    <row r="92" s="254" customFormat="1" x14ac:dyDescent="0.2"/>
    <row r="93" s="254" customFormat="1" x14ac:dyDescent="0.2"/>
    <row r="94" s="254" customFormat="1" x14ac:dyDescent="0.2"/>
    <row r="95" s="254" customFormat="1" x14ac:dyDescent="0.2"/>
    <row r="96" s="254" customFormat="1" x14ac:dyDescent="0.2"/>
    <row r="97" s="254" customFormat="1" x14ac:dyDescent="0.2"/>
    <row r="98" s="254" customFormat="1" x14ac:dyDescent="0.2"/>
    <row r="99" s="254" customFormat="1" x14ac:dyDescent="0.2"/>
    <row r="100" s="254" customFormat="1" x14ac:dyDescent="0.2"/>
    <row r="101" s="254" customFormat="1" x14ac:dyDescent="0.2"/>
    <row r="102" s="254" customFormat="1" x14ac:dyDescent="0.2"/>
    <row r="103" s="254" customFormat="1" x14ac:dyDescent="0.2"/>
    <row r="104" s="254" customFormat="1" x14ac:dyDescent="0.2"/>
    <row r="105" s="254" customFormat="1" x14ac:dyDescent="0.2"/>
    <row r="106" s="254" customFormat="1" x14ac:dyDescent="0.2"/>
    <row r="107" s="254" customFormat="1" x14ac:dyDescent="0.2"/>
    <row r="108" s="254" customFormat="1" x14ac:dyDescent="0.2"/>
    <row r="109" s="254" customFormat="1" x14ac:dyDescent="0.2"/>
    <row r="110" s="254" customFormat="1" x14ac:dyDescent="0.2"/>
    <row r="111" s="254" customFormat="1" x14ac:dyDescent="0.2"/>
    <row r="112" s="254" customFormat="1" x14ac:dyDescent="0.2"/>
    <row r="113" s="254" customFormat="1" x14ac:dyDescent="0.2"/>
    <row r="114" s="254" customFormat="1" x14ac:dyDescent="0.2"/>
    <row r="115" s="254" customFormat="1" x14ac:dyDescent="0.2"/>
    <row r="116" s="254" customFormat="1" x14ac:dyDescent="0.2"/>
    <row r="117" s="254" customFormat="1" x14ac:dyDescent="0.2"/>
    <row r="118" s="254" customFormat="1" x14ac:dyDescent="0.2"/>
    <row r="119" s="254" customFormat="1" x14ac:dyDescent="0.2"/>
    <row r="120" s="254" customFormat="1" x14ac:dyDescent="0.2"/>
    <row r="121" s="254" customFormat="1" x14ac:dyDescent="0.2"/>
    <row r="122" s="254" customFormat="1" x14ac:dyDescent="0.2"/>
    <row r="123" s="254" customFormat="1" x14ac:dyDescent="0.2"/>
    <row r="124" s="254" customFormat="1" x14ac:dyDescent="0.2"/>
    <row r="125" s="254" customFormat="1" x14ac:dyDescent="0.2"/>
    <row r="126" s="254" customFormat="1" x14ac:dyDescent="0.2"/>
    <row r="127" s="254" customFormat="1" x14ac:dyDescent="0.2"/>
    <row r="128" s="254" customFormat="1" x14ac:dyDescent="0.2"/>
    <row r="129" s="254" customFormat="1" x14ac:dyDescent="0.2"/>
    <row r="130" s="254" customFormat="1" x14ac:dyDescent="0.2"/>
    <row r="131" s="254" customFormat="1" x14ac:dyDescent="0.2"/>
    <row r="132" s="254" customFormat="1" x14ac:dyDescent="0.2"/>
    <row r="133" s="254" customFormat="1" x14ac:dyDescent="0.2"/>
    <row r="134" s="254" customFormat="1" x14ac:dyDescent="0.2"/>
    <row r="135" s="254" customFormat="1" x14ac:dyDescent="0.2"/>
    <row r="136" s="254" customFormat="1" x14ac:dyDescent="0.2"/>
    <row r="137" s="254" customFormat="1" x14ac:dyDescent="0.2"/>
    <row r="138" s="254" customFormat="1" x14ac:dyDescent="0.2"/>
    <row r="139" s="254" customFormat="1" x14ac:dyDescent="0.2"/>
    <row r="140" s="254" customFormat="1" x14ac:dyDescent="0.2"/>
    <row r="141" s="254" customFormat="1" x14ac:dyDescent="0.2"/>
    <row r="142" s="254" customFormat="1" x14ac:dyDescent="0.2"/>
    <row r="143" s="254" customFormat="1" x14ac:dyDescent="0.2"/>
    <row r="144" s="254" customFormat="1" x14ac:dyDescent="0.2"/>
    <row r="145" s="254" customFormat="1" x14ac:dyDescent="0.2"/>
    <row r="146" s="254" customFormat="1" x14ac:dyDescent="0.2"/>
    <row r="147" s="254" customFormat="1" x14ac:dyDescent="0.2"/>
    <row r="148" s="254" customFormat="1" x14ac:dyDescent="0.2"/>
    <row r="149" s="254" customFormat="1" x14ac:dyDescent="0.2"/>
    <row r="150" s="254" customFormat="1" x14ac:dyDescent="0.2"/>
    <row r="151" s="254" customFormat="1" x14ac:dyDescent="0.2"/>
    <row r="152" s="254" customFormat="1" x14ac:dyDescent="0.2"/>
    <row r="153" s="254" customFormat="1" x14ac:dyDescent="0.2"/>
    <row r="154" s="254" customFormat="1" x14ac:dyDescent="0.2"/>
    <row r="155" s="254" customFormat="1" x14ac:dyDescent="0.2"/>
    <row r="156" s="254" customFormat="1" x14ac:dyDescent="0.2"/>
    <row r="157" s="254" customFormat="1" x14ac:dyDescent="0.2"/>
    <row r="158" s="254" customFormat="1" x14ac:dyDescent="0.2"/>
    <row r="159" s="254" customFormat="1" x14ac:dyDescent="0.2"/>
    <row r="160" s="254" customFormat="1" x14ac:dyDescent="0.2"/>
    <row r="161" s="254" customFormat="1" x14ac:dyDescent="0.2"/>
    <row r="162" s="254" customFormat="1" x14ac:dyDescent="0.2"/>
    <row r="163" s="254" customFormat="1" x14ac:dyDescent="0.2"/>
    <row r="164" s="254" customFormat="1" x14ac:dyDescent="0.2"/>
    <row r="165" s="254" customFormat="1" x14ac:dyDescent="0.2"/>
    <row r="166" s="254" customFormat="1" x14ac:dyDescent="0.2"/>
    <row r="167" s="254" customFormat="1" x14ac:dyDescent="0.2"/>
    <row r="168" s="254" customFormat="1" x14ac:dyDescent="0.2"/>
    <row r="169" s="254" customFormat="1" x14ac:dyDescent="0.2"/>
    <row r="170" s="254" customFormat="1" x14ac:dyDescent="0.2"/>
    <row r="171" s="254" customFormat="1" x14ac:dyDescent="0.2"/>
    <row r="172" s="254" customFormat="1" x14ac:dyDescent="0.2"/>
    <row r="173" s="254" customFormat="1" x14ac:dyDescent="0.2"/>
    <row r="174" s="254" customFormat="1" x14ac:dyDescent="0.2"/>
    <row r="175" s="254" customFormat="1" x14ac:dyDescent="0.2"/>
    <row r="176" s="254" customFormat="1" x14ac:dyDescent="0.2"/>
    <row r="177" s="254" customFormat="1" x14ac:dyDescent="0.2"/>
    <row r="178" s="254" customFormat="1" x14ac:dyDescent="0.2"/>
    <row r="179" s="254" customFormat="1" x14ac:dyDescent="0.2"/>
    <row r="180" s="254" customFormat="1" x14ac:dyDescent="0.2"/>
    <row r="181" s="254" customFormat="1" x14ac:dyDescent="0.2"/>
    <row r="182" s="254" customFormat="1" x14ac:dyDescent="0.2"/>
    <row r="183" s="254" customFormat="1" x14ac:dyDescent="0.2"/>
    <row r="184" s="254" customFormat="1" x14ac:dyDescent="0.2"/>
    <row r="185" s="254" customFormat="1" x14ac:dyDescent="0.2"/>
    <row r="186" s="254" customFormat="1" x14ac:dyDescent="0.2"/>
    <row r="187" s="254" customFormat="1" x14ac:dyDescent="0.2"/>
    <row r="188" s="254" customFormat="1" x14ac:dyDescent="0.2"/>
    <row r="189" s="254" customFormat="1" x14ac:dyDescent="0.2"/>
    <row r="190" s="254" customFormat="1" x14ac:dyDescent="0.2"/>
    <row r="191" s="254" customFormat="1" x14ac:dyDescent="0.2"/>
    <row r="192" s="254" customFormat="1" x14ac:dyDescent="0.2"/>
    <row r="193" s="254" customFormat="1" x14ac:dyDescent="0.2"/>
    <row r="194" s="254" customFormat="1" x14ac:dyDescent="0.2"/>
    <row r="195" s="254" customFormat="1" x14ac:dyDescent="0.2"/>
    <row r="196" s="254" customFormat="1" x14ac:dyDescent="0.2"/>
    <row r="197" s="254" customFormat="1" x14ac:dyDescent="0.2"/>
    <row r="198" s="254" customFormat="1" x14ac:dyDescent="0.2"/>
    <row r="199" s="254" customFormat="1" x14ac:dyDescent="0.2"/>
    <row r="200" s="254" customFormat="1" x14ac:dyDescent="0.2"/>
    <row r="201" s="254" customFormat="1" x14ac:dyDescent="0.2"/>
    <row r="202" s="254" customFormat="1" x14ac:dyDescent="0.2"/>
    <row r="203" s="254" customFormat="1" x14ac:dyDescent="0.2"/>
    <row r="204" s="254" customFormat="1" x14ac:dyDescent="0.2"/>
    <row r="205" s="254" customFormat="1" x14ac:dyDescent="0.2"/>
    <row r="206" s="254" customFormat="1" x14ac:dyDescent="0.2"/>
    <row r="207" s="254" customFormat="1" x14ac:dyDescent="0.2"/>
    <row r="208" s="254" customFormat="1" x14ac:dyDescent="0.2"/>
    <row r="209" s="254" customFormat="1" x14ac:dyDescent="0.2"/>
    <row r="210" s="254" customFormat="1" x14ac:dyDescent="0.2"/>
    <row r="211" s="254" customFormat="1" x14ac:dyDescent="0.2"/>
    <row r="212" s="254" customFormat="1" x14ac:dyDescent="0.2"/>
    <row r="213" s="254" customFormat="1" x14ac:dyDescent="0.2"/>
    <row r="214" s="254" customFormat="1" x14ac:dyDescent="0.2"/>
    <row r="215" s="254" customFormat="1" x14ac:dyDescent="0.2"/>
    <row r="216" s="254" customFormat="1" x14ac:dyDescent="0.2"/>
    <row r="217" s="254" customFormat="1" x14ac:dyDescent="0.2"/>
    <row r="218" s="254" customFormat="1" x14ac:dyDescent="0.2"/>
  </sheetData>
  <mergeCells count="1">
    <mergeCell ref="A3:O3"/>
  </mergeCells>
  <phoneticPr fontId="9" type="noConversion"/>
  <pageMargins left="1.1811023622047245" right="0.74803149606299213" top="0.78740157480314965" bottom="0.70866141732283472" header="0.74803149606299213" footer="0.39370078740157483"/>
  <pageSetup paperSize="122" scale="70" orientation="portrait" r:id="rId1"/>
  <headerFooter alignWithMargins="0">
    <oddFooter>&amp;L&amp;"Garamond,Cursiva"&amp;14Informe Financiero a diciembre 2013&amp;C&amp;"Garamond,Cursiva"&amp;14 14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3</vt:i4>
      </vt:variant>
    </vt:vector>
  </HeadingPairs>
  <TitlesOfParts>
    <vt:vector size="14" baseType="lpstr">
      <vt:lpstr>portada</vt:lpstr>
      <vt:lpstr>bce</vt:lpstr>
      <vt:lpstr>pyg</vt:lpstr>
      <vt:lpstr>notas</vt:lpstr>
      <vt:lpstr>notas bce prueba1</vt:lpstr>
      <vt:lpstr>pyg y notas</vt:lpstr>
      <vt:lpstr>CUADRO</vt:lpstr>
      <vt:lpstr>Validaciones</vt:lpstr>
      <vt:lpstr>res bce</vt:lpstr>
      <vt:lpstr>resumen pyg</vt:lpstr>
      <vt:lpstr>Graficos Indicadores</vt:lpstr>
      <vt:lpstr>bce!Área_de_impresión</vt:lpstr>
      <vt:lpstr>pyg!Área_de_impresión</vt:lpstr>
      <vt:lpstr>'Graficos Indicadores'!Títulos_a_imprimir</vt:lpstr>
    </vt:vector>
  </TitlesOfParts>
  <Company>eafit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lgaviria</dc:creator>
  <cp:lastModifiedBy>dvanega2</cp:lastModifiedBy>
  <cp:lastPrinted>2014-02-10T00:23:49Z</cp:lastPrinted>
  <dcterms:created xsi:type="dcterms:W3CDTF">2005-06-01T23:43:17Z</dcterms:created>
  <dcterms:modified xsi:type="dcterms:W3CDTF">2014-11-13T00:27:06Z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