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mc:AlternateContent xmlns:mc="http://schemas.openxmlformats.org/markup-compatibility/2006">
    <mc:Choice Requires="x15">
      <x15ac:absPath xmlns:x15ac="http://schemas.microsoft.com/office/spreadsheetml/2010/11/ac" url="/Users/lisabartelsman/Downloads/Anexos/"/>
    </mc:Choice>
  </mc:AlternateContent>
  <xr:revisionPtr revIDLastSave="0" documentId="13_ncr:1_{9EC459B8-DE7E-DC46-B8BC-EBE57E4BFC55}" xr6:coauthVersionLast="47" xr6:coauthVersionMax="47" xr10:uidLastSave="{00000000-0000-0000-0000-000000000000}"/>
  <bookViews>
    <workbookView xWindow="0" yWindow="720" windowWidth="29400" windowHeight="18400" xr2:uid="{00000000-000D-0000-FFFF-FFFF00000000}"/>
  </bookViews>
  <sheets>
    <sheet name="SROI" sheetId="3" r:id="rId1"/>
    <sheet name="MapaImpacto" sheetId="4" r:id="rId2"/>
    <sheet name="Análisis_Referencia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3" l="1"/>
  <c r="C12" i="2"/>
  <c r="A7" i="2"/>
  <c r="N6" i="3"/>
  <c r="E9" i="3"/>
  <c r="E8" i="3"/>
  <c r="E6" i="3"/>
  <c r="N5" i="3" l="1"/>
  <c r="N13" i="3"/>
  <c r="T14" i="3"/>
  <c r="T12" i="3"/>
  <c r="M15" i="3"/>
  <c r="T15" i="3" s="1"/>
  <c r="U15" i="3" s="1"/>
  <c r="M13" i="3"/>
  <c r="T13" i="3" s="1"/>
  <c r="U13" i="3" s="1"/>
  <c r="M11" i="3"/>
  <c r="T11" i="3" s="1"/>
  <c r="U11" i="3" s="1"/>
  <c r="M8" i="3"/>
  <c r="T8" i="3" s="1"/>
  <c r="U8" i="3" s="1"/>
  <c r="M6" i="3"/>
  <c r="T6" i="3" s="1"/>
  <c r="U6" i="3" s="1"/>
  <c r="M5" i="3"/>
  <c r="T5" i="3"/>
  <c r="E40" i="2"/>
  <c r="E23" i="2"/>
  <c r="E24" i="2" s="1"/>
  <c r="E11" i="2"/>
  <c r="E12" i="2" s="1"/>
  <c r="I32" i="2"/>
  <c r="I19" i="2"/>
  <c r="I18" i="2"/>
  <c r="I20" i="2" s="1"/>
  <c r="I21" i="2" s="1"/>
  <c r="I11" i="2"/>
  <c r="I6" i="2"/>
  <c r="E18" i="2" s="1"/>
  <c r="I8" i="2"/>
  <c r="E18" i="3"/>
  <c r="A9" i="2"/>
  <c r="E15" i="3" s="1"/>
  <c r="E12" i="3"/>
  <c r="G37" i="2"/>
  <c r="G33" i="2"/>
  <c r="G29" i="2"/>
  <c r="G23" i="2"/>
  <c r="G25" i="2" s="1"/>
  <c r="G13" i="2"/>
  <c r="G5" i="2"/>
  <c r="G7" i="2" s="1"/>
  <c r="E7" i="3"/>
  <c r="A3" i="2"/>
  <c r="C11" i="2"/>
  <c r="C13" i="2" s="1"/>
  <c r="U5" i="3" l="1"/>
  <c r="N15" i="3"/>
  <c r="N11" i="3"/>
  <c r="R11" i="3"/>
  <c r="P11" i="3"/>
  <c r="R13" i="3"/>
  <c r="P13" i="3"/>
  <c r="C14" i="2"/>
  <c r="E25" i="2"/>
  <c r="E26" i="2" s="1"/>
  <c r="E27" i="2" s="1"/>
  <c r="E6" i="2"/>
  <c r="E13" i="2"/>
  <c r="I33" i="2"/>
  <c r="I34" i="2" s="1"/>
  <c r="I24" i="2"/>
  <c r="I25" i="2" s="1"/>
  <c r="I12" i="2"/>
  <c r="E10" i="3"/>
  <c r="E19" i="3"/>
  <c r="E20" i="3" s="1"/>
  <c r="E13" i="3"/>
  <c r="E16" i="3" s="1"/>
  <c r="G38" i="2"/>
  <c r="G14" i="2"/>
  <c r="E21" i="3" l="1"/>
  <c r="R15" i="3"/>
  <c r="P15" i="3"/>
  <c r="C15" i="2"/>
  <c r="C16" i="2" s="1"/>
  <c r="C17" i="2" s="1"/>
  <c r="C18" i="2" s="1"/>
  <c r="E14" i="2"/>
  <c r="E15" i="2" s="1"/>
  <c r="E38" i="2" s="1"/>
  <c r="I13" i="2"/>
  <c r="I14" i="2" s="1"/>
  <c r="I26" i="2"/>
  <c r="I27" i="2" s="1"/>
  <c r="R5" i="3"/>
  <c r="P5" i="3"/>
  <c r="R6" i="3"/>
  <c r="P6" i="3"/>
  <c r="I36" i="2"/>
  <c r="N8" i="3"/>
  <c r="R9" i="3" l="1"/>
  <c r="M17" i="3"/>
  <c r="T17" i="3" s="1"/>
  <c r="P9" i="3"/>
  <c r="T9" i="3"/>
  <c r="U9" i="3" s="1"/>
  <c r="N9" i="3"/>
  <c r="R8" i="3"/>
  <c r="P8" i="3"/>
  <c r="N17" i="3" l="1"/>
  <c r="P17" i="3"/>
  <c r="R17" i="3"/>
  <c r="T21" i="3"/>
  <c r="U17" i="3"/>
  <c r="U21" i="3" l="1"/>
  <c r="U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tc={973B4EB6-AB78-45BD-AF58-F065037D3F7D}</author>
    <author>tc={8175E157-1846-4A64-9B45-D55353186267}</author>
    <author>tc={71B5FAD5-A29C-47E1-8651-600B62EACBB3}</author>
    <author>tc={79A70C7C-DA86-417F-A32F-970DCFE0BA8E}</author>
    <author>tc={C531D1F2-5EDC-4EF9-A096-4D0F00F318A1}</author>
    <author>tc={52D1470C-3E5F-4C29-9627-30A72A45502A}</author>
    <author>tc={BFE9C541-1129-4E38-A532-DCDB96BBCA32}</author>
    <author>tc={89F767BE-8E82-41C5-B258-04C0AD27EEAF}</author>
    <author>tc={5843590B-D733-459A-B17A-3684E3200882}</author>
  </authors>
  <commentList>
    <comment ref="O5" authorId="0" shapeId="0" xr:uid="{973B4EB6-AB78-45BD-AF58-F065037D3F7D}">
      <text>
        <t>[Comentario encadenado]
Tu versión de Excel te permite leer este comentario encadenado; sin embargo, las ediciones que se apliquen se quitarán si el archivo se abre en una versión más reciente de Excel. Más información: https://go.microsoft.com/fwlink/?linkid=870924
Comentario:
    El SGSST obliga a que hayan 4 capacitaciones al año en temas de salud y seguridad</t>
      </text>
    </comment>
    <comment ref="O6" authorId="1" shapeId="0" xr:uid="{8175E157-1846-4A64-9B45-D55353186267}">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pueden generarse requerimientos legales a las unidades residenciales desde las autoridades para incorporar buenas prácticas en un mediano plazo </t>
      </text>
    </comment>
    <comment ref="P6" authorId="2" shapeId="0" xr:uid="{71B5FAD5-A29C-47E1-8651-600B62EACBB3}">
      <text>
        <t>[Comentario encadenado]
Tu versión de Excel te permite leer este comentario encadenado; sin embargo, las ediciones que se apliquen se quitarán si el archivo se abre en una versión más reciente de Excel. Más información: https://go.microsoft.com/fwlink/?linkid=870924
Comentario:
    Mejores prácticas implementadas en los conjuntos residenciales pueden impactar ej. en el ejercicio informal de recicladores para la recolección de material aprovechable</t>
      </text>
    </comment>
    <comment ref="O8" authorId="3" shapeId="0" xr:uid="{79A70C7C-DA86-417F-A32F-970DCFE0BA8E}">
      <text>
        <t>[Comentario encadenado]
Tu versión de Excel te permite leer este comentario encadenado; sin embargo, las ediciones que se apliquen se quitarán si el archivo se abre en una versión más reciente de Excel. Más información: https://go.microsoft.com/fwlink/?linkid=870924
Comentario:
    prácticas como los racionamientos pueden generar ahorros en el gasto anual de servicios aun sin existir la actividad</t>
      </text>
    </comment>
    <comment ref="P8" authorId="4" shapeId="0" xr:uid="{C531D1F2-5EDC-4EF9-A096-4D0F00F318A1}">
      <text>
        <t>[Comentario encadenado]
Tu versión de Excel te permite leer este comentario encadenado; sin embargo, las ediciones que se apliquen se quitarán si el archivo se abre en una versión más reciente de Excel. Más información: https://go.microsoft.com/fwlink/?linkid=870924
Comentario:
    Mejores prácticas implementadas en los conjuntos residenciales pueden impactar ej. en el ejercicio informal de recicladores para la recolección de material aprovechable</t>
      </text>
    </comment>
    <comment ref="S8" authorId="5" shapeId="0" xr:uid="{52D1470C-3E5F-4C29-9627-30A72A45502A}">
      <text>
        <t>[Comentario encadenado]
Tu versión de Excel te permite leer este comentario encadenado; sin embargo, las ediciones que se apliquen se quitarán si el archivo se abre en una versión más reciente de Excel. Más información: https://go.microsoft.com/fwlink/?linkid=870924
Comentario:
    debido al aumento anual del precio del servicio público, se pierde valor de ahorro</t>
      </text>
    </comment>
    <comment ref="O11" authorId="6" shapeId="0" xr:uid="{BFE9C541-1129-4E38-A532-DCDB96BBCA32}">
      <text>
        <t>[Comentario encadenado]
Tu versión de Excel te permite leer este comentario encadenado; sin embargo, las ediciones que se apliquen se quitarán si el archivo se abre en una versión más reciente de Excel. Más información: https://go.microsoft.com/fwlink/?linkid=870924
Comentario:
    pueden generarse requerimientos legales a las unidades residenciales desde las autoridades para incorporar buenas prácticas en un mediano plazo / o capacitaciones en el lugar de trabajo que propendan la implementación de prácticas para los residentes</t>
      </text>
    </comment>
    <comment ref="S11" authorId="7" shapeId="0" xr:uid="{89F767BE-8E82-41C5-B258-04C0AD27EEAF}">
      <text>
        <t>[Comentario encadenado]
Tu versión de Excel te permite leer este comentario encadenado; sin embargo, las ediciones que se apliquen se quitarán si el archivo se abre en una versión más reciente de Excel. Más información: https://go.microsoft.com/fwlink/?linkid=870924
Comentario:
    debido al aumento anual del precio del servicio público, se pierde valor de ahorro</t>
      </text>
    </comment>
    <comment ref="O17" authorId="8" shapeId="0" xr:uid="{5843590B-D733-459A-B17A-3684E3200882}">
      <text>
        <t>[Comentario encadenado]
Tu versión de Excel te permite leer este comentario encadenado; sin embargo, las ediciones que se apliquen se quitarán si el archivo se abre en una versión más reciente de Excel. Más información: https://go.microsoft.com/fwlink/?linkid=870924
Comentario:
    Aportes a la academia de otros trabajos academicos relacionados a la temática en el mismo año</t>
      </text>
    </comment>
  </commentList>
</comments>
</file>

<file path=xl/sharedStrings.xml><?xml version="1.0" encoding="utf-8"?>
<sst xmlns="http://schemas.openxmlformats.org/spreadsheetml/2006/main" count="282" uniqueCount="220">
  <si>
    <t>MAESTRÍA EN SOSTENIBILIDAD - Camila Galeano, Ana María Gonzalez, María Isabel Gonzalez, Lisa Bartelsman</t>
  </si>
  <si>
    <t>Universidad EAFIT</t>
  </si>
  <si>
    <t>TEORÍA DEL CAMBIO: para valorar monetariamente el impacto qué se generará hacia la sostenibilidad de las comunidades en Colombia con el desarrollo del presente trabajo y del instrumento de gestión de sostenibilidad para conjuntos residenciales</t>
  </si>
  <si>
    <t>GRUPO DE INTERÉS</t>
  </si>
  <si>
    <t>NECESIDAD O PROBLEMA A RESOLVER</t>
  </si>
  <si>
    <t xml:space="preserve">INSUMOS </t>
  </si>
  <si>
    <t>VALOR ESTIMADO</t>
  </si>
  <si>
    <t>ACTIVIDADES</t>
  </si>
  <si>
    <t>PRODUCTOS</t>
  </si>
  <si>
    <t>RESULTADOS, OUTCOMES O BENEFICIOS</t>
  </si>
  <si>
    <t>INDICADOR</t>
  </si>
  <si>
    <t>PROXY</t>
  </si>
  <si>
    <t>FUENTE DEL PROXY</t>
  </si>
  <si>
    <t>VALOR BRUTO DEL OUTCOME (multiplicar el proxy por el indicador)</t>
  </si>
  <si>
    <t>Administración de los conjuntos residenciales</t>
  </si>
  <si>
    <t xml:space="preserve">
Fortalecer la gestión, contar con acciones o planes especificos de sostenibilidad para lograr valor agregado a los copropietarios con ahorros o valorización para la propiedad</t>
  </si>
  <si>
    <t>Construcción de la línea base de información socioambiental referente a conjuntos residenciales y su rol en la implementación de acciones que aporten al cumplimiento de los ODS en entornos urbanos.
Recolección de buenas prácticas en el mundo.
Realización de entrevistas al personal de las administraciones para obtención de información directa.
Revisión de las caracteristicas de los planes de gestión vigentes de las administraciones.
Ideación de las recomendaciones 
Aplicación piloto del instrumento</t>
  </si>
  <si>
    <t xml:space="preserve">
Recomendaciones para estrategia y técnicas para la sostenibilidad identificadas mediante la aplicación del instrumento de gestión desarrollado. </t>
  </si>
  <si>
    <t>Residentes de conjuntos residenciales</t>
  </si>
  <si>
    <t>Fortalecer el conocimiento acerca de buenas prácticas para ser más sostenibles desde el hogar, pues desconocen su rol dentro del sistema y/o en las acciones que pueden tomar para aportar a compromisos ODS</t>
  </si>
  <si>
    <t>Compilar y priorizar la información referente a los hallazgos para establecer una hoja de ruta para los residentes aportando a un mayor conocimiento acerca de su rol hacia ciudades y comunidades sostenibles.
Entrevistas para revisión de habitos de consumo y de su vida cotidiana. También para validar si aplicarían las buenas prácticas</t>
  </si>
  <si>
    <t>Orientaciones de buenas prácticas de sostenibilidad en el entorno doméstico (viviendas), resaltando además la importancia de estas acciones en el camino hacia ciudades y comunidades sostenibles</t>
  </si>
  <si>
    <t xml:space="preserve">Acceso gratuito y aumento del conocimiento sobre qué es sostenibilidad y los compromisos prácticos que se pueden adoptar en sus viviendas desde las acciones individuales y colectivas
</t>
  </si>
  <si>
    <t>Academia</t>
  </si>
  <si>
    <t>Generar un instrumento mediante el cual implementar la estrategia de sostenibilidad en los conjuntos residenciales y generar espacios para visibilizar los esfuerzos de unidades de análisis más pequeñas en el campo de investigación de sostenibilidad en entornos urbanos  en Colombia</t>
  </si>
  <si>
    <t xml:space="preserve">Horas de profesionales con conocimiento en generación e implementación de estrategias de sostenibilidad en comunidades
</t>
  </si>
  <si>
    <t>Desarrollo del conocimiento para el entorno colombiano
Establecer alianzas con instituciones académicas para aportar al estado de conocimiento y la generación de instrumentos que orienten la toma de decisiones de los demás grupos de interés, a la vez que se fortalecen las  capacidades, habilidades y conocimiento alrededor de la sostenibilidad. 
Análisis, recomendaciones y documentos para establecer la line base para continuar las investigaciones o aportes desde la academía</t>
  </si>
  <si>
    <t>Documento de soporte conceptual y metodológico como base para la construcción de instrumentos que orienten la toma de decisiones que incluye un análisis de la situación actual de los conjuntos residenciales respecto a su impacto en los ODS, sumado a la identificación de las oportunidades de acción individual y colectiva que contribuyan a estos.</t>
  </si>
  <si>
    <t>Aporte al conocimiento sobre el impacto social y ambiental de la implementación de buenas prácticas en conjuntos residenciales (administraciones y residentes), como escenarios de aprendizaje para incentivar comportamientos individuales y colectivos orientados a la sostenibilidad.</t>
  </si>
  <si>
    <t xml:space="preserve">Valor de mercado de las horas/profesionales  para la investigación, diseño e implementación del instrumento de gestión socioambiental 
</t>
  </si>
  <si>
    <t>Costo estimado del proyecto</t>
  </si>
  <si>
    <t xml:space="preserve">Valor monetario beneficios: </t>
  </si>
  <si>
    <t>SROI</t>
  </si>
  <si>
    <t>DURACIÓN DEL BENEFICIO (años)</t>
  </si>
  <si>
    <t>ATRIBUCIÓN O PESO MUERTO Anual (Si aplica)</t>
  </si>
  <si>
    <t>DESPLAZAMIENTO Anual (si aplica)</t>
  </si>
  <si>
    <t>DECRECIMIENTO desde el año 2</t>
  </si>
  <si>
    <t xml:space="preserve">VALOR NETO año 1 
 (valor Bruto corregido con Atribución, Desplazamiento y Decrecimiento)  </t>
  </si>
  <si>
    <t xml:space="preserve">VALOR NETO año 1 + año 2
 (valor Bruto corregido con Atribución, Desplazamiento y Decrecimiento)  </t>
  </si>
  <si>
    <t xml:space="preserve">Acciones 170  diarias
169 Metas de ODS 
</t>
  </si>
  <si>
    <t xml:space="preserve">Generar capacidad de gestión socioambiental en los conjuntos residenciales, adicionales al Sistema de Seguridad y Salud.
</t>
  </si>
  <si>
    <t xml:space="preserve">Aumento en el Número capacitaciones realizadas por el equipo consultor al conjunto resdencial
</t>
  </si>
  <si>
    <t xml:space="preserve">Costo de las capacitaciones en gestión socioambiental para el conjunto residencial </t>
  </si>
  <si>
    <t xml:space="preserve">Triangulación de la información y su aplicabilidad al caso 
</t>
  </si>
  <si>
    <t>Incremento de buenas prácticas en las planeaciones estratégicas de la administración.</t>
  </si>
  <si>
    <t>Reconocimiento de buenas prácticas ambientales</t>
  </si>
  <si>
    <t xml:space="preserve">Guía de entrevistas semi-estructurada
</t>
  </si>
  <si>
    <t># horas de ajuste instrumento post piloto acompañamiento a implementación (8 hrs de c/consultor)</t>
  </si>
  <si>
    <t xml:space="preserve"> Crear medios de valorización de la propiedad.</t>
  </si>
  <si>
    <t xml:space="preserve">
El indicador de este outcome no se va a tener en cuenta en esta fase del proyecto. 
</t>
  </si>
  <si>
    <t xml:space="preserve"> N/A</t>
  </si>
  <si>
    <t xml:space="preserve">Registro audiovisual de las entrevistas
</t>
  </si>
  <si>
    <t># horas de acompañamiento a implementación a administraciones interesadas a 2026 (8 hrs mensuales de uno de los consultores)</t>
  </si>
  <si>
    <t xml:space="preserve">Acceder a un instrumento aplicable para la sostenibilidad económica, ambiental y social de la copropiedad.
</t>
  </si>
  <si>
    <t>reducción de gasto anual en servicios públicos al hacer parte del piloto para la implementación del instrumento</t>
  </si>
  <si>
    <t xml:space="preserve">a). Ahorro en el costo de las tarifas de los servicios públicos en los conjuntos residenciales
b). Ingresos generados por venta de reciclaje, compostaje, aceite, etc.
</t>
  </si>
  <si>
    <t>Horas de profesionales para la recolección, depuración de datos, ajustes y acompañamiento</t>
  </si>
  <si>
    <t>Valor horas/hombre x profesional</t>
  </si>
  <si>
    <t>Acceder a un equipo consultor especializado que puede implementar el instrumento.</t>
  </si>
  <si>
    <t>Tiempo dedicado por el equipo consultor por fase de diagnóstico, implementación, evaluación y seguimiento</t>
  </si>
  <si>
    <t>Costo en servicios de consultoría de sostenibilidad</t>
  </si>
  <si>
    <t>Totales costo insumos Admin</t>
  </si>
  <si>
    <t>Horas de profesionales para la recolección, depuración de datos con residentes
Espacios de educación
Información sobre los incentivos de participar en negocios de economía circular
Asesoría técnica y jurídica necesarias para el desarrollo del instrumento</t>
  </si>
  <si>
    <t xml:space="preserve">Aumento porcentual de hogares que tienen acceso gratuito al material educativo sobre sostenibilidad ((# de hogares que acceden al contenido/Total de hogares del conjunto residencial)x100)
</t>
  </si>
  <si>
    <t xml:space="preserve">
Disminución en las tarifas de los servicios públicos en las viviendas
</t>
  </si>
  <si>
    <t>Eficiencia en gastos domésticos asociados a consumo y prácticas cotidianas (ej. víveres)</t>
  </si>
  <si>
    <t xml:space="preserve"> # de horas de dedicación asesoría técnica y jurídica que impacta a los residentes</t>
  </si>
  <si>
    <t>Aumento de  nivel de conocimiento: encuesta al inicio y al final para medir el incremento en la tasa de reciclaje y disminución en el consumo de servicios y alimentos desechados</t>
  </si>
  <si>
    <t>Valor horas/hombre x profesional asesoría técnica y jurídica</t>
  </si>
  <si>
    <t>Costo de programa de capacitación en sostenibilidad (15 horas)</t>
  </si>
  <si>
    <t>Totales costo insumos Resid</t>
  </si>
  <si>
    <t># de horas de dedicación para generación e implementación de estrategias de sostenibilidad en comunidades (documento e instrumento):</t>
  </si>
  <si>
    <t>Reducción de vacios de información relacionada al tema en el contexto colombiano( entrega satisfactoria documento de soporte conceptual y metodológico e instrumento)</t>
  </si>
  <si>
    <t xml:space="preserve">Hora/hombre de investigación para generar la base de información socioambiental (diagnóstico)
</t>
  </si>
  <si>
    <t xml:space="preserve">Hora/hombre para el diseño del instrumento socioambiental </t>
  </si>
  <si>
    <t xml:space="preserve">bibliografía existente
</t>
  </si>
  <si>
    <t>Costo de implementación del piloto de un programa de gestión socioambiental en conjuntos residenciales</t>
  </si>
  <si>
    <t>Totales costo insumos Academia</t>
  </si>
  <si>
    <t>RESULTADOS INICIALES</t>
  </si>
  <si>
    <t>Construcción de la línea base de información socioambiental referente a conjuntos residenciales y su rol en la implementación de acciones que aporten al cumplimiento de los ODS en entornos urbanos.
Recolección de buenas prácticas en el mundo.
Realización de entrevistas 
Revisión de las caracteristicas de los planes de gestión vigentes de las administraciones.
Aplicación piloto del instrumento</t>
  </si>
  <si>
    <t xml:space="preserve">
Instrumento para la implementación de prácticas sostenibles en conjuntos residenciales con recomendaciones estratégicas, orientaciones prácticas para el usuario e información relevante al contexto colombiano
. </t>
  </si>
  <si>
    <t>Generar capacidad de gestión socioambiental en los conjuntos residenciales, adicionales al Sistema de Seguridad y Salud.
 Crear medios de valorización de la propiedad.</t>
  </si>
  <si>
    <t>establecer una hoja de ruta para los residentes aportando a un mayor conocimiento acerca de su rol 
Entrevistas para validar si aplicarían las buenas prácticas</t>
  </si>
  <si>
    <t>Desarrollo del conocimiento para el entorno colombiano
Establecer alianzas con instituciones académicas para aportar al estado del arte 
Identificación de brechas para continuar las investigaciones o aportes desde la academía</t>
  </si>
  <si>
    <t>Fuente 0</t>
  </si>
  <si>
    <t>Fuente del proxy 2</t>
  </si>
  <si>
    <t>Fuente del proxy 1</t>
  </si>
  <si>
    <t>Fuente del proxy 3</t>
  </si>
  <si>
    <t>Fuente del proxy 4</t>
  </si>
  <si>
    <t xml:space="preserve">Suposiciones </t>
  </si>
  <si>
    <t xml:space="preserve">Basandonos en las referencias existentes para la remuneración de un gerente de sostenibilidad y/o ambiental en el sector privado, según el estudio más reciente de Michael page: https://b2blatam.page.com/COER2024 </t>
  </si>
  <si>
    <t>Panorama mundial</t>
  </si>
  <si>
    <t>Food-Waste-Index-2024-key-messages_SP.pdf</t>
  </si>
  <si>
    <t>Consulta Copilot</t>
  </si>
  <si>
    <t>En 2022, el mundo desperdició 1.050 millones de toneladas de alimentos. Esto supone el desperdicio de una quinta parte (19%) de los alimentos disponibles para los consumidores, un desperdicio procedente tanto del comercio minorista como de los hogares y los proveedores de servicios alimentarios. A esto hay que añadir que  el 13% de los alimentos se pierden en la cadena de suministro en el período comprendido entre después de la cosecha y la venta al por menor, según estimaciones de la FAO.</t>
  </si>
  <si>
    <t>Implementar prácticas sostenibles puede generar ahorros significativos en las tarifas de servicios públicos. Aquí te doy una idea de cuánto podrías ahorrar en cada uno de estos servicios:</t>
  </si>
  <si>
    <t>Capacitaciones</t>
  </si>
  <si>
    <t>Servicios Públicos</t>
  </si>
  <si>
    <t>Item</t>
  </si>
  <si>
    <t>Fuente</t>
  </si>
  <si>
    <t>Valor hora de consultoria determinado a partir de la asesoría de un colega consultor ejerciendo recientemente en sector privado:</t>
  </si>
  <si>
    <t>Agua y alcantarillado</t>
  </si>
  <si>
    <t>El costo de capacitaciones puede variar dependiendo del tipo de curso, la duración y el proveedor. En general, una capacitación básica en gestión ambiental puede costar entre COP 200,000 y COP 500,000 por persona (Ministerio de Vivienda, Ciudad y Territorio, 2022). Si consideramos que cada unidad de vivienda envía a una persona a una capacitación anual, el costo sería:</t>
  </si>
  <si>
    <t>Para calcular el ahorro mensual en la tarifa de servicios públicos de las zonas comunes de un conjunto residencial de 100 viviendas en Colombia, aplicando planes de eficiencia y sostenibilidad ambiental, consideraremos los siguientes servicios: energía eléctrica, agua y alcantarillado, y aseo; para los valores actuales utilizamos como referencia datos de estrategias probadas, de estados financieros de un conjunto real estrato 4 de +100 viviendas</t>
  </si>
  <si>
    <t>Sobre peso muerto outcome 1</t>
  </si>
  <si>
    <t>https://prevencionlaboralrimac.com/Cms_Data/Contents/RimacDataBase/Media/fasciculo-prevencion/FASC-8588273499716672026.pdf</t>
  </si>
  <si>
    <t>Consumo básico  m3 según tarifario bogotá suscriptor</t>
  </si>
  <si>
    <t>Costo por persona(promedio)</t>
  </si>
  <si>
    <t>1. Energía Eléctrica</t>
  </si>
  <si>
    <t>Sobre peso muerto outcome 2</t>
  </si>
  <si>
    <t>https://bogota.gov.co/mi-ciudad/habitat/racionamiento-de-agua-bogota-cobro-adicional-por-22-metros-cubicos</t>
  </si>
  <si>
    <t>Promedio consultor de sostenibilidad</t>
  </si>
  <si>
    <t>La mayor parte del desperdicio mundial de alimentos procede de los hogares. Del total de alimentos desperdiciados en 2022, los hogares fueron responsables de 631 millones de toneladas, equivalentes al 60%; el sector de proveedores de servicios alimentarios, de 290 millones; y el sector de minoristas, de 131 millones</t>
  </si>
  <si>
    <t>costo promedio mensual sobre consumo básico</t>
  </si>
  <si>
    <t>Número de personas</t>
  </si>
  <si>
    <t xml:space="preserve">Costo $/kWh promedio estrato 4 (Bogotá-Cdmarca / Antioquia) </t>
  </si>
  <si>
    <t xml:space="preserve">Sobre decrecimiento outcome 1 </t>
  </si>
  <si>
    <t>https://closelly.com/la-curva-del-olvido-que-tan-rapido-olvidamos-lo-aprendido/#:~:text=Ebbinghaus%20determin%C3%B3%20que%2C%20un%20d%C3%ADa,recordar%20solamente%20hasta%20un%203%25.</t>
  </si>
  <si>
    <t>ESTRATEGIA / PLAN DE EFICIENCIA PARA RESIDENTE</t>
  </si>
  <si>
    <t xml:space="preserve">
Costo total anual en capacitaciones: </t>
  </si>
  <si>
    <t>Consumo kWh promedio zonas comunes estrato 4 /180 aptos según estados financieros 2023</t>
  </si>
  <si>
    <t>Sobre decrecimiento outcome 4</t>
  </si>
  <si>
    <t>valor aproximado considerando IPC 2019 a 2023 a colombia</t>
  </si>
  <si>
    <t xml:space="preserve">Basandonos en las referencias existentes para la remuneración promedio de un asociado senior de una firma de abogados, según el estudio más reciente de Michael page: https://b2blatam.page.com/COER2024  </t>
  </si>
  <si>
    <t>Panorama colombia</t>
  </si>
  <si>
    <t>Cuánto dinero le cuesta a un colombiano alimentarse de manera saludable: estas son las cifras según Bienestar Familiar - Infobae</t>
  </si>
  <si>
    <t>Recolección y reutilización de agua de lluvia: Puede reducir el consumo de agua potable en un 30%[1].</t>
  </si>
  <si>
    <t>Programas de Gestión Medioambiental</t>
  </si>
  <si>
    <t>Costo mensual actual $/kwh</t>
  </si>
  <si>
    <t>Respecto a la duda de cuánto cuesta la alimentación de un colombiano, desde el Instituto Colombiano de Bienestar Familiar (ICBF) realizaron un promedio con la alimentación balanceada (tubérculos, raíces, cereales, frutas y verduras, leche, productos lácteos, carnes, huevos o leguminosas secas y grasas y azúcares) y señalaron que una dieta saludable al mes puede costar $643.390 por persona a 2023.</t>
  </si>
  <si>
    <t>Instalación de dispositivos de ahorro: Aireadores en grifos y cabezales de ducha de bajo flujo pueden reducir el consumo de agua hasta en un 50%[1].</t>
  </si>
  <si>
    <t>Los programas de gestión medioambiental pueden incluir actividades como reciclaje, manejo de residuos, ahorro de agua y energía, y mantenimiento de áreas verdes. El costo puede variar ampliamente, pero podemos hacer una estimación basada en algunos programas típicos:</t>
  </si>
  <si>
    <t>ESTRATEGIA / PLAN DE EFICIENCIA</t>
  </si>
  <si>
    <t>Ahorro potencial: Implementando medidas como iluminación LED y paneles solares, se puede reducir el consumo en un 30%[2]:</t>
  </si>
  <si>
    <t>Reparación de fugas: Una fuga pequeña puede desperdiciar hasta 20 litros de agua al día[1].</t>
  </si>
  <si>
    <t>1. Programa anual de Reciclaje y manejo de residuos  (Ministerio de Ambiente y Desarrollo Sostenible, 2021).:</t>
  </si>
  <si>
    <t>Ahorro con medidas para la sostenibilidad que se puede lograr</t>
  </si>
  <si>
    <t>Costo promedio de mercado a 2024 por persona</t>
  </si>
  <si>
    <t>Ahorro promedio con medidas para la sostenibilidad que se puede lograr</t>
  </si>
  <si>
    <t xml:space="preserve">2. Programa anual de Ahorro de agua y energía (Ministerio de Ambiente y Desarrollo Sostenible, 2021).: </t>
  </si>
  <si>
    <t>Consumo corregido potencial</t>
  </si>
  <si>
    <t>Desperdicio promedio de comida</t>
  </si>
  <si>
    <t xml:space="preserve">3. Programa anual de Mantenimiento de áreas verdes (Ministerio de Ambiente y Desarrollo Sostenible, 2021): </t>
  </si>
  <si>
    <t>Costo mensual actual $/kwh corregido potencial</t>
  </si>
  <si>
    <t xml:space="preserve">Costo promedio por hogar  promedio de 3 pax mensual </t>
  </si>
  <si>
    <t>Costo mensual  $/m3 corregido potencial</t>
  </si>
  <si>
    <t>Costo total anual en programas de gestión medioambiental</t>
  </si>
  <si>
    <t>Ahorro mensual potencial</t>
  </si>
  <si>
    <t>Eficiencia esperada por persona</t>
  </si>
  <si>
    <t>Costo total anual de programas de gestión y capacitaciones</t>
  </si>
  <si>
    <t>Ahorro anual potencial</t>
  </si>
  <si>
    <t>Costo potencial promedio de mercado con eficiencia x pax</t>
  </si>
  <si>
    <t>Referencias</t>
  </si>
  <si>
    <t>Costo potencial por hogar  promedio de 3 pax mensual con eficiencias</t>
  </si>
  <si>
    <t>Energía</t>
  </si>
  <si>
    <t xml:space="preserve">Ministerio de Ambiente y Desarrollo Sostenible. (2021). Guía de manejo ambiental para consultorías. Recuperado de https://www.minambiente.gov.co </t>
  </si>
  <si>
    <t>2. Agua y Alcantarillado</t>
  </si>
  <si>
    <t>Consumo promedio kwh estrato 4 hogar</t>
  </si>
  <si>
    <t>Ministerio de Vivienda, Ciudad y Territorio. (2022). Plan de compromiso ambiental y social. Recuperado de https://www.minvivienda.gov.co</t>
  </si>
  <si>
    <t>Costo actual: El costo promedio del agua y alcantarillado en estrato 4 es de aproximadamente COP 2,500 por m³[3]. Supongamos que las zonas comunes consumen 100 m³ al mes:</t>
  </si>
  <si>
    <t>Ahorro Total anual por conjunto</t>
  </si>
  <si>
    <t>costo promedio mensual sobre consumo promedio</t>
  </si>
  <si>
    <t>Costo fijo estrato 4 agua y alcantarillado (Bogotá-Cdmarca</t>
  </si>
  <si>
    <t>Reconocimiento por buenas prácticas</t>
  </si>
  <si>
    <t>Costo variable $/m3 promedio agua y alcantarillado</t>
  </si>
  <si>
    <t>Uso de bombillas LED: Las bombillas LED consumen hasta un 80% menos de energía que las incandescentes[2].</t>
  </si>
  <si>
    <t>Consumo M3 promedio zonas comunes estrato 4 /180 aptos calculado según datos estado de resultados 2023</t>
  </si>
  <si>
    <t>Electrodomésticos eficientes: Utilizar electrodomésticos con etiquetas de alta eficiencia energética puede reducir el consumo de energía en un 30%[3].</t>
  </si>
  <si>
    <t>Ejercicio de monetización de los beneficios del programa "Ecologizadores Metropolitanos" del Valle de Aburrá. Consideraremos los siguientes beneficios: educación ambiental, empoderamiento comunitario, experiencias educativas gratuitas y desarrollo de competencias.</t>
  </si>
  <si>
    <t>Costo mensual actual $/M3 basado en gasto anual según estados financieros con un incremento promedio 2023</t>
  </si>
  <si>
    <t>Desconectar dispositivos en modo espera: Esto puede reducir el consumo de energía en un 10%[2].</t>
  </si>
  <si>
    <t>1. Educación Ambiental</t>
  </si>
  <si>
    <t>Ahorro potencial: Implementando sistemas de recolección de agua de lluvia y grifos de bajo flujo, se puede reducir el consumo en un 20%[2]:</t>
  </si>
  <si>
    <t xml:space="preserve">
Costo total anual en educación ambiental</t>
  </si>
  <si>
    <t>Costo mensual actual $/m3 corregido potencial</t>
  </si>
  <si>
    <t>2. Empoderamiento Comunitario</t>
  </si>
  <si>
    <t>ASEO</t>
  </si>
  <si>
    <t>3. Aseo</t>
  </si>
  <si>
    <t xml:space="preserve">Costo mensual actual servicio de aseo </t>
  </si>
  <si>
    <t xml:space="preserve">
Costo total anual en empoderamiento comunitario</t>
  </si>
  <si>
    <t>3. Experiencias Educativas Gratuitas</t>
  </si>
  <si>
    <t>Ahorro potencial: Implementando programas de reciclaje y compostaje, se puede reducir el costo en un 10%[2]:</t>
  </si>
  <si>
    <t>Separación y reciclaje de residuos: Puede reducir la cantidad de basura generada y, por ende, los costos de recolección[4].</t>
  </si>
  <si>
    <t>Uso de productos biodegradables: Minimiza el impacto ambiental y puede reducir los costos de tratamiento de aguas residuales[4].</t>
  </si>
  <si>
    <t>Costo corregido potencial mensual</t>
  </si>
  <si>
    <t xml:space="preserve">
Costo total anual en  experiencias educativas gratuitas</t>
  </si>
  <si>
    <t>4. Desarrollo de Competencias</t>
  </si>
  <si>
    <t>Ahorro Total Mensual</t>
  </si>
  <si>
    <t xml:space="preserve">
Costo total anual en  desarrollo de competencias:</t>
  </si>
  <si>
    <t>Ahorro Total anual por hogar</t>
  </si>
  <si>
    <t>Costo total anual de beneficios del programa</t>
  </si>
  <si>
    <t>Asumiendo un conjunto de 100 unidades</t>
  </si>
  <si>
    <t>Ahorro Total anual por conunto</t>
  </si>
  <si>
    <t>[1] Importancia de la educación ambiental actualmente ... - Programas</t>
  </si>
  <si>
    <t>[2] Demanda de educación y capacitación ambiental en México</t>
  </si>
  <si>
    <t>Conjunto residencial Mazuren 18 (2023, Diciembre). Estados de resultados integrales. Recuperado de documentos asamblea febrero 2024.</t>
  </si>
  <si>
    <t>[3] Costos de educación ambiental: un desglose de gastos detallados</t>
  </si>
  <si>
    <t>https://www.semana.com/mejor-colombia/articulo/que-se-cobra-en-las-tarifas-de-los-servicios-publicos/202351/</t>
  </si>
  <si>
    <t>[4] El costo ambiental de la educación – Fundación Koikos</t>
  </si>
  <si>
    <t>https://observadorescol.org/wp-content/uploads/ObservadoresCol-Informe-Energetico-Colombiano-Marzo-5-2024.pdf</t>
  </si>
  <si>
    <t>https://www.superservicios.gov.co/sites/default/files/inline-files/Boletin-tarifario-de-energia-primer-trimestre-de-2024.pdf</t>
  </si>
  <si>
    <t>https://www.acueducto.com.co/wps/portal/EAB2/Home/atencion-al-usuario/tarifas/tarifas_2024/!ut/p/z1/nZDBCoMwEES_xS_IGNOYqwmYFqkaS9DmIjmJ0NoeSr-_4qHUIla6t4U3sztDHGmIG_yz7_yjvw3-Mu5nx9tMcLrXguYiZjH4USUyS3WkS07qCeBGIRSgORhVMKdSVoVVYRky4rboMZsEsqIyAnRB_9F_Om3TrwBu3b4mbkLeDWieAsboBIKNQdjuG1ioaOHIvINfX9yv1toG_aELghd0kaj4/dz/d5/L2dBISEvZ0FBIS9nQSEh/</t>
  </si>
  <si>
    <t>https://www.superservicios.gov.co/sites/default/files/inline-files/informe_nacional_de_coberturas_de_los_servicios_publicos_aaa_2020_vf_a%20%281%29.pdf</t>
  </si>
  <si>
    <t>[1] 5 Estrategias Efectivas para Ahorrar Agua en el Hogar y Preservar este ...</t>
  </si>
  <si>
    <t>[2] 10 prácticas adicionales para reducir el consumo de energía eléctrica</t>
  </si>
  <si>
    <t>[3] Buenas prácticas para el ahorro de energía - EIA</t>
  </si>
  <si>
    <t>[4] Hábitos sostenibles para el ahorro y consumo de agua - Universidad Central</t>
  </si>
  <si>
    <t>https://www.eltiempo.com/Multimedia/especiales/salvar_agua_bogota/#:~:text=El%20consumo%20promedio%20de%20una,en%20los%20ba%C3%B1os%20y%20duchas.</t>
  </si>
  <si>
    <r>
      <t xml:space="preserve">
 Valor en el mercado
 sobre capacitaciones y desarrollo de planes de gestión existentes 
</t>
    </r>
    <r>
      <rPr>
        <i/>
        <sz val="10"/>
        <rFont val="Lucida Sans Unicode"/>
        <family val="2"/>
      </rPr>
      <t>(Más info: Fuente del proxy 3)</t>
    </r>
  </si>
  <si>
    <r>
      <t xml:space="preserve">Valores unitarios de cada uno de los servicios públicos, según lo establecido en la norma nacional
</t>
    </r>
    <r>
      <rPr>
        <i/>
        <sz val="10"/>
        <rFont val="Lucida Sans Unicode"/>
        <family val="2"/>
      </rPr>
      <t>(Más info: Fuente del proxy 4)</t>
    </r>
  </si>
  <si>
    <r>
      <t xml:space="preserve">Valores promedio de referencia por hora dedicada profesional relevante según estudio del mdo 
</t>
    </r>
    <r>
      <rPr>
        <i/>
        <sz val="10"/>
        <rFont val="Lucida Sans Unicode"/>
        <family val="2"/>
      </rPr>
      <t>(Más info: Fuente 0)</t>
    </r>
  </si>
  <si>
    <r>
      <t xml:space="preserve">Información interna y datos de costo promedio de cada unidad de medida de servicios públicos. 
</t>
    </r>
    <r>
      <rPr>
        <i/>
        <sz val="10"/>
        <rFont val="Lucida Sans Unicode"/>
        <family val="2"/>
      </rPr>
      <t>(Más info: Fuente del proxy 1)</t>
    </r>
  </si>
  <si>
    <r>
      <t xml:space="preserve">Encuesta de medición a los residentes
</t>
    </r>
    <r>
      <rPr>
        <i/>
        <sz val="10"/>
        <rFont val="Lucida Sans Unicode"/>
        <family val="2"/>
      </rPr>
      <t>(Más info: Fuente del proxy 2)</t>
    </r>
  </si>
  <si>
    <t>Bibliografía existente</t>
  </si>
  <si>
    <r>
      <t xml:space="preserve">Semana. (2023). </t>
    </r>
    <r>
      <rPr>
        <i/>
        <sz val="10"/>
        <color theme="1"/>
        <rFont val="Lucida Sans Unicode"/>
        <family val="2"/>
      </rPr>
      <t>¿Qué se cobra en las tarifas de los servicios públicos?</t>
    </r>
    <r>
      <rPr>
        <sz val="10"/>
        <color theme="1"/>
        <rFont val="Lucida Sans Unicode"/>
        <family val="2"/>
      </rPr>
      <t>. Recuperado de https://www.semana.com</t>
    </r>
  </si>
  <si>
    <r>
      <t xml:space="preserve">Jelpit. (2024). </t>
    </r>
    <r>
      <rPr>
        <i/>
        <sz val="10"/>
        <color theme="1"/>
        <rFont val="Lucida Sans Unicode"/>
        <family val="2"/>
      </rPr>
      <t>Sostenibilidad residencial: cómo tener un conjunto verde</t>
    </r>
    <r>
      <rPr>
        <sz val="10"/>
        <color theme="1"/>
        <rFont val="Lucida Sans Unicode"/>
        <family val="2"/>
      </rPr>
      <t>. Recuperado de https://www.jelpit.com</t>
    </r>
  </si>
  <si>
    <r>
      <t xml:space="preserve">Properati. (2024). </t>
    </r>
    <r>
      <rPr>
        <i/>
        <sz val="10"/>
        <color theme="1"/>
        <rFont val="Lucida Sans Unicode"/>
        <family val="2"/>
      </rPr>
      <t>Bogotá: ¿Cuánto cuestan los servicios públicos en el estrato 4?. Recuperado de https://blog.properati.com.co</t>
    </r>
  </si>
  <si>
    <t xml:space="preserve"> </t>
  </si>
  <si>
    <t># de horas de dedicación para las actividades de compilación, triangulación, recolección, registro y depuración de información así como para el desarrollo del instrumento (equipo de 4 consultores por 4 semanas)</t>
  </si>
  <si>
    <t># de horas de dedicación para las actividades de recolección y depuración de información que valorarían los residentes: (48 horas*4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</si>
</sst>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240A]\ * #,##0_-;\-[$$-240A]\ * #,##0_-;_-[$$-240A]\ * &quot;-&quot;_-;_-@_-"/>
    <numFmt numFmtId="165" formatCode="_-[$$-240A]\ * #,##0.00_-;\-[$$-240A]\ * #,##0.00_-;_-[$$-240A]\ * &quot;-&quot;??_-;_-@_-"/>
    <numFmt numFmtId="166" formatCode="_-[$$-240A]\ * #,##0_-;\-[$$-240A]\ * #,##0_-;_-[$$-240A]\ * &quot;-&quot;??_-;_-@_-"/>
    <numFmt numFmtId="167" formatCode="0.0"/>
    <numFmt numFmtId="168" formatCode="_-[$$-409]* #,##0.00_ ;_-[$$-409]* \-#,##0.00\ ;_-[$$-409]* &quot;-&quot;??_ ;_-@_ "/>
  </numFmts>
  <fonts count="17" x14ac:knownFonts="1">
    <font>
      <sz val="11"/>
      <color theme="1"/>
      <name val="Aptos Narrow"/>
      <family val="2"/>
      <scheme val="minor"/>
    </font>
    <font>
      <sz val="11"/>
      <color rgb="FF000000"/>
      <name val="Calibri"/>
      <family val="2"/>
    </font>
    <font>
      <u/>
      <sz val="11"/>
      <color theme="10"/>
      <name val="Aptos Narrow"/>
      <family val="2"/>
      <scheme val="minor"/>
    </font>
    <font>
      <sz val="11"/>
      <color theme="0"/>
      <name val="Aptos Narrow"/>
      <family val="2"/>
      <scheme val="minor"/>
    </font>
    <font>
      <b/>
      <sz val="10"/>
      <color theme="0"/>
      <name val="Lucida Sans Unicode"/>
      <family val="2"/>
    </font>
    <font>
      <b/>
      <sz val="10"/>
      <color rgb="FF000000"/>
      <name val="Lucida Sans Unicode"/>
      <family val="2"/>
    </font>
    <font>
      <sz val="10"/>
      <color rgb="FF000000"/>
      <name val="Lucida Sans Unicode"/>
      <family val="2"/>
    </font>
    <font>
      <sz val="10"/>
      <color theme="1"/>
      <name val="Lucida Sans Unicode"/>
      <family val="2"/>
    </font>
    <font>
      <sz val="10"/>
      <name val="Lucida Sans Unicode"/>
      <family val="2"/>
    </font>
    <font>
      <i/>
      <sz val="10"/>
      <name val="Lucida Sans Unicode"/>
      <family val="2"/>
    </font>
    <font>
      <b/>
      <sz val="10"/>
      <name val="Lucida Sans Unicode"/>
      <family val="2"/>
    </font>
    <font>
      <b/>
      <sz val="10"/>
      <color theme="1"/>
      <name val="Lucida Sans Unicode"/>
      <family val="2"/>
    </font>
    <font>
      <u/>
      <sz val="10"/>
      <color theme="10"/>
      <name val="Lucida Sans Unicode"/>
      <family val="2"/>
    </font>
    <font>
      <b/>
      <i/>
      <sz val="10"/>
      <color theme="1"/>
      <name val="Lucida Sans Unicode"/>
      <family val="2"/>
    </font>
    <font>
      <i/>
      <sz val="10"/>
      <color rgb="FF242424"/>
      <name val="Lucida Sans Unicode"/>
      <family val="2"/>
    </font>
    <font>
      <i/>
      <sz val="10"/>
      <color theme="1"/>
      <name val="Lucida Sans Unicode"/>
      <family val="2"/>
    </font>
    <font>
      <sz val="10"/>
      <color theme="0"/>
      <name val="Lucida Sans Unicode"/>
      <family val="2"/>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009D9D"/>
        <bgColor indexed="64"/>
      </patternFill>
    </fill>
    <fill>
      <patternFill patternType="solid">
        <fgColor rgb="FF009D9D"/>
        <bgColor rgb="FF000000"/>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style="medium">
        <color rgb="FF000000"/>
      </bottom>
      <diagonal/>
    </border>
    <border>
      <left/>
      <right style="thin">
        <color rgb="FF000000"/>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000000"/>
      </left>
      <right/>
      <top/>
      <bottom/>
      <diagonal/>
    </border>
    <border>
      <left style="thin">
        <color rgb="FF000000"/>
      </left>
      <right style="thin">
        <color rgb="FF000000"/>
      </right>
      <top/>
      <bottom style="thin">
        <color indexed="64"/>
      </bottom>
      <diagonal/>
    </border>
    <border>
      <left/>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top style="thin">
        <color indexed="64"/>
      </top>
      <bottom/>
      <diagonal/>
    </border>
    <border>
      <left style="thin">
        <color rgb="FF000000"/>
      </left>
      <right style="thin">
        <color indexed="64"/>
      </right>
      <top style="thin">
        <color rgb="FF000000"/>
      </top>
      <bottom/>
      <diagonal/>
    </border>
  </borders>
  <cellStyleXfs count="2">
    <xf numFmtId="0" fontId="0" fillId="0" borderId="0"/>
    <xf numFmtId="0" fontId="2" fillId="0" borderId="0" applyNumberFormat="0" applyFill="0" applyBorder="0" applyAlignment="0" applyProtection="0"/>
  </cellStyleXfs>
  <cellXfs count="259">
    <xf numFmtId="0" fontId="0" fillId="0" borderId="0" xfId="0"/>
    <xf numFmtId="0" fontId="1" fillId="0" borderId="0" xfId="0" applyFont="1"/>
    <xf numFmtId="0" fontId="0" fillId="0" borderId="0" xfId="0" applyAlignment="1">
      <alignment wrapText="1"/>
    </xf>
    <xf numFmtId="164" fontId="0" fillId="0" borderId="0" xfId="0" applyNumberFormat="1"/>
    <xf numFmtId="165" fontId="0" fillId="0" borderId="0" xfId="0" applyNumberFormat="1"/>
    <xf numFmtId="164" fontId="0" fillId="0" borderId="0" xfId="0" applyNumberFormat="1" applyAlignment="1">
      <alignment wrapText="1"/>
    </xf>
    <xf numFmtId="0" fontId="4" fillId="5" borderId="0" xfId="0" applyFont="1" applyFill="1" applyAlignment="1">
      <alignment horizontal="center" vertical="center"/>
    </xf>
    <xf numFmtId="0" fontId="4" fillId="5" borderId="1" xfId="0" applyFont="1" applyFill="1" applyBorder="1" applyAlignment="1">
      <alignment vertical="center"/>
    </xf>
    <xf numFmtId="0" fontId="4" fillId="5" borderId="2" xfId="0" applyFont="1" applyFill="1" applyBorder="1" applyAlignment="1">
      <alignment vertical="center"/>
    </xf>
    <xf numFmtId="0" fontId="4" fillId="5" borderId="3" xfId="0" applyFont="1" applyFill="1" applyBorder="1" applyAlignment="1">
      <alignment vertical="center"/>
    </xf>
    <xf numFmtId="0" fontId="4" fillId="5" borderId="0" xfId="0" applyFont="1" applyFill="1" applyAlignment="1">
      <alignment vertical="center"/>
    </xf>
    <xf numFmtId="0" fontId="4" fillId="5" borderId="12"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5" xfId="0" applyFont="1" applyFill="1" applyBorder="1" applyAlignment="1">
      <alignment horizontal="center" vertical="center" wrapText="1"/>
    </xf>
    <xf numFmtId="0" fontId="7" fillId="0" borderId="19" xfId="0" applyFont="1" applyBorder="1" applyAlignment="1">
      <alignment horizontal="left" vertical="center" wrapText="1"/>
    </xf>
    <xf numFmtId="0" fontId="8" fillId="0" borderId="15" xfId="0" applyFont="1" applyBorder="1" applyAlignment="1">
      <alignment horizontal="right" vertical="center" wrapText="1"/>
    </xf>
    <xf numFmtId="0" fontId="8" fillId="0" borderId="18" xfId="0" applyFont="1" applyBorder="1" applyAlignment="1">
      <alignment horizontal="left" vertical="center" wrapText="1"/>
    </xf>
    <xf numFmtId="0" fontId="8" fillId="0" borderId="15" xfId="0" applyFont="1" applyBorder="1" applyAlignment="1">
      <alignment horizontal="left" vertical="center" wrapText="1"/>
    </xf>
    <xf numFmtId="165" fontId="8" fillId="0" borderId="5" xfId="0" applyNumberFormat="1" applyFont="1" applyBorder="1" applyAlignment="1">
      <alignment vertical="center" wrapText="1"/>
    </xf>
    <xf numFmtId="9" fontId="8" fillId="0" borderId="5"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164" fontId="8" fillId="0" borderId="18" xfId="0" applyNumberFormat="1" applyFont="1" applyBorder="1" applyAlignment="1">
      <alignment vertical="center"/>
    </xf>
    <xf numFmtId="164" fontId="8" fillId="0" borderId="15" xfId="0" applyNumberFormat="1" applyFont="1" applyBorder="1" applyAlignment="1">
      <alignment vertical="center"/>
    </xf>
    <xf numFmtId="0" fontId="7" fillId="0" borderId="20" xfId="0" applyFont="1" applyBorder="1" applyAlignment="1">
      <alignment horizontal="left" vertical="center" wrapText="1"/>
    </xf>
    <xf numFmtId="0" fontId="8" fillId="0" borderId="19" xfId="0" applyFont="1" applyBorder="1" applyAlignment="1">
      <alignment vertical="center" wrapText="1"/>
    </xf>
    <xf numFmtId="0" fontId="8" fillId="0" borderId="6" xfId="0" applyFont="1" applyBorder="1" applyAlignment="1">
      <alignment horizontal="left" vertical="center" wrapText="1"/>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1"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7" fillId="0" borderId="20" xfId="0" applyFont="1" applyBorder="1" applyAlignment="1">
      <alignment horizontal="center" vertical="center" wrapText="1"/>
    </xf>
    <xf numFmtId="166" fontId="8" fillId="0" borderId="19" xfId="0" applyNumberFormat="1" applyFont="1" applyBorder="1" applyAlignment="1">
      <alignment vertical="center" wrapText="1"/>
    </xf>
    <xf numFmtId="164" fontId="8" fillId="0" borderId="14" xfId="0" applyNumberFormat="1" applyFont="1" applyBorder="1" applyAlignment="1">
      <alignment vertical="center" wrapText="1"/>
    </xf>
    <xf numFmtId="165" fontId="8" fillId="0" borderId="14" xfId="0" applyNumberFormat="1" applyFont="1" applyBorder="1" applyAlignment="1">
      <alignment vertical="center" wrapText="1"/>
    </xf>
    <xf numFmtId="9" fontId="8" fillId="0" borderId="14" xfId="0" applyNumberFormat="1" applyFont="1" applyBorder="1" applyAlignment="1">
      <alignment horizontal="center" vertical="center" wrapText="1"/>
    </xf>
    <xf numFmtId="9" fontId="8" fillId="0" borderId="14" xfId="0" applyNumberFormat="1" applyFont="1" applyBorder="1" applyAlignment="1">
      <alignment horizontal="center" vertical="center"/>
    </xf>
    <xf numFmtId="164" fontId="8" fillId="0" borderId="0" xfId="0" applyNumberFormat="1" applyFont="1" applyAlignment="1">
      <alignment vertical="center"/>
    </xf>
    <xf numFmtId="0" fontId="10" fillId="0" borderId="15" xfId="0" applyFont="1" applyBorder="1" applyAlignment="1">
      <alignment horizontal="center" vertical="center" wrapText="1"/>
    </xf>
    <xf numFmtId="166" fontId="10" fillId="0" borderId="15" xfId="0" applyNumberFormat="1" applyFont="1" applyBorder="1" applyAlignment="1">
      <alignment horizontal="left" vertical="center" wrapText="1"/>
    </xf>
    <xf numFmtId="0" fontId="8" fillId="0" borderId="12" xfId="0" applyFont="1" applyBorder="1" applyAlignment="1">
      <alignment vertical="center" wrapText="1"/>
    </xf>
    <xf numFmtId="0" fontId="8" fillId="0" borderId="19" xfId="0" applyFont="1" applyBorder="1" applyAlignment="1">
      <alignment horizontal="right" vertical="center" wrapText="1"/>
    </xf>
    <xf numFmtId="0" fontId="8" fillId="0" borderId="15" xfId="0" applyFont="1" applyBorder="1" applyAlignment="1">
      <alignment vertical="center" wrapText="1"/>
    </xf>
    <xf numFmtId="166" fontId="8" fillId="0" borderId="15" xfId="0" applyNumberFormat="1" applyFont="1" applyBorder="1" applyAlignment="1">
      <alignment vertical="center" wrapText="1"/>
    </xf>
    <xf numFmtId="164" fontId="8" fillId="0" borderId="5" xfId="0" applyNumberFormat="1" applyFont="1" applyBorder="1" applyAlignment="1">
      <alignment vertical="center" wrapText="1"/>
    </xf>
    <xf numFmtId="168" fontId="8" fillId="0" borderId="5" xfId="0" applyNumberFormat="1" applyFont="1" applyBorder="1" applyAlignment="1">
      <alignment horizontal="center" vertical="center"/>
    </xf>
    <xf numFmtId="9" fontId="8" fillId="0" borderId="18" xfId="0" applyNumberFormat="1" applyFont="1" applyBorder="1" applyAlignment="1">
      <alignment horizontal="center" vertical="center" wrapText="1"/>
    </xf>
    <xf numFmtId="0" fontId="7" fillId="0" borderId="9" xfId="0" applyFont="1" applyBorder="1" applyAlignment="1">
      <alignment horizontal="left" vertical="center" wrapText="1"/>
    </xf>
    <xf numFmtId="0" fontId="7" fillId="0" borderId="15" xfId="0" applyFont="1" applyBorder="1" applyAlignment="1">
      <alignment horizontal="center" vertical="center" wrapText="1"/>
    </xf>
    <xf numFmtId="0" fontId="8" fillId="0" borderId="16" xfId="0" applyFont="1" applyBorder="1" applyAlignment="1">
      <alignment horizontal="right" vertical="center" wrapText="1"/>
    </xf>
    <xf numFmtId="0" fontId="8" fillId="0" borderId="31" xfId="0" applyFont="1" applyBorder="1" applyAlignment="1">
      <alignment horizontal="right" vertical="center" wrapText="1"/>
    </xf>
    <xf numFmtId="0" fontId="7" fillId="0" borderId="15" xfId="0" applyFont="1" applyBorder="1" applyAlignment="1">
      <alignment vertical="center" wrapText="1"/>
    </xf>
    <xf numFmtId="0" fontId="8" fillId="0" borderId="17" xfId="0" applyFont="1" applyBorder="1" applyAlignment="1">
      <alignment vertical="center" wrapText="1"/>
    </xf>
    <xf numFmtId="166" fontId="8" fillId="0" borderId="16" xfId="0" applyNumberFormat="1" applyFont="1" applyBorder="1" applyAlignment="1">
      <alignment vertical="center" wrapText="1"/>
    </xf>
    <xf numFmtId="0" fontId="10" fillId="0" borderId="17" xfId="0" applyFont="1" applyBorder="1" applyAlignment="1">
      <alignment horizontal="center" vertical="center" wrapText="1"/>
    </xf>
    <xf numFmtId="166" fontId="10" fillId="0" borderId="16" xfId="0" applyNumberFormat="1" applyFont="1" applyBorder="1" applyAlignment="1">
      <alignment horizontal="left" vertical="center" wrapText="1"/>
    </xf>
    <xf numFmtId="0" fontId="6" fillId="0" borderId="0" xfId="0" applyFont="1"/>
    <xf numFmtId="0" fontId="7" fillId="0" borderId="0" xfId="0" applyFont="1"/>
    <xf numFmtId="0" fontId="5" fillId="2" borderId="0" xfId="0" applyFont="1" applyFill="1" applyAlignment="1">
      <alignment horizontal="right" vertical="center" wrapText="1"/>
    </xf>
    <xf numFmtId="164" fontId="11" fillId="2" borderId="0" xfId="0" applyNumberFormat="1" applyFont="1" applyFill="1" applyAlignment="1">
      <alignment wrapText="1"/>
    </xf>
    <xf numFmtId="0" fontId="7" fillId="0" borderId="0" xfId="0" applyFont="1" applyAlignment="1">
      <alignment wrapText="1"/>
    </xf>
    <xf numFmtId="0" fontId="7" fillId="0" borderId="0" xfId="0" applyFont="1" applyAlignment="1">
      <alignment horizontal="right" vertical="center" wrapText="1"/>
    </xf>
    <xf numFmtId="164" fontId="7" fillId="0" borderId="0" xfId="0" applyNumberFormat="1" applyFont="1"/>
    <xf numFmtId="164" fontId="11" fillId="4" borderId="0" xfId="0" applyNumberFormat="1" applyFont="1" applyFill="1"/>
    <xf numFmtId="0" fontId="8" fillId="0" borderId="0" xfId="0" applyFont="1" applyAlignment="1">
      <alignment wrapText="1"/>
    </xf>
    <xf numFmtId="2" fontId="5" fillId="2" borderId="7" xfId="0" applyNumberFormat="1" applyFont="1" applyFill="1" applyBorder="1"/>
    <xf numFmtId="0" fontId="6" fillId="0" borderId="0" xfId="0" applyFont="1" applyAlignment="1">
      <alignment wrapText="1"/>
    </xf>
    <xf numFmtId="165" fontId="7" fillId="0" borderId="0" xfId="0" applyNumberFormat="1" applyFont="1"/>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4" fillId="5" borderId="18" xfId="0" applyFont="1" applyFill="1" applyBorder="1" applyAlignment="1">
      <alignment horizontal="center" vertical="center"/>
    </xf>
    <xf numFmtId="0" fontId="4" fillId="5" borderId="17" xfId="0" applyFont="1" applyFill="1" applyBorder="1" applyAlignment="1">
      <alignment horizontal="center" vertical="center" wrapText="1"/>
    </xf>
    <xf numFmtId="0" fontId="3" fillId="5" borderId="0" xfId="0" applyFont="1" applyFill="1"/>
    <xf numFmtId="0" fontId="12" fillId="0" borderId="0" xfId="1" applyFont="1" applyBorder="1" applyAlignment="1">
      <alignment wrapText="1"/>
    </xf>
    <xf numFmtId="0" fontId="7" fillId="0" borderId="0" xfId="0" applyFont="1" applyAlignment="1">
      <alignment horizontal="center" vertical="center" wrapText="1"/>
    </xf>
    <xf numFmtId="0" fontId="6" fillId="0" borderId="0" xfId="0" applyFont="1" applyAlignment="1">
      <alignment vertical="center" wrapText="1"/>
    </xf>
    <xf numFmtId="10" fontId="7" fillId="0" borderId="0" xfId="0" applyNumberFormat="1" applyFont="1"/>
    <xf numFmtId="164" fontId="7" fillId="0" borderId="0" xfId="0" applyNumberFormat="1" applyFont="1" applyAlignment="1">
      <alignment wrapText="1"/>
    </xf>
    <xf numFmtId="165" fontId="6" fillId="0" borderId="0" xfId="0" applyNumberFormat="1" applyFont="1" applyAlignment="1">
      <alignment wrapText="1"/>
    </xf>
    <xf numFmtId="165" fontId="7" fillId="2" borderId="0" xfId="0" applyNumberFormat="1" applyFont="1" applyFill="1"/>
    <xf numFmtId="164" fontId="11" fillId="0" borderId="0" xfId="0" applyNumberFormat="1" applyFont="1"/>
    <xf numFmtId="0" fontId="4" fillId="5" borderId="40" xfId="0" applyFont="1" applyFill="1" applyBorder="1" applyAlignment="1">
      <alignment horizontal="center"/>
    </xf>
    <xf numFmtId="0" fontId="7" fillId="0" borderId="40" xfId="0" applyFont="1" applyBorder="1" applyAlignment="1">
      <alignment wrapText="1"/>
    </xf>
    <xf numFmtId="165" fontId="7" fillId="0" borderId="41" xfId="0" applyNumberFormat="1" applyFont="1" applyBorder="1"/>
    <xf numFmtId="0" fontId="6" fillId="0" borderId="41" xfId="0" applyFont="1" applyBorder="1" applyAlignment="1">
      <alignment wrapText="1"/>
    </xf>
    <xf numFmtId="0" fontId="7" fillId="0" borderId="41" xfId="0" applyFont="1" applyBorder="1"/>
    <xf numFmtId="165" fontId="11" fillId="2" borderId="41" xfId="0" applyNumberFormat="1" applyFont="1" applyFill="1" applyBorder="1"/>
    <xf numFmtId="0" fontId="7" fillId="0" borderId="41" xfId="0" applyFont="1" applyBorder="1" applyAlignment="1">
      <alignment wrapText="1"/>
    </xf>
    <xf numFmtId="166" fontId="11" fillId="2" borderId="42" xfId="0" applyNumberFormat="1" applyFont="1" applyFill="1" applyBorder="1"/>
    <xf numFmtId="165" fontId="11" fillId="0" borderId="41" xfId="0" applyNumberFormat="1" applyFont="1" applyBorder="1" applyAlignment="1">
      <alignment wrapText="1"/>
    </xf>
    <xf numFmtId="0" fontId="12" fillId="0" borderId="44" xfId="1" applyFont="1" applyBorder="1" applyAlignment="1">
      <alignment wrapText="1"/>
    </xf>
    <xf numFmtId="0" fontId="11" fillId="0" borderId="41" xfId="0" applyFont="1" applyBorder="1" applyAlignment="1">
      <alignment wrapText="1"/>
    </xf>
    <xf numFmtId="0" fontId="5" fillId="2" borderId="42" xfId="0" applyFont="1" applyFill="1" applyBorder="1" applyAlignment="1">
      <alignment wrapText="1"/>
    </xf>
    <xf numFmtId="0" fontId="4" fillId="5" borderId="46" xfId="0" applyFont="1" applyFill="1" applyBorder="1" applyAlignment="1">
      <alignment horizontal="center" wrapText="1"/>
    </xf>
    <xf numFmtId="165" fontId="11" fillId="2" borderId="47" xfId="0" applyNumberFormat="1" applyFont="1" applyFill="1" applyBorder="1"/>
    <xf numFmtId="0" fontId="7" fillId="0" borderId="44" xfId="0" applyFont="1" applyBorder="1"/>
    <xf numFmtId="165" fontId="7" fillId="0" borderId="44" xfId="0" applyNumberFormat="1" applyFont="1" applyBorder="1"/>
    <xf numFmtId="0" fontId="7" fillId="0" borderId="41" xfId="0" applyFont="1" applyBorder="1" applyAlignment="1">
      <alignment horizontal="center" vertical="center" wrapText="1"/>
    </xf>
    <xf numFmtId="9" fontId="7" fillId="0" borderId="44" xfId="0" applyNumberFormat="1" applyFont="1" applyBorder="1"/>
    <xf numFmtId="165" fontId="7" fillId="0" borderId="41" xfId="0" applyNumberFormat="1" applyFont="1" applyBorder="1" applyAlignment="1">
      <alignment wrapText="1"/>
    </xf>
    <xf numFmtId="0" fontId="5" fillId="2" borderId="41" xfId="0" applyFont="1" applyFill="1" applyBorder="1" applyAlignment="1">
      <alignment wrapText="1"/>
    </xf>
    <xf numFmtId="165" fontId="11" fillId="2" borderId="44" xfId="0" applyNumberFormat="1" applyFont="1" applyFill="1" applyBorder="1"/>
    <xf numFmtId="0" fontId="11" fillId="0" borderId="44" xfId="0" applyFont="1" applyBorder="1"/>
    <xf numFmtId="168" fontId="11" fillId="0" borderId="44" xfId="0" applyNumberFormat="1" applyFont="1" applyBorder="1"/>
    <xf numFmtId="0" fontId="7" fillId="0" borderId="42" xfId="0" applyFont="1" applyBorder="1"/>
    <xf numFmtId="0" fontId="7" fillId="0" borderId="45" xfId="0" applyFont="1" applyBorder="1"/>
    <xf numFmtId="0" fontId="16" fillId="5" borderId="43" xfId="0" applyFont="1" applyFill="1" applyBorder="1"/>
    <xf numFmtId="0" fontId="6" fillId="0" borderId="41" xfId="0" applyFont="1" applyBorder="1" applyAlignment="1">
      <alignment vertical="center" wrapText="1"/>
    </xf>
    <xf numFmtId="0" fontId="6" fillId="0" borderId="41" xfId="0" applyFont="1" applyBorder="1"/>
    <xf numFmtId="0" fontId="6" fillId="2" borderId="41" xfId="0" applyFont="1" applyFill="1" applyBorder="1" applyAlignment="1">
      <alignment wrapText="1"/>
    </xf>
    <xf numFmtId="165" fontId="7" fillId="2" borderId="44" xfId="0" applyNumberFormat="1" applyFont="1" applyFill="1" applyBorder="1"/>
    <xf numFmtId="0" fontId="7" fillId="0" borderId="44" xfId="0" applyFont="1" applyBorder="1" applyAlignment="1">
      <alignment wrapText="1"/>
    </xf>
    <xf numFmtId="0" fontId="12" fillId="0" borderId="41" xfId="1" applyFont="1" applyBorder="1" applyAlignment="1">
      <alignment wrapText="1"/>
    </xf>
    <xf numFmtId="0" fontId="16" fillId="5" borderId="40" xfId="0" applyFont="1" applyFill="1" applyBorder="1" applyAlignment="1">
      <alignment horizontal="center"/>
    </xf>
    <xf numFmtId="0" fontId="7" fillId="0" borderId="47" xfId="0" applyFont="1" applyBorder="1"/>
    <xf numFmtId="0" fontId="12" fillId="0" borderId="41" xfId="1" applyFont="1" applyBorder="1"/>
    <xf numFmtId="167" fontId="7" fillId="0" borderId="44" xfId="0" applyNumberFormat="1" applyFont="1" applyBorder="1"/>
    <xf numFmtId="0" fontId="7" fillId="0" borderId="41" xfId="0" applyFont="1" applyBorder="1" applyAlignment="1">
      <alignment vertical="center" wrapText="1"/>
    </xf>
    <xf numFmtId="0" fontId="12" fillId="0" borderId="44" xfId="1" applyFont="1" applyBorder="1" applyAlignment="1">
      <alignment vertical="center" wrapText="1"/>
    </xf>
    <xf numFmtId="2" fontId="7" fillId="0" borderId="44" xfId="0" applyNumberFormat="1" applyFont="1" applyBorder="1"/>
    <xf numFmtId="168" fontId="7" fillId="0" borderId="44" xfId="0" applyNumberFormat="1" applyFont="1" applyBorder="1"/>
    <xf numFmtId="0" fontId="7" fillId="0" borderId="45" xfId="0" applyFont="1" applyBorder="1" applyAlignment="1">
      <alignment wrapText="1"/>
    </xf>
    <xf numFmtId="0" fontId="7" fillId="0" borderId="8" xfId="0" applyFont="1" applyBorder="1" applyAlignment="1">
      <alignment horizontal="center" vertical="center" wrapText="1"/>
    </xf>
    <xf numFmtId="0" fontId="4" fillId="5" borderId="49" xfId="0" applyFont="1" applyFill="1" applyBorder="1" applyAlignment="1">
      <alignment horizontal="center" vertical="center"/>
    </xf>
    <xf numFmtId="165" fontId="8" fillId="0" borderId="29" xfId="0" applyNumberFormat="1" applyFont="1" applyBorder="1" applyAlignment="1">
      <alignment horizontal="center" vertical="center" wrapText="1"/>
    </xf>
    <xf numFmtId="165" fontId="8" fillId="0" borderId="30" xfId="0" applyNumberFormat="1" applyFont="1" applyBorder="1" applyAlignment="1">
      <alignment horizontal="center" vertical="center" wrapText="1"/>
    </xf>
    <xf numFmtId="9" fontId="8" fillId="0" borderId="11"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164" fontId="8" fillId="0" borderId="10" xfId="0" applyNumberFormat="1" applyFont="1" applyBorder="1" applyAlignment="1">
      <alignment horizontal="center" vertical="center"/>
    </xf>
    <xf numFmtId="164" fontId="8" fillId="0" borderId="15" xfId="0" applyNumberFormat="1" applyFont="1" applyBorder="1" applyAlignment="1">
      <alignment horizontal="center" vertical="center"/>
    </xf>
    <xf numFmtId="165" fontId="8" fillId="0" borderId="12" xfId="0" applyNumberFormat="1" applyFont="1" applyBorder="1" applyAlignment="1">
      <alignment horizontal="center" vertical="center" wrapText="1"/>
    </xf>
    <xf numFmtId="9" fontId="8" fillId="0" borderId="12" xfId="0" applyNumberFormat="1" applyFont="1" applyBorder="1" applyAlignment="1">
      <alignment horizontal="center" vertical="center"/>
    </xf>
    <xf numFmtId="9" fontId="8" fillId="0" borderId="4" xfId="0" applyNumberFormat="1" applyFont="1" applyBorder="1" applyAlignment="1">
      <alignment horizontal="center" vertical="center"/>
    </xf>
    <xf numFmtId="9" fontId="8" fillId="0" borderId="11" xfId="0" applyNumberFormat="1" applyFont="1" applyBorder="1" applyAlignment="1">
      <alignment horizontal="center" vertical="center"/>
    </xf>
    <xf numFmtId="165" fontId="8" fillId="0" borderId="4"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8"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5" xfId="0" applyFont="1" applyBorder="1" applyAlignment="1">
      <alignment horizontal="center" vertical="center" wrapTex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3" xfId="0" applyFont="1" applyFill="1" applyBorder="1" applyAlignment="1">
      <alignment horizontal="center" vertical="center"/>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7" fillId="0" borderId="20"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8" xfId="0" applyFont="1" applyBorder="1" applyAlignment="1">
      <alignment horizontal="center" vertical="center" wrapText="1"/>
    </xf>
    <xf numFmtId="164" fontId="8" fillId="0" borderId="21" xfId="0" applyNumberFormat="1" applyFont="1" applyBorder="1" applyAlignment="1">
      <alignment horizontal="center" vertical="center"/>
    </xf>
    <xf numFmtId="0" fontId="8" fillId="0" borderId="36" xfId="0"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25" xfId="0" applyNumberFormat="1" applyFont="1" applyBorder="1" applyAlignment="1">
      <alignment horizontal="center" vertical="center" wrapText="1"/>
    </xf>
    <xf numFmtId="168" fontId="8" fillId="0" borderId="11" xfId="0" applyNumberFormat="1" applyFont="1" applyBorder="1" applyAlignment="1">
      <alignment horizontal="center" vertical="center"/>
    </xf>
    <xf numFmtId="168" fontId="8" fillId="0" borderId="4" xfId="0" applyNumberFormat="1" applyFont="1" applyBorder="1" applyAlignment="1">
      <alignment horizontal="center" vertical="center"/>
    </xf>
    <xf numFmtId="0" fontId="8" fillId="0" borderId="12" xfId="0" applyFont="1" applyBorder="1" applyAlignment="1">
      <alignment horizontal="right" vertical="center" wrapText="1"/>
    </xf>
    <xf numFmtId="0" fontId="8" fillId="0" borderId="10" xfId="0" applyFont="1" applyBorder="1" applyAlignment="1">
      <alignment horizontal="right" vertical="center" wrapText="1"/>
    </xf>
    <xf numFmtId="0" fontId="8" fillId="0" borderId="30" xfId="0" applyFont="1" applyBorder="1" applyAlignment="1">
      <alignment horizontal="right" vertical="center" wrapText="1"/>
    </xf>
    <xf numFmtId="0" fontId="8" fillId="0" borderId="29" xfId="0" applyFont="1" applyBorder="1" applyAlignment="1">
      <alignment horizontal="center" vertical="center" wrapText="1"/>
    </xf>
    <xf numFmtId="164" fontId="8" fillId="0" borderId="29"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12" xfId="0" applyNumberFormat="1" applyFont="1" applyBorder="1" applyAlignment="1">
      <alignment horizontal="center" vertical="center" wrapText="1"/>
    </xf>
    <xf numFmtId="0" fontId="5" fillId="2" borderId="38" xfId="0" applyFont="1" applyFill="1" applyBorder="1" applyAlignment="1">
      <alignment horizontal="center"/>
    </xf>
    <xf numFmtId="0" fontId="5" fillId="2" borderId="39" xfId="0" applyFont="1" applyFill="1" applyBorder="1" applyAlignment="1">
      <alignment horizontal="center"/>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7" xfId="0" applyFont="1" applyBorder="1" applyAlignment="1">
      <alignment horizontal="center" vertical="center" wrapText="1"/>
    </xf>
    <xf numFmtId="164" fontId="8" fillId="0" borderId="31" xfId="0" applyNumberFormat="1" applyFont="1" applyBorder="1" applyAlignment="1">
      <alignment horizontal="center" vertical="center" wrapText="1"/>
    </xf>
    <xf numFmtId="9" fontId="8" fillId="0" borderId="28" xfId="0" applyNumberFormat="1" applyFont="1" applyBorder="1" applyAlignment="1">
      <alignment horizontal="center" vertical="center"/>
    </xf>
    <xf numFmtId="0" fontId="8" fillId="0" borderId="8" xfId="0" applyFont="1" applyBorder="1" applyAlignment="1">
      <alignment horizontal="center" vertical="center"/>
    </xf>
    <xf numFmtId="0" fontId="8" fillId="0" borderId="36" xfId="0" applyFont="1" applyBorder="1" applyAlignment="1">
      <alignment horizontal="center" vertical="center"/>
    </xf>
    <xf numFmtId="164" fontId="8" fillId="0" borderId="15" xfId="0" applyNumberFormat="1" applyFont="1" applyBorder="1" applyAlignment="1">
      <alignment horizontal="center" vertical="center" wrapText="1"/>
    </xf>
    <xf numFmtId="9" fontId="8" fillId="0" borderId="31" xfId="0" applyNumberFormat="1"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9" fontId="8" fillId="0" borderId="28"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36" xfId="0" applyNumberFormat="1" applyFont="1" applyBorder="1" applyAlignment="1">
      <alignment horizontal="center" vertical="center" wrapText="1"/>
    </xf>
    <xf numFmtId="164" fontId="8" fillId="0" borderId="19" xfId="0" applyNumberFormat="1" applyFont="1" applyBorder="1" applyAlignment="1">
      <alignment horizontal="center" vertical="center"/>
    </xf>
    <xf numFmtId="164" fontId="8" fillId="0" borderId="20" xfId="0" applyNumberFormat="1" applyFont="1" applyBorder="1" applyAlignment="1">
      <alignment horizontal="center" vertical="center"/>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7" fillId="0" borderId="48"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8"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7" xfId="0" applyFont="1" applyBorder="1" applyAlignment="1">
      <alignment horizontal="center" vertical="center" wrapText="1"/>
    </xf>
    <xf numFmtId="0" fontId="6" fillId="0" borderId="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1" xfId="0" applyFont="1" applyBorder="1" applyAlignment="1">
      <alignment horizontal="center" vertical="center" wrapText="1"/>
    </xf>
    <xf numFmtId="0" fontId="14" fillId="3" borderId="41"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7" fillId="0" borderId="41" xfId="0" applyFont="1" applyBorder="1" applyAlignment="1">
      <alignment horizontal="left" vertical="center" wrapText="1"/>
    </xf>
    <xf numFmtId="0" fontId="7" fillId="0" borderId="0" xfId="0" applyFont="1" applyAlignment="1">
      <alignment horizontal="left" vertical="center" wrapText="1"/>
    </xf>
    <xf numFmtId="0" fontId="6" fillId="0" borderId="41" xfId="0" applyFont="1" applyBorder="1" applyAlignment="1">
      <alignment horizontal="left" vertical="center" wrapText="1"/>
    </xf>
    <xf numFmtId="0" fontId="6" fillId="0" borderId="0" xfId="0" applyFont="1" applyAlignment="1">
      <alignment horizontal="left" vertical="center" wrapText="1"/>
    </xf>
    <xf numFmtId="0" fontId="13" fillId="3" borderId="41" xfId="0" applyFont="1" applyFill="1" applyBorder="1" applyAlignment="1">
      <alignment horizontal="center" wrapText="1"/>
    </xf>
    <xf numFmtId="0" fontId="13" fillId="3" borderId="44" xfId="0" applyFont="1" applyFill="1" applyBorder="1" applyAlignment="1">
      <alignment horizontal="center" wrapText="1"/>
    </xf>
    <xf numFmtId="0" fontId="7" fillId="0" borderId="41" xfId="0" applyFont="1" applyBorder="1" applyAlignment="1">
      <alignment horizontal="center" vertical="center" wrapText="1"/>
    </xf>
    <xf numFmtId="0" fontId="7" fillId="0" borderId="44" xfId="0" applyFont="1" applyBorder="1" applyAlignment="1">
      <alignment horizontal="center" vertical="center" wrapText="1"/>
    </xf>
    <xf numFmtId="0" fontId="11" fillId="0" borderId="41" xfId="0" applyFont="1" applyBorder="1" applyAlignment="1">
      <alignment horizontal="center" wrapText="1"/>
    </xf>
    <xf numFmtId="0" fontId="11" fillId="0" borderId="44" xfId="0" applyFont="1" applyBorder="1" applyAlignment="1">
      <alignment horizontal="center" wrapText="1"/>
    </xf>
    <xf numFmtId="0" fontId="4" fillId="5" borderId="40" xfId="0" applyFont="1" applyFill="1" applyBorder="1" applyAlignment="1">
      <alignment horizontal="center"/>
    </xf>
    <xf numFmtId="0" fontId="4" fillId="5" borderId="43" xfId="0" applyFont="1" applyFill="1" applyBorder="1" applyAlignment="1">
      <alignment horizontal="center"/>
    </xf>
    <xf numFmtId="0" fontId="16" fillId="5" borderId="40" xfId="0" applyFont="1" applyFill="1" applyBorder="1" applyAlignment="1">
      <alignment horizontal="center"/>
    </xf>
    <xf numFmtId="0" fontId="16" fillId="5" borderId="43" xfId="0" applyFont="1" applyFill="1" applyBorder="1" applyAlignment="1">
      <alignment horizontal="center"/>
    </xf>
    <xf numFmtId="0" fontId="15" fillId="3" borderId="0" xfId="0" applyFont="1" applyFill="1" applyAlignment="1">
      <alignment horizontal="center" vertical="center" wrapText="1"/>
    </xf>
    <xf numFmtId="0" fontId="7" fillId="0" borderId="41" xfId="0" applyFont="1" applyBorder="1" applyAlignment="1">
      <alignment horizontal="center" wrapText="1"/>
    </xf>
    <xf numFmtId="0" fontId="7" fillId="0" borderId="44" xfId="0" applyFont="1" applyBorder="1" applyAlignment="1">
      <alignment horizontal="center" wrapText="1"/>
    </xf>
    <xf numFmtId="0" fontId="15" fillId="3" borderId="44" xfId="0" applyFont="1" applyFill="1" applyBorder="1" applyAlignment="1">
      <alignment horizontal="center" wrapText="1"/>
    </xf>
    <xf numFmtId="0" fontId="14" fillId="3" borderId="44" xfId="0" applyFont="1" applyFill="1" applyBorder="1" applyAlignment="1">
      <alignment horizontal="center" vertical="center" wrapText="1"/>
    </xf>
    <xf numFmtId="0" fontId="16" fillId="5" borderId="46" xfId="0" applyFont="1" applyFill="1" applyBorder="1" applyAlignment="1">
      <alignment horizontal="center"/>
    </xf>
    <xf numFmtId="0" fontId="7" fillId="0" borderId="41" xfId="0" applyFont="1" applyBorder="1" applyAlignment="1">
      <alignment horizontal="left" wrapText="1"/>
    </xf>
    <xf numFmtId="0" fontId="7" fillId="0" borderId="0" xfId="0" applyFont="1" applyAlignment="1">
      <alignment horizontal="left" wrapText="1"/>
    </xf>
    <xf numFmtId="0" fontId="7" fillId="0" borderId="44" xfId="0" applyFont="1" applyBorder="1" applyAlignment="1">
      <alignment horizontal="left" wrapText="1"/>
    </xf>
    <xf numFmtId="0" fontId="7" fillId="0" borderId="0" xfId="0" applyFont="1" applyAlignment="1">
      <alignment horizontal="center" wrapText="1"/>
    </xf>
    <xf numFmtId="0" fontId="15" fillId="3" borderId="0" xfId="0" applyFont="1" applyFill="1" applyAlignment="1">
      <alignment horizontal="center" wrapText="1"/>
    </xf>
    <xf numFmtId="0" fontId="15" fillId="3" borderId="41" xfId="0" applyFont="1" applyFill="1" applyBorder="1" applyAlignment="1">
      <alignment horizontal="center" wrapText="1"/>
    </xf>
    <xf numFmtId="0" fontId="7" fillId="0" borderId="0" xfId="0" applyFont="1" applyAlignment="1">
      <alignment horizontal="center" vertical="center" wrapText="1"/>
    </xf>
    <xf numFmtId="0" fontId="14" fillId="3" borderId="42" xfId="0" applyFont="1" applyFill="1" applyBorder="1" applyAlignment="1">
      <alignment horizontal="center" vertical="center" wrapText="1"/>
    </xf>
    <xf numFmtId="0" fontId="14" fillId="3" borderId="45" xfId="0" applyFont="1" applyFill="1" applyBorder="1" applyAlignment="1">
      <alignment horizontal="center" vertical="center" wrapText="1"/>
    </xf>
    <xf numFmtId="0" fontId="12" fillId="3" borderId="41" xfId="1" applyFont="1" applyFill="1" applyBorder="1" applyAlignment="1">
      <alignment horizontal="center" vertical="center" wrapText="1"/>
    </xf>
    <xf numFmtId="0" fontId="12" fillId="3" borderId="44" xfId="1"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Medium9"/>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ngela Camila Galeano Morales" id="{35592CE9-A2EB-41A7-984F-9DA775C672FB}" userId="S::acgaleanom@eafit.edu.co::7c2938ae-1ed0-4dad-8c5f-dea74d580b9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5" dT="2024-12-04T14:23:36.15" personId="{35592CE9-A2EB-41A7-984F-9DA775C672FB}" id="{973B4EB6-AB78-45BD-AF58-F065037D3F7D}">
    <text>El SGSST obliga a que hayan 4 capacitaciones al año en temas de salud y seguridad</text>
  </threadedComment>
  <threadedComment ref="O6" dT="2024-12-04T14:36:08.65" personId="{35592CE9-A2EB-41A7-984F-9DA775C672FB}" id="{8175E157-1846-4A64-9B45-D55353186267}">
    <text xml:space="preserve">pueden generarse requerimientos legales a las unidades residenciales desde las autoridades para incorporar buenas prácticas en un mediano plazo </text>
  </threadedComment>
  <threadedComment ref="P6" dT="2024-12-04T14:34:10.37" personId="{35592CE9-A2EB-41A7-984F-9DA775C672FB}" id="{71B5FAD5-A29C-47E1-8651-600B62EACBB3}">
    <text>Mejores prácticas implementadas en los conjuntos residenciales pueden impactar ej. en el ejercicio informal de recicladores para la recolección de material aprovechable</text>
  </threadedComment>
  <threadedComment ref="O8" dT="2024-12-04T14:50:33.60" personId="{35592CE9-A2EB-41A7-984F-9DA775C672FB}" id="{79A70C7C-DA86-417F-A32F-970DCFE0BA8E}">
    <text>prácticas como los racionamientos pueden generar ahorros en el gasto anual de servicios aun sin existir la actividad</text>
  </threadedComment>
  <threadedComment ref="P8" dT="2024-12-04T14:34:10.37" personId="{35592CE9-A2EB-41A7-984F-9DA775C672FB}" id="{C531D1F2-5EDC-4EF9-A096-4D0F00F318A1}">
    <text>Mejores prácticas implementadas en los conjuntos residenciales pueden impactar ej. en el ejercicio informal de recicladores para la recolección de material aprovechable</text>
  </threadedComment>
  <threadedComment ref="S8" dT="2024-12-04T19:10:00.30" personId="{35592CE9-A2EB-41A7-984F-9DA775C672FB}" id="{52D1470C-3E5F-4C29-9627-30A72A45502A}">
    <text>debido al aumento anual del precio del servicio público, se pierde valor de ahorro</text>
  </threadedComment>
  <threadedComment ref="O11" dT="2024-12-04T14:36:08.65" personId="{35592CE9-A2EB-41A7-984F-9DA775C672FB}" id="{BFE9C541-1129-4E38-A532-DCDB96BBCA32}">
    <text>pueden generarse requerimientos legales a las unidades residenciales desde las autoridades para incorporar buenas prácticas en un mediano plazo / o capacitaciones en el lugar de trabajo que propendan la implementación de prácticas para los residentes</text>
  </threadedComment>
  <threadedComment ref="S11" dT="2024-12-04T19:10:00.30" personId="{35592CE9-A2EB-41A7-984F-9DA775C672FB}" id="{89F767BE-8E82-41C5-B258-04C0AD27EEAF}">
    <text>debido al aumento anual del precio del servicio público, se pierde valor de ahorro</text>
  </threadedComment>
  <threadedComment ref="O17" dT="2024-12-04T19:39:56.47" personId="{35592CE9-A2EB-41A7-984F-9DA775C672FB}" id="{5843590B-D733-459A-B17A-3684E3200882}">
    <text>Aportes a la academia de otros trabajos academicos relacionados a la temática en el mismo año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hyperlink" Target="https://bing.com/search?q=pr%c3%a1cticas+sostenibles+para+ahorro+de+energ%c3%ada+en+hogares+colombianos" TargetMode="External"/><Relationship Id="rId18" Type="http://schemas.openxmlformats.org/officeDocument/2006/relationships/hyperlink" Target="https://fundacionkoikos.org/blog/el-costo-ambiental-de-la-educacion/" TargetMode="External"/><Relationship Id="rId26" Type="http://schemas.openxmlformats.org/officeDocument/2006/relationships/hyperlink" Target="https://fundacionkoikos.org/blog/el-costo-ambiental-de-la-educacion/" TargetMode="External"/><Relationship Id="rId21" Type="http://schemas.openxmlformats.org/officeDocument/2006/relationships/hyperlink" Target="https://www.jelpit.com/blog/propiedad-horizontal/tecnicas-para-volver-sostenible-un-conjunto-residencial-jelpit-conjuntos/" TargetMode="External"/><Relationship Id="rId34" Type="http://schemas.openxmlformats.org/officeDocument/2006/relationships/hyperlink" Target="https://prevencionlaboralrimac.com/Cms_Data/Contents/RimacDataBase/Media/fasciculo-prevencion/FASC-8588273499716672026.pdf" TargetMode="External"/><Relationship Id="rId7" Type="http://schemas.openxmlformats.org/officeDocument/2006/relationships/hyperlink" Target="https://bing.com/search?q=pr%c3%a1cticas+sostenibles+para+ahorro+de+energ%c3%ada+en+hogares+colombianos" TargetMode="External"/><Relationship Id="rId12" Type="http://schemas.openxmlformats.org/officeDocument/2006/relationships/hyperlink" Target="https://celco.com.co/10-practicas-adicionales-para-reducir-el-consumo-de-energia-electrica/" TargetMode="External"/><Relationship Id="rId17" Type="http://schemas.openxmlformats.org/officeDocument/2006/relationships/hyperlink" Target="https://finmodelslab.com/es/blogs/operating-costs/environmental-education-operating-costs" TargetMode="External"/><Relationship Id="rId25" Type="http://schemas.openxmlformats.org/officeDocument/2006/relationships/hyperlink" Target="https://finmodelslab.com/es/blogs/operating-costs/environmental-education-operating-costs" TargetMode="External"/><Relationship Id="rId33" Type="http://schemas.openxmlformats.org/officeDocument/2006/relationships/hyperlink" Target="https://www.superservicios.gov.co/sites/default/files/inline-files/informe_nacional_de_coberturas_de_los_servicios_publicos_aaa_2020_vf_a%20%281%29.pdf" TargetMode="External"/><Relationship Id="rId38" Type="http://schemas.openxmlformats.org/officeDocument/2006/relationships/hyperlink" Target="https://www.eltiempo.com/Multimedia/especiales/salvar_agua_bogota/" TargetMode="External"/><Relationship Id="rId2" Type="http://schemas.openxmlformats.org/officeDocument/2006/relationships/hyperlink" Target="https://www.infobae.com/colombia/2023/07/10/cuanto-dinero-le-cuesta-a-un-colombiano-alimentarse-de-manera-saludable-estas-son-las-cifras-segun-bienestar-familiar/" TargetMode="External"/><Relationship Id="rId16" Type="http://schemas.openxmlformats.org/officeDocument/2006/relationships/hyperlink" Target="http://www.cec.org/files/documents/publications/1707-demand-environmental-education-and-training-in-mexico-es.pdf" TargetMode="External"/><Relationship Id="rId20" Type="http://schemas.openxmlformats.org/officeDocument/2006/relationships/hyperlink" Target="https://www.superservicios.gov.co/sites/default/files/inline-files/informe_nacional_de_coberturas_de_los_servicios_publicos_aaa_2020_vf_a%20%281%29.pdf" TargetMode="External"/><Relationship Id="rId29" Type="http://schemas.openxmlformats.org/officeDocument/2006/relationships/hyperlink" Target="https://observadorescol.org/wp-content/uploads/ObservadoresCol-Informe-Energetico-Colombiano-Marzo-5-2024.pdf" TargetMode="External"/><Relationship Id="rId1" Type="http://schemas.openxmlformats.org/officeDocument/2006/relationships/hyperlink" Target="https://wedocs.unep.org/bitstream/handle/20.500.11822/45275/Food-Waste-Index-2024-key-messages_SP.pdf?sequence=5" TargetMode="External"/><Relationship Id="rId6" Type="http://schemas.openxmlformats.org/officeDocument/2006/relationships/hyperlink" Target="https://celco.com.co/10-practicas-adicionales-para-reducir-el-consumo-de-energia-electrica/" TargetMode="External"/><Relationship Id="rId11" Type="http://schemas.openxmlformats.org/officeDocument/2006/relationships/hyperlink" Target="https://bing.com/search?q=pr%c3%a1cticas+sostenibles+para+ahorro+de+agua+en+hogares+colombianos" TargetMode="External"/><Relationship Id="rId24" Type="http://schemas.openxmlformats.org/officeDocument/2006/relationships/hyperlink" Target="http://www.cec.org/files/documents/publications/1707-demand-environmental-education-and-training-in-mexico-es.pdf" TargetMode="External"/><Relationship Id="rId32" Type="http://schemas.openxmlformats.org/officeDocument/2006/relationships/hyperlink" Target="https://www.acueducto.com.co/wps/portal/EAB2/Home/atencion-al-usuario/tarifas/tarifas_2024/!ut/p/z1/nZDBCoMwEES_xS_IGNOYqwmYFqkaS9DmIjmJ0NoeSr-_4qHUIla6t4U3sztDHGmIG_yz7_yjvw3-Mu5nx9tMcLrXguYiZjH4USUyS3WkS07qCeBGIRSgORhVMKdSVoVVYRky4rboMZsEsqIyAnRB_9F_Om3TrwBu3b4mbkLeDWieAsboBIKNQdjuG1ioaOHIvINfX9yv1toG_aELghd0kaj4/dz/d5/L2dBISEvZ0FBIS9nQSEh/" TargetMode="External"/><Relationship Id="rId37" Type="http://schemas.openxmlformats.org/officeDocument/2006/relationships/hyperlink" Target="https://observadorescol.org/wp-content/uploads/ObservadoresCol-Informe-Energetico-Colombiano-Marzo-5-2024.pdf" TargetMode="External"/><Relationship Id="rId5" Type="http://schemas.openxmlformats.org/officeDocument/2006/relationships/hyperlink" Target="https://bing.com/search?q=pr%c3%a1cticas+sostenibles+para+ahorro+de+agua+en+hogares+colombianos" TargetMode="External"/><Relationship Id="rId15" Type="http://schemas.openxmlformats.org/officeDocument/2006/relationships/hyperlink" Target="https://programas.uniandes.edu.co/blog/educacion-ambiental" TargetMode="External"/><Relationship Id="rId23" Type="http://schemas.openxmlformats.org/officeDocument/2006/relationships/hyperlink" Target="https://programas.uniandes.edu.co/blog/educacion-ambiental" TargetMode="External"/><Relationship Id="rId28" Type="http://schemas.openxmlformats.org/officeDocument/2006/relationships/hyperlink" Target="https://observadorescol.org/wp-content/uploads/ObservadoresCol-Informe-Energetico-Colombiano-Marzo-5-2024.pdf" TargetMode="External"/><Relationship Id="rId36" Type="http://schemas.openxmlformats.org/officeDocument/2006/relationships/hyperlink" Target="https://closelly.com/la-curva-del-olvido-que-tan-rapido-olvidamos-lo-aprendido/" TargetMode="External"/><Relationship Id="rId10" Type="http://schemas.openxmlformats.org/officeDocument/2006/relationships/hyperlink" Target="https://www.ucentral.edu.co/noticentral/habitos-ahorro-agua" TargetMode="External"/><Relationship Id="rId19" Type="http://schemas.openxmlformats.org/officeDocument/2006/relationships/hyperlink" Target="https://www.jelpit.com/blog/propiedad-horizontal/tecnicas-para-volver-sostenible-un-conjunto-residencial-jelpit-conjuntos/" TargetMode="External"/><Relationship Id="rId31" Type="http://schemas.openxmlformats.org/officeDocument/2006/relationships/hyperlink" Target="https://www.semana.com/mejor-colombia/articulo/que-se-cobra-en-las-tarifas-de-los-servicios-publicos/202351/" TargetMode="External"/><Relationship Id="rId4" Type="http://schemas.openxmlformats.org/officeDocument/2006/relationships/hyperlink" Target="https://bing.com/search?q=pr%c3%a1cticas+sostenibles+para+ahorro+de+agua+en+hogares+colombianos" TargetMode="External"/><Relationship Id="rId9" Type="http://schemas.openxmlformats.org/officeDocument/2006/relationships/hyperlink" Target="https://www.ucentral.edu.co/noticentral/habitos-ahorro-agua" TargetMode="External"/><Relationship Id="rId14" Type="http://schemas.openxmlformats.org/officeDocument/2006/relationships/hyperlink" Target="https://www.ucentral.edu.co/noticentral/habitos-ahorro-agua" TargetMode="External"/><Relationship Id="rId22" Type="http://schemas.openxmlformats.org/officeDocument/2006/relationships/hyperlink" Target="https://www.jelpit.com/blog/propiedad-horizontal/tecnicas-para-volver-sostenible-un-conjunto-residencial-jelpit-conjuntos/" TargetMode="External"/><Relationship Id="rId27" Type="http://schemas.openxmlformats.org/officeDocument/2006/relationships/hyperlink" Target="https://www.superservicios.gov.co/sites/default/files/inline-files/Boletin-tarifario-de-energia-primer-trimestre-de-2024.pdf" TargetMode="External"/><Relationship Id="rId30" Type="http://schemas.openxmlformats.org/officeDocument/2006/relationships/hyperlink" Target="https://www.superservicios.gov.co/sites/default/files/inline-files/Boletin-tarifario-de-energia-primer-trimestre-de-2024.pdf" TargetMode="External"/><Relationship Id="rId35" Type="http://schemas.openxmlformats.org/officeDocument/2006/relationships/hyperlink" Target="https://bogota.gov.co/mi-ciudad/habitat/racionamiento-de-agua-bogota-cobro-adicional-por-22-metros-cubicos" TargetMode="External"/><Relationship Id="rId8" Type="http://schemas.openxmlformats.org/officeDocument/2006/relationships/hyperlink" Target="https://celco.com.co/10-practicas-adicionales-para-reducir-el-consumo-de-energia-electrica/" TargetMode="External"/><Relationship Id="rId3" Type="http://schemas.openxmlformats.org/officeDocument/2006/relationships/hyperlink" Target="https://bing.com/search?q=pr%c3%a1cticas+sostenibles+para+ahorro+de+agua+en+hogares+colombian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E3FF-22BB-4E6E-893A-E8622E355D07}">
  <dimension ref="A1:X24"/>
  <sheetViews>
    <sheetView tabSelected="1" topLeftCell="P3" zoomScale="125" zoomScaleNormal="80" workbookViewId="0">
      <selection activeCell="O6" sqref="O6"/>
    </sheetView>
  </sheetViews>
  <sheetFormatPr baseColWidth="10" defaultColWidth="9.1640625" defaultRowHeight="15" x14ac:dyDescent="0.2"/>
  <cols>
    <col min="1" max="1" width="36.5" bestFit="1" customWidth="1"/>
    <col min="2" max="2" width="39.1640625" customWidth="1"/>
    <col min="3" max="3" width="36.5" bestFit="1" customWidth="1"/>
    <col min="4" max="5" width="36.5" customWidth="1"/>
    <col min="6" max="6" width="48" customWidth="1"/>
    <col min="7" max="7" width="36.5" bestFit="1" customWidth="1"/>
    <col min="8" max="8" width="43.1640625" customWidth="1"/>
    <col min="9" max="9" width="44" customWidth="1"/>
    <col min="10" max="10" width="22.1640625" customWidth="1"/>
    <col min="11" max="11" width="38" customWidth="1"/>
    <col min="12" max="12" width="30.5" customWidth="1"/>
    <col min="13" max="14" width="27" customWidth="1"/>
    <col min="15" max="16" width="22.1640625" customWidth="1"/>
    <col min="17" max="18" width="24.1640625" customWidth="1"/>
    <col min="19" max="19" width="22.1640625" customWidth="1"/>
    <col min="20" max="21" width="37.1640625" customWidth="1"/>
    <col min="23" max="23" width="36.5" bestFit="1" customWidth="1"/>
  </cols>
  <sheetData>
    <row r="1" spans="1:24" ht="17" x14ac:dyDescent="0.2">
      <c r="A1" s="161" t="s">
        <v>0</v>
      </c>
      <c r="B1" s="162"/>
      <c r="C1" s="162"/>
      <c r="D1" s="162"/>
      <c r="E1" s="162"/>
      <c r="F1" s="162"/>
      <c r="G1" s="162"/>
      <c r="H1" s="162"/>
      <c r="I1" s="162"/>
      <c r="J1" s="162"/>
      <c r="K1" s="162"/>
      <c r="L1" s="162"/>
      <c r="M1" s="162"/>
      <c r="N1" s="162"/>
      <c r="O1" s="162"/>
      <c r="P1" s="162"/>
      <c r="Q1" s="162"/>
      <c r="R1" s="162"/>
      <c r="S1" s="162"/>
      <c r="T1" s="163"/>
      <c r="U1" s="6"/>
      <c r="V1" s="1"/>
    </row>
    <row r="2" spans="1:24" ht="17" x14ac:dyDescent="0.2">
      <c r="A2" s="161" t="s">
        <v>1</v>
      </c>
      <c r="B2" s="162"/>
      <c r="C2" s="162"/>
      <c r="D2" s="162"/>
      <c r="E2" s="162"/>
      <c r="F2" s="162"/>
      <c r="G2" s="162"/>
      <c r="H2" s="162"/>
      <c r="I2" s="162"/>
      <c r="J2" s="162"/>
      <c r="K2" s="162"/>
      <c r="L2" s="162"/>
      <c r="M2" s="162"/>
      <c r="N2" s="162"/>
      <c r="O2" s="162"/>
      <c r="P2" s="162"/>
      <c r="Q2" s="162"/>
      <c r="R2" s="162"/>
      <c r="S2" s="162"/>
      <c r="T2" s="163"/>
      <c r="U2" s="6"/>
      <c r="V2" s="1"/>
    </row>
    <row r="3" spans="1:24" ht="29" customHeight="1" x14ac:dyDescent="0.2">
      <c r="A3" s="7" t="s">
        <v>2</v>
      </c>
      <c r="B3" s="8"/>
      <c r="C3" s="8"/>
      <c r="D3" s="8"/>
      <c r="E3" s="8"/>
      <c r="F3" s="8"/>
      <c r="G3" s="8"/>
      <c r="H3" s="8"/>
      <c r="I3" s="8"/>
      <c r="J3" s="8"/>
      <c r="K3" s="8"/>
      <c r="L3" s="8"/>
      <c r="M3" s="8"/>
      <c r="N3" s="8"/>
      <c r="O3" s="8"/>
      <c r="P3" s="8"/>
      <c r="Q3" s="8"/>
      <c r="R3" s="8"/>
      <c r="S3" s="8"/>
      <c r="T3" s="9"/>
      <c r="U3" s="10"/>
      <c r="V3" s="1"/>
    </row>
    <row r="4" spans="1:24" ht="77.25" customHeight="1" x14ac:dyDescent="0.2">
      <c r="A4" s="11" t="s">
        <v>3</v>
      </c>
      <c r="B4" s="12" t="s">
        <v>4</v>
      </c>
      <c r="C4" s="13" t="s">
        <v>5</v>
      </c>
      <c r="D4" s="164" t="s">
        <v>6</v>
      </c>
      <c r="E4" s="165"/>
      <c r="F4" s="14" t="s">
        <v>7</v>
      </c>
      <c r="G4" s="14" t="s">
        <v>8</v>
      </c>
      <c r="H4" s="15" t="s">
        <v>9</v>
      </c>
      <c r="I4" s="15" t="s">
        <v>10</v>
      </c>
      <c r="J4" s="12" t="s">
        <v>33</v>
      </c>
      <c r="K4" s="12" t="s">
        <v>11</v>
      </c>
      <c r="L4" s="12" t="s">
        <v>12</v>
      </c>
      <c r="M4" s="15" t="s">
        <v>13</v>
      </c>
      <c r="N4" s="174" t="s">
        <v>34</v>
      </c>
      <c r="O4" s="175"/>
      <c r="P4" s="174" t="s">
        <v>35</v>
      </c>
      <c r="Q4" s="175"/>
      <c r="R4" s="174" t="s">
        <v>36</v>
      </c>
      <c r="S4" s="175"/>
      <c r="T4" s="15" t="s">
        <v>37</v>
      </c>
      <c r="U4" s="12" t="s">
        <v>38</v>
      </c>
      <c r="V4" s="1"/>
    </row>
    <row r="5" spans="1:24" ht="78" customHeight="1" x14ac:dyDescent="0.2">
      <c r="A5" s="150" t="s">
        <v>14</v>
      </c>
      <c r="B5" s="166" t="s">
        <v>217</v>
      </c>
      <c r="C5" s="16" t="s">
        <v>39</v>
      </c>
      <c r="D5" s="168" t="s">
        <v>218</v>
      </c>
      <c r="E5" s="17">
        <v>48</v>
      </c>
      <c r="F5" s="140" t="s">
        <v>16</v>
      </c>
      <c r="G5" s="142" t="s">
        <v>17</v>
      </c>
      <c r="H5" s="170" t="s">
        <v>40</v>
      </c>
      <c r="I5" s="18" t="s">
        <v>41</v>
      </c>
      <c r="J5" s="168">
        <v>2</v>
      </c>
      <c r="K5" s="19" t="s">
        <v>42</v>
      </c>
      <c r="L5" s="168" t="s">
        <v>208</v>
      </c>
      <c r="M5" s="20">
        <f>+Análisis_Referencias!G14</f>
        <v>80000000</v>
      </c>
      <c r="N5" s="20">
        <f>+M5*(O5)</f>
        <v>4000000</v>
      </c>
      <c r="O5" s="21">
        <v>0.05</v>
      </c>
      <c r="P5" s="20">
        <f>+M5*(Q5+Q5)</f>
        <v>0</v>
      </c>
      <c r="Q5" s="22">
        <v>0</v>
      </c>
      <c r="R5" s="20">
        <f>+M5*S5</f>
        <v>12000000</v>
      </c>
      <c r="S5" s="21">
        <v>0.15</v>
      </c>
      <c r="T5" s="23">
        <f>+M5*(1-O5)*(1-Q5)</f>
        <v>76000000</v>
      </c>
      <c r="U5" s="24">
        <f>+T5+(T5*(1-S5))</f>
        <v>140600000</v>
      </c>
      <c r="V5" s="1"/>
      <c r="W5" s="2"/>
    </row>
    <row r="6" spans="1:24" ht="87" customHeight="1" x14ac:dyDescent="0.2">
      <c r="A6" s="150"/>
      <c r="B6" s="166"/>
      <c r="C6" s="25" t="s">
        <v>43</v>
      </c>
      <c r="D6" s="169"/>
      <c r="E6" s="17">
        <f>+E5*4</f>
        <v>192</v>
      </c>
      <c r="F6" s="141"/>
      <c r="G6" s="143"/>
      <c r="H6" s="171"/>
      <c r="I6" s="18" t="s">
        <v>44</v>
      </c>
      <c r="J6" s="173"/>
      <c r="K6" s="19" t="s">
        <v>45</v>
      </c>
      <c r="L6" s="173"/>
      <c r="M6" s="20">
        <f>+Análisis_Referencias!G38</f>
        <v>100000000</v>
      </c>
      <c r="N6" s="20">
        <f>+M6*(O6)</f>
        <v>5000000</v>
      </c>
      <c r="O6" s="21">
        <v>0.05</v>
      </c>
      <c r="P6" s="20">
        <f>+M6*(Q6+Q6)</f>
        <v>10000000</v>
      </c>
      <c r="Q6" s="22">
        <v>0.05</v>
      </c>
      <c r="R6" s="20">
        <f>+M6*S6</f>
        <v>15000000</v>
      </c>
      <c r="S6" s="21">
        <v>0.15</v>
      </c>
      <c r="T6" s="23">
        <f>++M6*(1-O6)*(1-Q6)</f>
        <v>90250000</v>
      </c>
      <c r="U6" s="24">
        <f>+T6+(T6*(1-S6))</f>
        <v>166962500</v>
      </c>
      <c r="V6" s="1"/>
      <c r="W6" s="5"/>
      <c r="X6" s="4"/>
    </row>
    <row r="7" spans="1:24" ht="50.25" customHeight="1" x14ac:dyDescent="0.2">
      <c r="A7" s="150"/>
      <c r="B7" s="166"/>
      <c r="C7" s="25" t="s">
        <v>46</v>
      </c>
      <c r="D7" s="26" t="s">
        <v>47</v>
      </c>
      <c r="E7" s="17">
        <f>8*4</f>
        <v>32</v>
      </c>
      <c r="F7" s="141"/>
      <c r="G7" s="143"/>
      <c r="H7" s="27" t="s">
        <v>48</v>
      </c>
      <c r="I7" s="18" t="s">
        <v>49</v>
      </c>
      <c r="J7" s="173" t="s">
        <v>50</v>
      </c>
      <c r="K7" s="173"/>
      <c r="L7" s="173"/>
      <c r="M7" s="28"/>
      <c r="N7" s="28"/>
      <c r="O7" s="29"/>
      <c r="P7" s="29"/>
      <c r="Q7" s="30"/>
      <c r="R7" s="30"/>
      <c r="S7" s="21"/>
      <c r="T7" s="23"/>
      <c r="U7" s="24"/>
      <c r="V7" s="1"/>
      <c r="W7" s="2"/>
    </row>
    <row r="8" spans="1:24" ht="116.25" customHeight="1" x14ac:dyDescent="0.2">
      <c r="A8" s="150"/>
      <c r="B8" s="166"/>
      <c r="C8" s="25" t="s">
        <v>51</v>
      </c>
      <c r="D8" s="26" t="s">
        <v>52</v>
      </c>
      <c r="E8" s="17">
        <f>8*12</f>
        <v>96</v>
      </c>
      <c r="F8" s="141"/>
      <c r="G8" s="143"/>
      <c r="H8" s="31" t="s">
        <v>53</v>
      </c>
      <c r="I8" s="32" t="s">
        <v>54</v>
      </c>
      <c r="J8" s="148">
        <v>2</v>
      </c>
      <c r="K8" s="33" t="s">
        <v>55</v>
      </c>
      <c r="L8" s="33" t="s">
        <v>209</v>
      </c>
      <c r="M8" s="20">
        <f>+Análisis_Referencias!I36</f>
        <v>11122182.096000005</v>
      </c>
      <c r="N8" s="20">
        <f>+M8*O8</f>
        <v>1112218.2096000004</v>
      </c>
      <c r="O8" s="21">
        <v>0.1</v>
      </c>
      <c r="P8" s="20">
        <f>+M8*(Q8+Q8)</f>
        <v>1112218.2096000004</v>
      </c>
      <c r="Q8" s="22">
        <v>0.05</v>
      </c>
      <c r="R8" s="20">
        <f>+M8*S8</f>
        <v>556109.1048000002</v>
      </c>
      <c r="S8" s="21">
        <v>0.05</v>
      </c>
      <c r="T8" s="23">
        <f>++M8*(1-O8)*(1-Q8)</f>
        <v>9509465.6920800041</v>
      </c>
      <c r="U8" s="24">
        <f>+T8+(T8*(1-S8))</f>
        <v>18543458.099556006</v>
      </c>
      <c r="V8" s="1"/>
      <c r="W8" s="2"/>
    </row>
    <row r="9" spans="1:24" ht="72.75" customHeight="1" x14ac:dyDescent="0.2">
      <c r="A9" s="150"/>
      <c r="B9" s="166"/>
      <c r="C9" s="176" t="s">
        <v>56</v>
      </c>
      <c r="D9" s="26" t="s">
        <v>57</v>
      </c>
      <c r="E9" s="35">
        <f>+Análisis_Referencias!A7</f>
        <v>140625</v>
      </c>
      <c r="F9" s="141"/>
      <c r="G9" s="171"/>
      <c r="H9" s="178" t="s">
        <v>58</v>
      </c>
      <c r="I9" s="26" t="s">
        <v>59</v>
      </c>
      <c r="J9" s="181"/>
      <c r="K9" s="32" t="s">
        <v>60</v>
      </c>
      <c r="L9" s="32" t="s">
        <v>210</v>
      </c>
      <c r="M9" s="36">
        <f>+E21</f>
        <v>129400000</v>
      </c>
      <c r="N9" s="37">
        <f>+M9*O9</f>
        <v>0</v>
      </c>
      <c r="O9" s="38">
        <v>0</v>
      </c>
      <c r="P9" s="37">
        <f>+M9*(Q9+Q9)</f>
        <v>0</v>
      </c>
      <c r="Q9" s="39">
        <v>0</v>
      </c>
      <c r="R9" s="37">
        <f>+M9*S9</f>
        <v>19410000</v>
      </c>
      <c r="S9" s="38">
        <v>0.15</v>
      </c>
      <c r="T9" s="40">
        <f>++M9*(1-O9)*(1-Q9)</f>
        <v>129400000</v>
      </c>
      <c r="U9" s="24">
        <f>+T9+(T9*(1-S9))</f>
        <v>239390000</v>
      </c>
      <c r="V9" s="1"/>
      <c r="W9" s="2"/>
    </row>
    <row r="10" spans="1:24" ht="45.75" customHeight="1" x14ac:dyDescent="0.2">
      <c r="A10" s="150"/>
      <c r="B10" s="167"/>
      <c r="C10" s="177"/>
      <c r="D10" s="41" t="s">
        <v>61</v>
      </c>
      <c r="E10" s="42">
        <f>+(E6+E7+E8)*E9</f>
        <v>45000000</v>
      </c>
      <c r="F10" s="172"/>
      <c r="G10" s="145"/>
      <c r="H10" s="179"/>
      <c r="I10" s="144"/>
      <c r="J10" s="144"/>
      <c r="K10" s="144"/>
      <c r="L10" s="144"/>
      <c r="M10" s="144"/>
      <c r="N10" s="144"/>
      <c r="O10" s="144"/>
      <c r="P10" s="144"/>
      <c r="Q10" s="144"/>
      <c r="R10" s="144"/>
      <c r="S10" s="144"/>
      <c r="T10" s="144"/>
      <c r="U10" s="169"/>
      <c r="V10" s="1"/>
      <c r="W10" s="2"/>
    </row>
    <row r="11" spans="1:24" ht="72.75" customHeight="1" x14ac:dyDescent="0.2">
      <c r="A11" s="152" t="s">
        <v>18</v>
      </c>
      <c r="B11" s="155" t="s">
        <v>19</v>
      </c>
      <c r="C11" s="158" t="s">
        <v>62</v>
      </c>
      <c r="D11" s="146" t="s">
        <v>219</v>
      </c>
      <c r="E11" s="17">
        <v>48</v>
      </c>
      <c r="F11" s="140" t="s">
        <v>20</v>
      </c>
      <c r="G11" s="142" t="s">
        <v>21</v>
      </c>
      <c r="H11" s="142" t="s">
        <v>22</v>
      </c>
      <c r="I11" s="143" t="s">
        <v>63</v>
      </c>
      <c r="J11" s="186">
        <v>2</v>
      </c>
      <c r="K11" s="43" t="s">
        <v>64</v>
      </c>
      <c r="L11" s="143" t="s">
        <v>211</v>
      </c>
      <c r="M11" s="192">
        <f>+Análisis_Referencias!E40</f>
        <v>96952948.799999982</v>
      </c>
      <c r="N11" s="134">
        <f>+M11*(O11)</f>
        <v>4847647.4399999995</v>
      </c>
      <c r="O11" s="131">
        <v>0.05</v>
      </c>
      <c r="P11" s="134">
        <f>+M11*Q11</f>
        <v>0</v>
      </c>
      <c r="Q11" s="135">
        <v>0</v>
      </c>
      <c r="R11" s="134">
        <f t="shared" ref="R11" si="0">+M11*S11</f>
        <v>4847647.4399999995</v>
      </c>
      <c r="S11" s="131">
        <v>0.05</v>
      </c>
      <c r="T11" s="132">
        <f t="shared" ref="T11:T12" si="1">++M11*(1-O11)*(1-Q11)</f>
        <v>92105301.359999985</v>
      </c>
      <c r="U11" s="133">
        <f t="shared" ref="U11" si="2">+T11+(T11*(1-S11))</f>
        <v>179605337.65199995</v>
      </c>
      <c r="V11" s="1"/>
    </row>
    <row r="12" spans="1:24" ht="44.25" customHeight="1" x14ac:dyDescent="0.2">
      <c r="A12" s="153"/>
      <c r="B12" s="156"/>
      <c r="C12" s="159"/>
      <c r="D12" s="147"/>
      <c r="E12" s="44">
        <f>+E11*4</f>
        <v>192</v>
      </c>
      <c r="F12" s="141"/>
      <c r="G12" s="143"/>
      <c r="H12" s="143"/>
      <c r="I12" s="143"/>
      <c r="J12" s="186"/>
      <c r="K12" s="143" t="s">
        <v>65</v>
      </c>
      <c r="L12" s="145"/>
      <c r="M12" s="191"/>
      <c r="N12" s="128"/>
      <c r="O12" s="130"/>
      <c r="P12" s="128"/>
      <c r="Q12" s="136"/>
      <c r="R12" s="138"/>
      <c r="S12" s="130"/>
      <c r="T12" s="132">
        <f t="shared" si="1"/>
        <v>0</v>
      </c>
      <c r="U12" s="133"/>
      <c r="V12" s="1"/>
    </row>
    <row r="13" spans="1:24" ht="38.25" customHeight="1" x14ac:dyDescent="0.2">
      <c r="A13" s="153"/>
      <c r="B13" s="156"/>
      <c r="C13" s="159"/>
      <c r="D13" s="45" t="s">
        <v>57</v>
      </c>
      <c r="E13" s="46">
        <f>+Análisis_Referencias!A7</f>
        <v>140625</v>
      </c>
      <c r="F13" s="141"/>
      <c r="G13" s="143"/>
      <c r="H13" s="143"/>
      <c r="I13" s="145"/>
      <c r="J13" s="186"/>
      <c r="K13" s="143"/>
      <c r="L13" s="189" t="s">
        <v>212</v>
      </c>
      <c r="M13" s="190">
        <f>+Análisis_Referencias!C18</f>
        <v>288550841.35679948</v>
      </c>
      <c r="N13" s="127">
        <f>+M13*(O13)</f>
        <v>14427542.067839975</v>
      </c>
      <c r="O13" s="129">
        <v>0.05</v>
      </c>
      <c r="P13" s="127">
        <f>+M13*Q13</f>
        <v>0</v>
      </c>
      <c r="Q13" s="137">
        <v>0</v>
      </c>
      <c r="R13" s="184">
        <f>+M13*S13</f>
        <v>17313050.48140797</v>
      </c>
      <c r="S13" s="182">
        <v>0.06</v>
      </c>
      <c r="T13" s="133">
        <f t="shared" ref="T13:T14" si="3">++M13*(1-O13)*(1-Q13)</f>
        <v>274123299.2889595</v>
      </c>
      <c r="U13" s="180">
        <f t="shared" ref="U13" si="4">+T13+(T13*(1-S13))</f>
        <v>531799200.62058139</v>
      </c>
      <c r="V13" s="1"/>
    </row>
    <row r="14" spans="1:24" ht="67.5" customHeight="1" x14ac:dyDescent="0.2">
      <c r="A14" s="153"/>
      <c r="B14" s="156"/>
      <c r="C14" s="159"/>
      <c r="D14" s="45" t="s">
        <v>66</v>
      </c>
      <c r="E14" s="44">
        <v>48</v>
      </c>
      <c r="F14" s="141"/>
      <c r="G14" s="143"/>
      <c r="H14" s="143"/>
      <c r="I14" s="142" t="s">
        <v>67</v>
      </c>
      <c r="J14" s="186"/>
      <c r="K14" s="143"/>
      <c r="L14" s="145"/>
      <c r="M14" s="191"/>
      <c r="N14" s="128"/>
      <c r="O14" s="130"/>
      <c r="P14" s="128"/>
      <c r="Q14" s="136"/>
      <c r="R14" s="185"/>
      <c r="S14" s="183"/>
      <c r="T14" s="133">
        <f t="shared" si="3"/>
        <v>0</v>
      </c>
      <c r="U14" s="133"/>
      <c r="V14" s="1"/>
    </row>
    <row r="15" spans="1:24" ht="90.75" customHeight="1" x14ac:dyDescent="0.2">
      <c r="A15" s="153"/>
      <c r="B15" s="156"/>
      <c r="C15" s="160"/>
      <c r="D15" s="45" t="s">
        <v>68</v>
      </c>
      <c r="E15" s="46">
        <f>+Análisis_Referencias!A9</f>
        <v>70833.333333333328</v>
      </c>
      <c r="F15" s="141"/>
      <c r="G15" s="143"/>
      <c r="H15" s="143"/>
      <c r="I15" s="143"/>
      <c r="J15" s="187"/>
      <c r="K15" s="19" t="s">
        <v>69</v>
      </c>
      <c r="L15" s="33" t="s">
        <v>210</v>
      </c>
      <c r="M15" s="47">
        <f>15*Análisis_Referencias!A3</f>
        <v>1968750</v>
      </c>
      <c r="N15" s="47">
        <f>M15*(O15)</f>
        <v>98437.5</v>
      </c>
      <c r="O15" s="22">
        <v>0.05</v>
      </c>
      <c r="P15" s="48">
        <f>+M15*Q15</f>
        <v>0</v>
      </c>
      <c r="Q15" s="22">
        <v>0</v>
      </c>
      <c r="R15" s="20">
        <f>+M15*S15</f>
        <v>295312.5</v>
      </c>
      <c r="S15" s="49">
        <v>0.15</v>
      </c>
      <c r="T15" s="24">
        <f t="shared" ref="T15" si="5">++M15*(1-O15)*(1-Q15)</f>
        <v>1870312.5</v>
      </c>
      <c r="U15" s="24">
        <f t="shared" ref="U15" si="6">+T15+(T15*(1-S15))</f>
        <v>3460078.125</v>
      </c>
      <c r="V15" s="1"/>
    </row>
    <row r="16" spans="1:24" ht="37.5" customHeight="1" x14ac:dyDescent="0.2">
      <c r="A16" s="154"/>
      <c r="B16" s="157"/>
      <c r="C16" s="50"/>
      <c r="D16" s="41" t="s">
        <v>70</v>
      </c>
      <c r="E16" s="42">
        <f>+(E12*E13)+(E15*E14)</f>
        <v>30400000</v>
      </c>
      <c r="F16" s="141"/>
      <c r="G16" s="143"/>
      <c r="H16" s="143"/>
      <c r="I16" s="143"/>
      <c r="J16" s="188"/>
      <c r="K16" s="168"/>
      <c r="L16" s="168"/>
      <c r="M16" s="168"/>
      <c r="N16" s="168"/>
      <c r="O16" s="168"/>
      <c r="P16" s="168"/>
      <c r="Q16" s="168"/>
      <c r="R16" s="168"/>
      <c r="S16" s="168"/>
      <c r="T16" s="169"/>
      <c r="U16" s="169"/>
      <c r="V16" s="1"/>
    </row>
    <row r="17" spans="1:22" ht="105" customHeight="1" x14ac:dyDescent="0.2">
      <c r="A17" s="150" t="s">
        <v>23</v>
      </c>
      <c r="B17" s="151" t="s">
        <v>24</v>
      </c>
      <c r="C17" s="151" t="s">
        <v>25</v>
      </c>
      <c r="D17" s="148" t="s">
        <v>71</v>
      </c>
      <c r="E17" s="52">
        <v>100</v>
      </c>
      <c r="F17" s="144" t="s">
        <v>26</v>
      </c>
      <c r="G17" s="144" t="s">
        <v>27</v>
      </c>
      <c r="H17" s="144" t="s">
        <v>28</v>
      </c>
      <c r="I17" s="139" t="s">
        <v>72</v>
      </c>
      <c r="J17" s="195">
        <v>2</v>
      </c>
      <c r="K17" s="19" t="s">
        <v>73</v>
      </c>
      <c r="L17" s="168" t="s">
        <v>29</v>
      </c>
      <c r="M17" s="198">
        <f>+E21</f>
        <v>129400000</v>
      </c>
      <c r="N17" s="202">
        <f>+M17*O17</f>
        <v>12940000</v>
      </c>
      <c r="O17" s="199">
        <v>0.1</v>
      </c>
      <c r="P17" s="206">
        <f>+M17*Q17</f>
        <v>0</v>
      </c>
      <c r="Q17" s="203">
        <v>0</v>
      </c>
      <c r="R17" s="202">
        <f>+M17*S17</f>
        <v>19410000</v>
      </c>
      <c r="S17" s="209">
        <v>0.15</v>
      </c>
      <c r="T17" s="212">
        <f>+M17*(1-O17)*(1-Q17)</f>
        <v>116460000</v>
      </c>
      <c r="U17" s="212">
        <f>+T17+(T17*(1-S17))</f>
        <v>215451000</v>
      </c>
      <c r="V17" s="1"/>
    </row>
    <row r="18" spans="1:22" ht="69.75" customHeight="1" x14ac:dyDescent="0.2">
      <c r="A18" s="150"/>
      <c r="B18" s="151"/>
      <c r="C18" s="151"/>
      <c r="D18" s="149"/>
      <c r="E18" s="53">
        <f>96*4</f>
        <v>384</v>
      </c>
      <c r="F18" s="144"/>
      <c r="G18" s="144"/>
      <c r="H18" s="144"/>
      <c r="I18" s="139"/>
      <c r="J18" s="196"/>
      <c r="K18" s="19" t="s">
        <v>74</v>
      </c>
      <c r="L18" s="169"/>
      <c r="M18" s="196"/>
      <c r="N18" s="202"/>
      <c r="O18" s="200"/>
      <c r="P18" s="207"/>
      <c r="Q18" s="204"/>
      <c r="R18" s="202"/>
      <c r="S18" s="210"/>
      <c r="T18" s="213"/>
      <c r="U18" s="213"/>
      <c r="V18" s="1"/>
    </row>
    <row r="19" spans="1:22" ht="81" customHeight="1" x14ac:dyDescent="0.2">
      <c r="A19" s="150"/>
      <c r="B19" s="151"/>
      <c r="C19" s="54" t="s">
        <v>75</v>
      </c>
      <c r="D19" s="55" t="s">
        <v>57</v>
      </c>
      <c r="E19" s="56">
        <f>+Análisis_Referencias!A7</f>
        <v>140625</v>
      </c>
      <c r="F19" s="144"/>
      <c r="G19" s="144"/>
      <c r="H19" s="144"/>
      <c r="I19" s="139"/>
      <c r="J19" s="197"/>
      <c r="K19" s="19" t="s">
        <v>76</v>
      </c>
      <c r="L19" s="173"/>
      <c r="M19" s="197"/>
      <c r="N19" s="202"/>
      <c r="O19" s="201"/>
      <c r="P19" s="208"/>
      <c r="Q19" s="205"/>
      <c r="R19" s="202"/>
      <c r="S19" s="211"/>
      <c r="T19" s="180"/>
      <c r="U19" s="180"/>
      <c r="V19" s="1"/>
    </row>
    <row r="20" spans="1:22" ht="47.25" customHeight="1" x14ac:dyDescent="0.2">
      <c r="A20" s="150"/>
      <c r="B20" s="151"/>
      <c r="C20" s="54"/>
      <c r="D20" s="57" t="s">
        <v>77</v>
      </c>
      <c r="E20" s="58">
        <f>E19*E18</f>
        <v>54000000</v>
      </c>
      <c r="F20" s="144"/>
      <c r="G20" s="144"/>
      <c r="H20" s="144"/>
      <c r="I20" s="139"/>
      <c r="J20" s="19"/>
      <c r="K20" s="173"/>
      <c r="L20" s="173"/>
      <c r="M20" s="173"/>
      <c r="N20" s="173"/>
      <c r="O20" s="173"/>
      <c r="P20" s="173"/>
      <c r="Q20" s="173"/>
      <c r="R20" s="173"/>
      <c r="S20" s="173"/>
      <c r="T20" s="173"/>
      <c r="U20" s="173"/>
      <c r="V20" s="1"/>
    </row>
    <row r="21" spans="1:22" ht="36" x14ac:dyDescent="0.3">
      <c r="A21" s="59"/>
      <c r="B21" s="59"/>
      <c r="C21" s="60"/>
      <c r="D21" s="61" t="s">
        <v>30</v>
      </c>
      <c r="E21" s="62">
        <f>+E20+E16+E10</f>
        <v>129400000</v>
      </c>
      <c r="F21" s="59"/>
      <c r="G21" s="59"/>
      <c r="H21" s="63"/>
      <c r="I21" s="59"/>
      <c r="J21" s="59"/>
      <c r="K21" s="59"/>
      <c r="L21" s="59"/>
      <c r="M21" s="59"/>
      <c r="N21" s="59"/>
      <c r="O21" s="59"/>
      <c r="P21" s="59"/>
      <c r="Q21" s="59"/>
      <c r="R21" s="59"/>
      <c r="S21" s="64" t="s">
        <v>31</v>
      </c>
      <c r="T21" s="65">
        <f>+T17+T15+T13+T11+T9+T8+T6+T5</f>
        <v>789718378.84103954</v>
      </c>
      <c r="U21" s="66">
        <f>+U17+U15+U13+U11+U9+U8+U6+U5</f>
        <v>1495811574.4971373</v>
      </c>
      <c r="V21" s="1"/>
    </row>
    <row r="22" spans="1:22" ht="17" x14ac:dyDescent="0.3">
      <c r="A22" s="59"/>
      <c r="B22" s="59"/>
      <c r="C22" s="59"/>
      <c r="D22" s="59"/>
      <c r="E22" s="59"/>
      <c r="F22" s="59"/>
      <c r="G22" s="59"/>
      <c r="H22" s="67"/>
      <c r="I22" s="59"/>
      <c r="J22" s="59"/>
      <c r="K22" s="59"/>
      <c r="L22" s="59"/>
      <c r="M22" s="59"/>
      <c r="N22" s="59"/>
      <c r="O22" s="59"/>
      <c r="P22" s="59"/>
      <c r="Q22" s="59"/>
      <c r="R22" s="59"/>
      <c r="S22" s="193" t="s">
        <v>32</v>
      </c>
      <c r="T22" s="194"/>
      <c r="U22" s="68">
        <f>+U21/E21</f>
        <v>11.559594857010335</v>
      </c>
      <c r="V22" s="1"/>
    </row>
    <row r="23" spans="1:22" ht="17" x14ac:dyDescent="0.3">
      <c r="A23" s="60"/>
      <c r="B23" s="60"/>
      <c r="C23" s="60"/>
      <c r="D23" s="60"/>
      <c r="E23" s="60"/>
      <c r="F23" s="60"/>
      <c r="G23" s="60"/>
      <c r="H23" s="60"/>
      <c r="I23" s="60"/>
      <c r="J23" s="60"/>
      <c r="K23" s="60"/>
      <c r="L23" s="60"/>
      <c r="M23" s="60"/>
      <c r="N23" s="60"/>
      <c r="O23" s="60"/>
      <c r="P23" s="60"/>
      <c r="Q23" s="60"/>
      <c r="R23" s="60"/>
      <c r="S23" s="60"/>
      <c r="T23" s="60"/>
      <c r="U23" s="60"/>
    </row>
    <row r="24" spans="1:22" x14ac:dyDescent="0.2">
      <c r="T24" s="3"/>
    </row>
  </sheetData>
  <mergeCells count="72">
    <mergeCell ref="S22:T22"/>
    <mergeCell ref="J17:J19"/>
    <mergeCell ref="K20:U20"/>
    <mergeCell ref="L17:L19"/>
    <mergeCell ref="M17:M19"/>
    <mergeCell ref="O17:O19"/>
    <mergeCell ref="N17:N19"/>
    <mergeCell ref="Q17:Q19"/>
    <mergeCell ref="P17:P19"/>
    <mergeCell ref="S17:S19"/>
    <mergeCell ref="R17:R19"/>
    <mergeCell ref="T17:T19"/>
    <mergeCell ref="U17:U19"/>
    <mergeCell ref="U11:U12"/>
    <mergeCell ref="U13:U14"/>
    <mergeCell ref="K16:U16"/>
    <mergeCell ref="J5:J6"/>
    <mergeCell ref="J8:J9"/>
    <mergeCell ref="S13:S14"/>
    <mergeCell ref="R13:R14"/>
    <mergeCell ref="I10:U10"/>
    <mergeCell ref="L11:L12"/>
    <mergeCell ref="K12:K14"/>
    <mergeCell ref="J11:J16"/>
    <mergeCell ref="L13:L14"/>
    <mergeCell ref="M13:M14"/>
    <mergeCell ref="M11:M12"/>
    <mergeCell ref="N11:N12"/>
    <mergeCell ref="O11:O12"/>
    <mergeCell ref="A1:T1"/>
    <mergeCell ref="A2:T2"/>
    <mergeCell ref="D4:E4"/>
    <mergeCell ref="A5:A10"/>
    <mergeCell ref="B5:B10"/>
    <mergeCell ref="D5:D6"/>
    <mergeCell ref="H5:H6"/>
    <mergeCell ref="F5:F10"/>
    <mergeCell ref="G5:G10"/>
    <mergeCell ref="J7:L7"/>
    <mergeCell ref="N4:O4"/>
    <mergeCell ref="P4:Q4"/>
    <mergeCell ref="R4:S4"/>
    <mergeCell ref="C9:C10"/>
    <mergeCell ref="L5:L6"/>
    <mergeCell ref="H9:H10"/>
    <mergeCell ref="D11:D12"/>
    <mergeCell ref="D17:D18"/>
    <mergeCell ref="A17:A20"/>
    <mergeCell ref="B17:B20"/>
    <mergeCell ref="C17:C18"/>
    <mergeCell ref="A11:A16"/>
    <mergeCell ref="B11:B16"/>
    <mergeCell ref="C11:C15"/>
    <mergeCell ref="I17:I20"/>
    <mergeCell ref="F11:F16"/>
    <mergeCell ref="G11:G16"/>
    <mergeCell ref="H11:H16"/>
    <mergeCell ref="F17:F20"/>
    <mergeCell ref="G17:G20"/>
    <mergeCell ref="H17:H20"/>
    <mergeCell ref="I11:I13"/>
    <mergeCell ref="I14:I16"/>
    <mergeCell ref="N13:N14"/>
    <mergeCell ref="O13:O14"/>
    <mergeCell ref="S11:S12"/>
    <mergeCell ref="T11:T12"/>
    <mergeCell ref="T13:T14"/>
    <mergeCell ref="P11:P12"/>
    <mergeCell ref="Q11:Q12"/>
    <mergeCell ref="P13:P14"/>
    <mergeCell ref="Q13:Q14"/>
    <mergeCell ref="R11:R1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7A435-B874-4453-A5ED-3A3865391258}">
  <sheetPr>
    <pageSetUpPr fitToPage="1"/>
  </sheetPr>
  <dimension ref="A1:I14"/>
  <sheetViews>
    <sheetView zoomScale="80" zoomScaleNormal="80" workbookViewId="0">
      <selection activeCell="C6" sqref="C6"/>
    </sheetView>
  </sheetViews>
  <sheetFormatPr baseColWidth="10" defaultColWidth="9.1640625" defaultRowHeight="17" x14ac:dyDescent="0.3"/>
  <cols>
    <col min="1" max="1" width="14.1640625" style="60" customWidth="1"/>
    <col min="2" max="2" width="22.1640625" style="60" customWidth="1"/>
    <col min="3" max="3" width="23.83203125" style="60" customWidth="1"/>
    <col min="4" max="4" width="24.1640625" style="60" customWidth="1"/>
    <col min="5" max="5" width="17.5" style="60" customWidth="1"/>
    <col min="6" max="6" width="23.83203125" style="60" customWidth="1"/>
    <col min="7" max="7" width="19.83203125" style="60" bestFit="1" customWidth="1"/>
    <col min="8" max="8" width="36.5" style="60" bestFit="1" customWidth="1"/>
    <col min="9" max="16384" width="9.1640625" style="60"/>
  </cols>
  <sheetData>
    <row r="1" spans="1:9" s="63" customFormat="1" ht="36.75" customHeight="1" x14ac:dyDescent="0.3">
      <c r="A1" s="214" t="s">
        <v>2</v>
      </c>
      <c r="B1" s="215"/>
      <c r="C1" s="215"/>
      <c r="D1" s="215"/>
      <c r="E1" s="216"/>
      <c r="F1" s="216"/>
      <c r="G1" s="69"/>
    </row>
    <row r="2" spans="1:9" ht="39.75" customHeight="1" x14ac:dyDescent="0.3">
      <c r="A2" s="11" t="s">
        <v>3</v>
      </c>
      <c r="B2" s="12" t="s">
        <v>4</v>
      </c>
      <c r="C2" s="13" t="s">
        <v>5</v>
      </c>
      <c r="D2" s="73" t="s">
        <v>7</v>
      </c>
      <c r="E2" s="126" t="s">
        <v>8</v>
      </c>
      <c r="F2" s="74" t="s">
        <v>78</v>
      </c>
    </row>
    <row r="3" spans="1:9" ht="72" x14ac:dyDescent="0.3">
      <c r="A3" s="150" t="s">
        <v>14</v>
      </c>
      <c r="B3" s="166" t="s">
        <v>15</v>
      </c>
      <c r="C3" s="71" t="s">
        <v>39</v>
      </c>
      <c r="D3" s="217" t="s">
        <v>79</v>
      </c>
      <c r="E3" s="222" t="s">
        <v>80</v>
      </c>
      <c r="F3" s="219" t="s">
        <v>81</v>
      </c>
      <c r="G3" s="59"/>
      <c r="H3" s="63"/>
    </row>
    <row r="4" spans="1:9" ht="72" x14ac:dyDescent="0.3">
      <c r="A4" s="150"/>
      <c r="B4" s="166"/>
      <c r="C4" s="34" t="s">
        <v>43</v>
      </c>
      <c r="D4" s="218"/>
      <c r="E4" s="222"/>
      <c r="F4" s="219"/>
      <c r="G4" s="59"/>
      <c r="H4" s="63"/>
      <c r="I4" s="70"/>
    </row>
    <row r="5" spans="1:9" ht="108" x14ac:dyDescent="0.3">
      <c r="A5" s="150"/>
      <c r="B5" s="166"/>
      <c r="C5" s="34" t="s">
        <v>51</v>
      </c>
      <c r="D5" s="218"/>
      <c r="E5" s="222"/>
      <c r="F5" s="125" t="s">
        <v>53</v>
      </c>
      <c r="G5" s="59"/>
      <c r="H5" s="63"/>
    </row>
    <row r="6" spans="1:9" ht="72" x14ac:dyDescent="0.3">
      <c r="A6" s="150"/>
      <c r="B6" s="166"/>
      <c r="C6" s="72" t="s">
        <v>56</v>
      </c>
      <c r="D6" s="218"/>
      <c r="E6" s="222"/>
      <c r="F6" s="125" t="s">
        <v>58</v>
      </c>
      <c r="G6" s="59"/>
      <c r="H6" s="63"/>
    </row>
    <row r="7" spans="1:9" x14ac:dyDescent="0.3">
      <c r="A7" s="152" t="s">
        <v>18</v>
      </c>
      <c r="B7" s="155" t="s">
        <v>19</v>
      </c>
      <c r="C7" s="158" t="s">
        <v>62</v>
      </c>
      <c r="D7" s="217" t="s">
        <v>82</v>
      </c>
      <c r="E7" s="222"/>
      <c r="F7" s="223" t="s">
        <v>22</v>
      </c>
      <c r="G7" s="59"/>
    </row>
    <row r="8" spans="1:9" x14ac:dyDescent="0.3">
      <c r="A8" s="153"/>
      <c r="B8" s="156"/>
      <c r="C8" s="159"/>
      <c r="D8" s="218"/>
      <c r="E8" s="222"/>
      <c r="F8" s="224"/>
      <c r="G8" s="59"/>
    </row>
    <row r="9" spans="1:9" x14ac:dyDescent="0.3">
      <c r="A9" s="153"/>
      <c r="B9" s="156"/>
      <c r="C9" s="159"/>
      <c r="D9" s="218"/>
      <c r="E9" s="222"/>
      <c r="F9" s="224"/>
      <c r="G9" s="59"/>
    </row>
    <row r="10" spans="1:9" x14ac:dyDescent="0.3">
      <c r="A10" s="153"/>
      <c r="B10" s="156"/>
      <c r="C10" s="159"/>
      <c r="D10" s="218"/>
      <c r="E10" s="222"/>
      <c r="F10" s="224"/>
      <c r="G10" s="59"/>
    </row>
    <row r="11" spans="1:9" x14ac:dyDescent="0.3">
      <c r="A11" s="153"/>
      <c r="B11" s="156"/>
      <c r="C11" s="160"/>
      <c r="D11" s="218"/>
      <c r="E11" s="222"/>
      <c r="F11" s="220"/>
      <c r="G11" s="59"/>
    </row>
    <row r="12" spans="1:9" x14ac:dyDescent="0.3">
      <c r="A12" s="150" t="s">
        <v>23</v>
      </c>
      <c r="B12" s="151" t="s">
        <v>24</v>
      </c>
      <c r="C12" s="151" t="s">
        <v>25</v>
      </c>
      <c r="D12" s="225" t="s">
        <v>83</v>
      </c>
      <c r="E12" s="222"/>
      <c r="F12" s="220" t="s">
        <v>28</v>
      </c>
      <c r="G12" s="59"/>
    </row>
    <row r="13" spans="1:9" x14ac:dyDescent="0.3">
      <c r="A13" s="150"/>
      <c r="B13" s="151"/>
      <c r="C13" s="151"/>
      <c r="D13" s="218"/>
      <c r="E13" s="222"/>
      <c r="F13" s="221"/>
      <c r="G13" s="59"/>
    </row>
    <row r="14" spans="1:9" ht="18" x14ac:dyDescent="0.3">
      <c r="A14" s="150"/>
      <c r="B14" s="151"/>
      <c r="C14" s="51" t="s">
        <v>213</v>
      </c>
      <c r="D14" s="218"/>
      <c r="E14" s="222"/>
      <c r="F14" s="221"/>
      <c r="G14" s="59"/>
    </row>
  </sheetData>
  <mergeCells count="16">
    <mergeCell ref="F12:F14"/>
    <mergeCell ref="E3:E14"/>
    <mergeCell ref="F7:F11"/>
    <mergeCell ref="A12:A14"/>
    <mergeCell ref="B12:B14"/>
    <mergeCell ref="C12:C13"/>
    <mergeCell ref="D12:D14"/>
    <mergeCell ref="A7:A11"/>
    <mergeCell ref="B7:B11"/>
    <mergeCell ref="C7:C11"/>
    <mergeCell ref="D7:D11"/>
    <mergeCell ref="A1:F1"/>
    <mergeCell ref="A3:A6"/>
    <mergeCell ref="B3:B6"/>
    <mergeCell ref="D3:D6"/>
    <mergeCell ref="F3:F4"/>
  </mergeCells>
  <pageMargins left="0.7" right="0.7" top="0.75" bottom="0.75" header="0.3" footer="0.3"/>
  <pageSetup fitToWidth="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2FFAA-3710-4082-9775-EF0452137255}">
  <dimension ref="A1:CD54"/>
  <sheetViews>
    <sheetView zoomScale="118" zoomScaleNormal="50" workbookViewId="0">
      <selection activeCell="C11" sqref="C11"/>
    </sheetView>
  </sheetViews>
  <sheetFormatPr baseColWidth="10" defaultColWidth="8.6640625" defaultRowHeight="17" x14ac:dyDescent="0.3"/>
  <cols>
    <col min="1" max="1" width="64" style="60" customWidth="1"/>
    <col min="2" max="2" width="49.5" style="60" customWidth="1"/>
    <col min="3" max="3" width="28.1640625" style="63" customWidth="1"/>
    <col min="4" max="7" width="36.5" style="60" bestFit="1" customWidth="1"/>
    <col min="8" max="8" width="77.83203125" style="60" customWidth="1"/>
    <col min="9" max="9" width="30.83203125" style="60" customWidth="1"/>
    <col min="10" max="10" width="28.5" style="60" bestFit="1" customWidth="1"/>
    <col min="11" max="11" width="32" style="63" customWidth="1"/>
  </cols>
  <sheetData>
    <row r="1" spans="1:82" s="75" customFormat="1" ht="18" thickBot="1" x14ac:dyDescent="0.35">
      <c r="A1" s="84" t="s">
        <v>84</v>
      </c>
      <c r="B1" s="84" t="s">
        <v>85</v>
      </c>
      <c r="C1" s="96"/>
      <c r="D1" s="238" t="s">
        <v>86</v>
      </c>
      <c r="E1" s="239"/>
      <c r="F1" s="240" t="s">
        <v>87</v>
      </c>
      <c r="G1" s="247"/>
      <c r="H1" s="116" t="s">
        <v>88</v>
      </c>
      <c r="I1" s="109"/>
      <c r="J1" s="240" t="s">
        <v>89</v>
      </c>
      <c r="K1" s="24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row>
    <row r="2" spans="1:82" ht="72" x14ac:dyDescent="0.3">
      <c r="A2" s="85" t="s">
        <v>90</v>
      </c>
      <c r="B2" s="92" t="s">
        <v>91</v>
      </c>
      <c r="C2" s="76" t="s">
        <v>92</v>
      </c>
      <c r="D2" s="88" t="s">
        <v>93</v>
      </c>
      <c r="E2" s="98"/>
      <c r="F2" s="88" t="s">
        <v>93</v>
      </c>
      <c r="H2" s="88" t="s">
        <v>93</v>
      </c>
      <c r="I2" s="98"/>
      <c r="J2" s="88"/>
      <c r="K2" s="114"/>
    </row>
    <row r="3" spans="1:82" ht="65.25" customHeight="1" x14ac:dyDescent="0.3">
      <c r="A3" s="86">
        <f>+((((35000000+28000000)/2)/30)/8)</f>
        <v>131250</v>
      </c>
      <c r="B3" s="228" t="s">
        <v>94</v>
      </c>
      <c r="C3" s="229"/>
      <c r="D3" s="248" t="s">
        <v>95</v>
      </c>
      <c r="E3" s="250"/>
      <c r="F3" s="234" t="s">
        <v>96</v>
      </c>
      <c r="G3" s="254"/>
      <c r="H3" s="234" t="s">
        <v>97</v>
      </c>
      <c r="I3" s="235"/>
      <c r="J3" s="88" t="s">
        <v>98</v>
      </c>
      <c r="K3" s="114" t="s">
        <v>99</v>
      </c>
    </row>
    <row r="4" spans="1:82" ht="54.75" customHeight="1" x14ac:dyDescent="0.3">
      <c r="A4" s="87" t="s">
        <v>100</v>
      </c>
      <c r="B4" s="228"/>
      <c r="C4" s="229"/>
      <c r="D4" s="236" t="s">
        <v>101</v>
      </c>
      <c r="E4" s="237"/>
      <c r="F4" s="248" t="s">
        <v>102</v>
      </c>
      <c r="G4" s="249"/>
      <c r="H4" s="243" t="s">
        <v>103</v>
      </c>
      <c r="I4" s="244"/>
      <c r="J4" s="88" t="s">
        <v>104</v>
      </c>
      <c r="K4" s="93" t="s">
        <v>105</v>
      </c>
    </row>
    <row r="5" spans="1:82" ht="43.5" customHeight="1" x14ac:dyDescent="0.3">
      <c r="A5" s="86">
        <v>150000</v>
      </c>
      <c r="B5" s="228"/>
      <c r="C5" s="229"/>
      <c r="D5" s="90" t="s">
        <v>106</v>
      </c>
      <c r="E5" s="98">
        <v>22</v>
      </c>
      <c r="F5" s="110" t="s">
        <v>107</v>
      </c>
      <c r="G5" s="70">
        <f>+(500000+200000)/2</f>
        <v>350000</v>
      </c>
      <c r="H5" s="243" t="s">
        <v>108</v>
      </c>
      <c r="I5" s="244"/>
      <c r="J5" s="88" t="s">
        <v>109</v>
      </c>
      <c r="K5" s="93" t="s">
        <v>110</v>
      </c>
    </row>
    <row r="6" spans="1:82" ht="45.75" customHeight="1" x14ac:dyDescent="0.3">
      <c r="A6" s="88" t="s">
        <v>111</v>
      </c>
      <c r="B6" s="228" t="s">
        <v>112</v>
      </c>
      <c r="C6" s="229"/>
      <c r="D6" s="90" t="s">
        <v>113</v>
      </c>
      <c r="E6" s="99">
        <f>+(E5*($I$19*2)+$I$18)/2</f>
        <v>86867</v>
      </c>
      <c r="F6" s="111" t="s">
        <v>114</v>
      </c>
      <c r="G6" s="78">
        <v>100</v>
      </c>
      <c r="H6" s="118" t="s">
        <v>115</v>
      </c>
      <c r="I6" s="119">
        <f>+(843.48+857.28)/2</f>
        <v>850.38</v>
      </c>
      <c r="J6" s="88" t="s">
        <v>116</v>
      </c>
      <c r="K6" s="93" t="s">
        <v>117</v>
      </c>
    </row>
    <row r="7" spans="1:82" ht="49.5" customHeight="1" thickBot="1" x14ac:dyDescent="0.35">
      <c r="A7" s="89">
        <f>+(A5+A3)/2</f>
        <v>140625</v>
      </c>
      <c r="B7" s="228"/>
      <c r="C7" s="229"/>
      <c r="D7" s="234" t="s">
        <v>118</v>
      </c>
      <c r="E7" s="235"/>
      <c r="F7" s="102" t="s">
        <v>119</v>
      </c>
      <c r="G7" s="70">
        <f>+G6*G5</f>
        <v>35000000</v>
      </c>
      <c r="H7" s="90" t="s">
        <v>120</v>
      </c>
      <c r="I7" s="98">
        <v>3386</v>
      </c>
      <c r="J7" s="107" t="s">
        <v>121</v>
      </c>
      <c r="K7" s="124" t="s">
        <v>122</v>
      </c>
    </row>
    <row r="8" spans="1:82" ht="67" customHeight="1" x14ac:dyDescent="0.3">
      <c r="A8" s="90" t="s">
        <v>123</v>
      </c>
      <c r="B8" s="92" t="s">
        <v>124</v>
      </c>
      <c r="C8" s="76" t="s">
        <v>125</v>
      </c>
      <c r="D8" s="90">
        <v>1</v>
      </c>
      <c r="E8" s="93" t="s">
        <v>126</v>
      </c>
      <c r="F8" s="243" t="s">
        <v>127</v>
      </c>
      <c r="G8" s="251"/>
      <c r="H8" s="102" t="s">
        <v>128</v>
      </c>
      <c r="I8" s="99">
        <f>+I7*I6</f>
        <v>2879386.68</v>
      </c>
    </row>
    <row r="9" spans="1:82" ht="67.5" customHeight="1" thickBot="1" x14ac:dyDescent="0.35">
      <c r="A9" s="91">
        <f>+((((22000000+12000000)/2)/30)/8)</f>
        <v>70833.333333333328</v>
      </c>
      <c r="B9" s="230" t="s">
        <v>129</v>
      </c>
      <c r="C9" s="231"/>
      <c r="D9" s="90">
        <v>2</v>
      </c>
      <c r="E9" s="93" t="s">
        <v>130</v>
      </c>
      <c r="F9" s="248" t="s">
        <v>131</v>
      </c>
      <c r="G9" s="249"/>
      <c r="H9" s="120" t="s">
        <v>132</v>
      </c>
      <c r="I9" s="121" t="s">
        <v>133</v>
      </c>
    </row>
    <row r="10" spans="1:82" ht="54" x14ac:dyDescent="0.3">
      <c r="B10" s="230"/>
      <c r="C10" s="231"/>
      <c r="D10" s="90">
        <v>3</v>
      </c>
      <c r="E10" s="93" t="s">
        <v>134</v>
      </c>
      <c r="F10" s="90" t="s">
        <v>135</v>
      </c>
      <c r="G10" s="70">
        <v>10000000</v>
      </c>
      <c r="H10" s="88" t="s">
        <v>136</v>
      </c>
      <c r="I10" s="101">
        <v>0.3</v>
      </c>
    </row>
    <row r="11" spans="1:82" ht="54" x14ac:dyDescent="0.3">
      <c r="B11" s="88" t="s">
        <v>137</v>
      </c>
      <c r="C11" s="65">
        <f>643390*1.0928</f>
        <v>703096.59199999995</v>
      </c>
      <c r="D11" s="90" t="s">
        <v>138</v>
      </c>
      <c r="E11" s="101">
        <f>+(0.3+0.5)/2</f>
        <v>0.4</v>
      </c>
      <c r="F11" s="90" t="s">
        <v>139</v>
      </c>
      <c r="G11" s="70">
        <v>15000000</v>
      </c>
      <c r="H11" s="102" t="s">
        <v>140</v>
      </c>
      <c r="I11" s="98">
        <f>+I7-(I7*I10)</f>
        <v>2370.1999999999998</v>
      </c>
    </row>
    <row r="12" spans="1:82" ht="112.5" customHeight="1" x14ac:dyDescent="0.3">
      <c r="B12" s="90" t="s">
        <v>141</v>
      </c>
      <c r="C12" s="79">
        <f>19%*60%</f>
        <v>0.11399999999999999</v>
      </c>
      <c r="D12" s="102" t="s">
        <v>140</v>
      </c>
      <c r="E12" s="98">
        <f>+E5-(E5*E11)</f>
        <v>13.2</v>
      </c>
      <c r="F12" s="90" t="s">
        <v>142</v>
      </c>
      <c r="G12" s="70">
        <v>20000000</v>
      </c>
      <c r="H12" s="102" t="s">
        <v>143</v>
      </c>
      <c r="I12" s="99">
        <f>+I11*I6</f>
        <v>2015570.6759999997</v>
      </c>
    </row>
    <row r="13" spans="1:82" ht="36" x14ac:dyDescent="0.3">
      <c r="B13" s="94" t="s">
        <v>144</v>
      </c>
      <c r="C13" s="80">
        <f>+C11*3</f>
        <v>2109289.7759999996</v>
      </c>
      <c r="D13" s="92" t="s">
        <v>145</v>
      </c>
      <c r="E13" s="99">
        <f>+(E12*($I$19*2)+$I$18)/2</f>
        <v>54833.548000000003</v>
      </c>
      <c r="F13" s="90" t="s">
        <v>146</v>
      </c>
      <c r="G13" s="81">
        <f>+G12+G11+G10</f>
        <v>45000000</v>
      </c>
      <c r="H13" s="102" t="s">
        <v>147</v>
      </c>
      <c r="I13" s="99">
        <f>+I8-I12</f>
        <v>863816.00400000042</v>
      </c>
    </row>
    <row r="14" spans="1:82" ht="36" x14ac:dyDescent="0.3">
      <c r="B14" s="88" t="s">
        <v>148</v>
      </c>
      <c r="C14" s="65">
        <f>+C11*C12</f>
        <v>80153.011487999989</v>
      </c>
      <c r="D14" s="92" t="s">
        <v>147</v>
      </c>
      <c r="E14" s="99">
        <f>+E6-E13</f>
        <v>32033.451999999997</v>
      </c>
      <c r="F14" s="112" t="s">
        <v>149</v>
      </c>
      <c r="G14" s="82">
        <f>+G13+G7</f>
        <v>80000000</v>
      </c>
      <c r="H14" s="112" t="s">
        <v>150</v>
      </c>
      <c r="I14" s="113">
        <f>+I13*12</f>
        <v>10365792.048000004</v>
      </c>
    </row>
    <row r="15" spans="1:82" ht="36" x14ac:dyDescent="0.3">
      <c r="B15" s="90" t="s">
        <v>151</v>
      </c>
      <c r="C15" s="80">
        <f>+C11-C14</f>
        <v>622943.58051200002</v>
      </c>
      <c r="D15" s="103" t="s">
        <v>150</v>
      </c>
      <c r="E15" s="104">
        <f>+E14*12</f>
        <v>384401.424</v>
      </c>
      <c r="F15" s="253" t="s">
        <v>152</v>
      </c>
      <c r="G15" s="252"/>
      <c r="H15" s="90"/>
      <c r="I15" s="98"/>
    </row>
    <row r="16" spans="1:82" ht="42.75" customHeight="1" x14ac:dyDescent="0.3">
      <c r="B16" s="90" t="s">
        <v>153</v>
      </c>
      <c r="C16" s="80">
        <f>+C15*3</f>
        <v>1868830.741536</v>
      </c>
      <c r="D16" s="236" t="s">
        <v>154</v>
      </c>
      <c r="E16" s="237"/>
      <c r="F16" s="226" t="s">
        <v>155</v>
      </c>
      <c r="G16" s="242"/>
      <c r="H16" s="243" t="s">
        <v>156</v>
      </c>
      <c r="I16" s="244"/>
    </row>
    <row r="17" spans="2:9" ht="30.75" customHeight="1" x14ac:dyDescent="0.3">
      <c r="B17" s="92" t="s">
        <v>147</v>
      </c>
      <c r="C17" s="80">
        <f>+C13-C16</f>
        <v>240459.03446399956</v>
      </c>
      <c r="D17" s="90" t="s">
        <v>157</v>
      </c>
      <c r="E17" s="98">
        <v>136</v>
      </c>
      <c r="F17" s="226" t="s">
        <v>158</v>
      </c>
      <c r="G17" s="242"/>
      <c r="H17" s="115" t="s">
        <v>159</v>
      </c>
      <c r="I17" s="98"/>
    </row>
    <row r="18" spans="2:9" ht="37" thickBot="1" x14ac:dyDescent="0.35">
      <c r="B18" s="95" t="s">
        <v>160</v>
      </c>
      <c r="C18" s="97">
        <f>+(C17*12)*100</f>
        <v>288550841.35679948</v>
      </c>
      <c r="D18" s="90" t="s">
        <v>161</v>
      </c>
      <c r="E18" s="98">
        <f>+E17*I6</f>
        <v>115651.68</v>
      </c>
      <c r="F18" s="90"/>
      <c r="G18" s="63"/>
      <c r="H18" s="88" t="s">
        <v>162</v>
      </c>
      <c r="I18" s="98">
        <f>(9195.79+4370.95)</f>
        <v>13566.740000000002</v>
      </c>
    </row>
    <row r="19" spans="2:9" ht="102.75" customHeight="1" x14ac:dyDescent="0.3">
      <c r="B19" s="63"/>
      <c r="D19" s="234" t="s">
        <v>118</v>
      </c>
      <c r="E19" s="235"/>
      <c r="F19" s="234" t="s">
        <v>163</v>
      </c>
      <c r="G19" s="254"/>
      <c r="H19" s="111" t="s">
        <v>164</v>
      </c>
      <c r="I19" s="98">
        <f>+((3519.02+3761.31)/2)</f>
        <v>3640.165</v>
      </c>
    </row>
    <row r="20" spans="2:9" ht="102.75" customHeight="1" x14ac:dyDescent="0.3">
      <c r="B20" s="63"/>
      <c r="D20" s="90">
        <v>1</v>
      </c>
      <c r="E20" s="93" t="s">
        <v>165</v>
      </c>
      <c r="F20" s="100"/>
      <c r="G20" s="77"/>
      <c r="H20" s="90" t="s">
        <v>166</v>
      </c>
      <c r="I20" s="122">
        <f>(164898-I18)/I19</f>
        <v>41.572637504069185</v>
      </c>
    </row>
    <row r="21" spans="2:9" ht="72" x14ac:dyDescent="0.3">
      <c r="B21" s="83"/>
      <c r="D21" s="90">
        <v>2</v>
      </c>
      <c r="E21" s="93" t="s">
        <v>167</v>
      </c>
      <c r="F21" s="248" t="s">
        <v>168</v>
      </c>
      <c r="G21" s="249"/>
      <c r="H21" s="102" t="s">
        <v>169</v>
      </c>
      <c r="I21" s="123">
        <f>+I20*($I$19*2)+$I$18</f>
        <v>316229.26</v>
      </c>
    </row>
    <row r="22" spans="2:9" ht="90" x14ac:dyDescent="0.3">
      <c r="D22" s="90">
        <v>3</v>
      </c>
      <c r="E22" s="93" t="s">
        <v>170</v>
      </c>
      <c r="F22" s="115" t="s">
        <v>171</v>
      </c>
      <c r="H22" s="120" t="s">
        <v>132</v>
      </c>
      <c r="I22" s="93" t="s">
        <v>172</v>
      </c>
    </row>
    <row r="23" spans="2:9" ht="36" x14ac:dyDescent="0.3">
      <c r="D23" s="90" t="s">
        <v>138</v>
      </c>
      <c r="E23" s="101">
        <f>+(0.8+0.3+0.1)/3</f>
        <v>0.40000000000000008</v>
      </c>
      <c r="F23" s="110" t="s">
        <v>107</v>
      </c>
      <c r="G23" s="70">
        <f>+(500000+200000)/2</f>
        <v>350000</v>
      </c>
      <c r="H23" s="88" t="s">
        <v>136</v>
      </c>
      <c r="I23" s="101">
        <v>0.2</v>
      </c>
    </row>
    <row r="24" spans="2:9" ht="18" x14ac:dyDescent="0.3">
      <c r="D24" s="102" t="s">
        <v>140</v>
      </c>
      <c r="E24" s="98">
        <f>+E17-(E17*E23)</f>
        <v>81.599999999999994</v>
      </c>
      <c r="F24" s="111" t="s">
        <v>114</v>
      </c>
      <c r="G24" s="78">
        <v>100</v>
      </c>
      <c r="H24" s="102" t="s">
        <v>140</v>
      </c>
      <c r="I24" s="122">
        <f>+I20-(I20*I23)</f>
        <v>33.258110003255346</v>
      </c>
    </row>
    <row r="25" spans="2:9" ht="36" x14ac:dyDescent="0.3">
      <c r="D25" s="102" t="s">
        <v>143</v>
      </c>
      <c r="E25" s="99">
        <f>+E24*I6</f>
        <v>69391.008000000002</v>
      </c>
      <c r="F25" s="102" t="s">
        <v>173</v>
      </c>
      <c r="G25" s="70">
        <f>+G24*G23</f>
        <v>35000000</v>
      </c>
      <c r="H25" s="102" t="s">
        <v>174</v>
      </c>
      <c r="I25" s="123">
        <f>+I24*(I19*2)+I18</f>
        <v>255696.75599999999</v>
      </c>
    </row>
    <row r="26" spans="2:9" ht="16.5" customHeight="1" x14ac:dyDescent="0.3">
      <c r="D26" s="92" t="s">
        <v>147</v>
      </c>
      <c r="E26" s="99">
        <f>+E18-E25</f>
        <v>46260.671999999991</v>
      </c>
      <c r="F26" s="115" t="s">
        <v>175</v>
      </c>
      <c r="G26" s="76"/>
      <c r="H26" s="102" t="s">
        <v>147</v>
      </c>
      <c r="I26" s="123">
        <f>+I21-I25</f>
        <v>60532.504000000015</v>
      </c>
    </row>
    <row r="27" spans="2:9" ht="18" x14ac:dyDescent="0.3">
      <c r="D27" s="103" t="s">
        <v>150</v>
      </c>
      <c r="E27" s="104">
        <f>+E26*12</f>
        <v>555128.0639999999</v>
      </c>
      <c r="F27" s="110" t="s">
        <v>107</v>
      </c>
      <c r="G27" s="70">
        <v>200000</v>
      </c>
      <c r="H27" s="112" t="s">
        <v>150</v>
      </c>
      <c r="I27" s="113">
        <f>+I26*12</f>
        <v>726390.04800000018</v>
      </c>
    </row>
    <row r="28" spans="2:9" x14ac:dyDescent="0.3">
      <c r="D28" s="236" t="s">
        <v>176</v>
      </c>
      <c r="E28" s="237"/>
      <c r="F28" s="111" t="s">
        <v>114</v>
      </c>
      <c r="G28" s="78">
        <v>100</v>
      </c>
      <c r="H28" s="243" t="s">
        <v>177</v>
      </c>
      <c r="I28" s="244"/>
    </row>
    <row r="29" spans="2:9" ht="33" customHeight="1" x14ac:dyDescent="0.3">
      <c r="D29" s="92" t="s">
        <v>178</v>
      </c>
      <c r="E29" s="105">
        <v>25000</v>
      </c>
      <c r="F29" s="102" t="s">
        <v>179</v>
      </c>
      <c r="G29" s="70">
        <f>+G28*G27</f>
        <v>20000000</v>
      </c>
      <c r="H29" s="102" t="s">
        <v>178</v>
      </c>
      <c r="I29" s="98">
        <v>25000</v>
      </c>
    </row>
    <row r="30" spans="2:9" ht="72" x14ac:dyDescent="0.3">
      <c r="D30" s="234" t="s">
        <v>118</v>
      </c>
      <c r="E30" s="235"/>
      <c r="F30" s="115" t="s">
        <v>180</v>
      </c>
      <c r="G30" s="76"/>
      <c r="H30" s="120" t="s">
        <v>132</v>
      </c>
      <c r="I30" s="93" t="s">
        <v>181</v>
      </c>
    </row>
    <row r="31" spans="2:9" ht="53.25" customHeight="1" x14ac:dyDescent="0.3">
      <c r="D31" s="90">
        <v>1</v>
      </c>
      <c r="E31" s="93" t="s">
        <v>182</v>
      </c>
      <c r="F31" s="110" t="s">
        <v>107</v>
      </c>
      <c r="G31" s="70">
        <v>150000</v>
      </c>
      <c r="H31" s="88" t="s">
        <v>136</v>
      </c>
      <c r="I31" s="101">
        <v>0.1</v>
      </c>
    </row>
    <row r="32" spans="2:9" ht="44.25" customHeight="1" x14ac:dyDescent="0.3">
      <c r="D32" s="90">
        <v>2</v>
      </c>
      <c r="E32" s="93" t="s">
        <v>183</v>
      </c>
      <c r="F32" s="111" t="s">
        <v>114</v>
      </c>
      <c r="G32" s="78">
        <v>100</v>
      </c>
      <c r="H32" s="102" t="s">
        <v>184</v>
      </c>
      <c r="I32" s="98">
        <f>+I29-(I29*I31)</f>
        <v>22500</v>
      </c>
    </row>
    <row r="33" spans="4:9" ht="33" customHeight="1" x14ac:dyDescent="0.3">
      <c r="D33" s="88" t="s">
        <v>136</v>
      </c>
      <c r="E33" s="101">
        <v>0.1</v>
      </c>
      <c r="F33" s="102" t="s">
        <v>185</v>
      </c>
      <c r="G33" s="70">
        <f>+G32*G31</f>
        <v>15000000</v>
      </c>
      <c r="H33" s="102" t="s">
        <v>147</v>
      </c>
      <c r="I33" s="123">
        <f>+I29-I32</f>
        <v>2500</v>
      </c>
    </row>
    <row r="34" spans="4:9" ht="18" x14ac:dyDescent="0.3">
      <c r="D34" s="92" t="s">
        <v>184</v>
      </c>
      <c r="E34" s="105">
        <v>22500</v>
      </c>
      <c r="F34" s="115" t="s">
        <v>186</v>
      </c>
      <c r="G34" s="76"/>
      <c r="H34" s="112" t="s">
        <v>150</v>
      </c>
      <c r="I34" s="113">
        <f>+I33*12</f>
        <v>30000</v>
      </c>
    </row>
    <row r="35" spans="4:9" ht="24.75" customHeight="1" x14ac:dyDescent="0.3">
      <c r="D35" s="92" t="s">
        <v>147</v>
      </c>
      <c r="E35" s="106">
        <v>2500</v>
      </c>
      <c r="F35" s="110" t="s">
        <v>107</v>
      </c>
      <c r="G35" s="70">
        <v>300000</v>
      </c>
      <c r="H35" s="88"/>
      <c r="I35" s="98"/>
    </row>
    <row r="36" spans="4:9" ht="40.5" customHeight="1" x14ac:dyDescent="0.3">
      <c r="D36" s="103" t="s">
        <v>150</v>
      </c>
      <c r="E36" s="104">
        <v>30000</v>
      </c>
      <c r="F36" s="111" t="s">
        <v>114</v>
      </c>
      <c r="G36" s="78">
        <v>100</v>
      </c>
      <c r="H36" s="112" t="s">
        <v>187</v>
      </c>
      <c r="I36" s="113">
        <f>+I34+I27+I14</f>
        <v>11122182.096000005</v>
      </c>
    </row>
    <row r="37" spans="4:9" ht="45.75" customHeight="1" x14ac:dyDescent="0.3">
      <c r="D37" s="88"/>
      <c r="E37" s="98"/>
      <c r="F37" s="102" t="s">
        <v>188</v>
      </c>
      <c r="G37" s="70">
        <f>+G36*G35</f>
        <v>30000000</v>
      </c>
      <c r="H37" s="88"/>
      <c r="I37" s="98"/>
    </row>
    <row r="38" spans="4:9" ht="36" x14ac:dyDescent="0.3">
      <c r="D38" s="103" t="s">
        <v>189</v>
      </c>
      <c r="E38" s="104">
        <f>+E36+E27+E15</f>
        <v>969529.4879999999</v>
      </c>
      <c r="F38" s="112" t="s">
        <v>190</v>
      </c>
      <c r="G38" s="82">
        <f>+G37+G33+G29+G25</f>
        <v>100000000</v>
      </c>
      <c r="H38" s="232" t="s">
        <v>152</v>
      </c>
      <c r="I38" s="245"/>
    </row>
    <row r="39" spans="4:9" ht="29.25" customHeight="1" x14ac:dyDescent="0.3">
      <c r="D39" s="236" t="s">
        <v>191</v>
      </c>
      <c r="E39" s="237"/>
      <c r="F39" s="90"/>
      <c r="H39" s="226" t="s">
        <v>214</v>
      </c>
      <c r="I39" s="246"/>
    </row>
    <row r="40" spans="4:9" ht="15" customHeight="1" x14ac:dyDescent="0.3">
      <c r="D40" s="103" t="s">
        <v>192</v>
      </c>
      <c r="E40" s="104">
        <f>+E38*100</f>
        <v>96952948.799999982</v>
      </c>
      <c r="F40" s="232" t="s">
        <v>152</v>
      </c>
      <c r="G40" s="252"/>
      <c r="H40" s="226" t="s">
        <v>215</v>
      </c>
      <c r="I40" s="246"/>
    </row>
    <row r="41" spans="4:9" ht="49.5" customHeight="1" x14ac:dyDescent="0.3">
      <c r="D41" s="232" t="s">
        <v>152</v>
      </c>
      <c r="E41" s="233"/>
      <c r="F41" s="226" t="s">
        <v>193</v>
      </c>
      <c r="G41" s="242"/>
      <c r="H41" s="226" t="s">
        <v>216</v>
      </c>
      <c r="I41" s="246"/>
    </row>
    <row r="42" spans="4:9" ht="20.25" customHeight="1" x14ac:dyDescent="0.3">
      <c r="D42" s="226"/>
      <c r="E42" s="227"/>
      <c r="F42" s="226" t="s">
        <v>194</v>
      </c>
      <c r="G42" s="242"/>
      <c r="H42" s="226" t="s">
        <v>195</v>
      </c>
      <c r="I42" s="246"/>
    </row>
    <row r="43" spans="4:9" ht="33" customHeight="1" x14ac:dyDescent="0.3">
      <c r="D43" s="226" t="s">
        <v>203</v>
      </c>
      <c r="E43" s="227"/>
      <c r="F43" s="226" t="s">
        <v>196</v>
      </c>
      <c r="G43" s="242"/>
      <c r="H43" s="226" t="s">
        <v>197</v>
      </c>
      <c r="I43" s="246"/>
    </row>
    <row r="44" spans="4:9" ht="52.5" customHeight="1" x14ac:dyDescent="0.3">
      <c r="D44" s="226" t="s">
        <v>204</v>
      </c>
      <c r="E44" s="227"/>
      <c r="F44" s="226" t="s">
        <v>198</v>
      </c>
      <c r="G44" s="242"/>
      <c r="H44" s="257" t="s">
        <v>199</v>
      </c>
      <c r="I44" s="258"/>
    </row>
    <row r="45" spans="4:9" ht="18" thickBot="1" x14ac:dyDescent="0.35">
      <c r="D45" s="226" t="s">
        <v>205</v>
      </c>
      <c r="E45" s="227"/>
      <c r="F45" s="107"/>
      <c r="G45" s="117"/>
      <c r="H45" s="226" t="s">
        <v>200</v>
      </c>
      <c r="I45" s="246"/>
    </row>
    <row r="46" spans="4:9" ht="49.5" customHeight="1" x14ac:dyDescent="0.3">
      <c r="D46" s="226" t="s">
        <v>206</v>
      </c>
      <c r="E46" s="227"/>
      <c r="H46" s="226" t="s">
        <v>201</v>
      </c>
      <c r="I46" s="246"/>
    </row>
    <row r="47" spans="4:9" ht="46.5" customHeight="1" thickBot="1" x14ac:dyDescent="0.35">
      <c r="D47" s="226" t="s">
        <v>207</v>
      </c>
      <c r="E47" s="227"/>
      <c r="H47" s="255" t="s">
        <v>202</v>
      </c>
      <c r="I47" s="256"/>
    </row>
    <row r="48" spans="4:9" ht="39.75" customHeight="1" thickBot="1" x14ac:dyDescent="0.35">
      <c r="D48" s="107"/>
      <c r="E48" s="108"/>
    </row>
    <row r="49" ht="41.25" customHeight="1" x14ac:dyDescent="0.3"/>
    <row r="50" ht="65.25" customHeight="1" x14ac:dyDescent="0.3"/>
    <row r="51" ht="41.25" customHeight="1" x14ac:dyDescent="0.3"/>
    <row r="53" ht="36" customHeight="1" x14ac:dyDescent="0.3"/>
    <row r="54" ht="33" customHeight="1" x14ac:dyDescent="0.3"/>
  </sheetData>
  <mergeCells count="50">
    <mergeCell ref="H46:I46"/>
    <mergeCell ref="H47:I47"/>
    <mergeCell ref="H41:I41"/>
    <mergeCell ref="H42:I42"/>
    <mergeCell ref="H43:I43"/>
    <mergeCell ref="H44:I44"/>
    <mergeCell ref="H45:I45"/>
    <mergeCell ref="F42:G42"/>
    <mergeCell ref="F43:G43"/>
    <mergeCell ref="F44:G44"/>
    <mergeCell ref="F21:G21"/>
    <mergeCell ref="D3:E3"/>
    <mergeCell ref="D16:E16"/>
    <mergeCell ref="F9:G9"/>
    <mergeCell ref="F8:G8"/>
    <mergeCell ref="F4:G4"/>
    <mergeCell ref="F16:G16"/>
    <mergeCell ref="F40:G40"/>
    <mergeCell ref="F17:G17"/>
    <mergeCell ref="F15:G15"/>
    <mergeCell ref="F19:G19"/>
    <mergeCell ref="F3:G3"/>
    <mergeCell ref="D1:E1"/>
    <mergeCell ref="J1:K1"/>
    <mergeCell ref="D4:E4"/>
    <mergeCell ref="D7:E7"/>
    <mergeCell ref="F41:G41"/>
    <mergeCell ref="H4:I4"/>
    <mergeCell ref="H3:I3"/>
    <mergeCell ref="H5:I5"/>
    <mergeCell ref="H16:I16"/>
    <mergeCell ref="H28:I28"/>
    <mergeCell ref="H38:I38"/>
    <mergeCell ref="H39:I39"/>
    <mergeCell ref="H40:I40"/>
    <mergeCell ref="F1:G1"/>
    <mergeCell ref="D46:E46"/>
    <mergeCell ref="D47:E47"/>
    <mergeCell ref="B3:C5"/>
    <mergeCell ref="B6:C7"/>
    <mergeCell ref="B9:C10"/>
    <mergeCell ref="D41:E41"/>
    <mergeCell ref="D42:E42"/>
    <mergeCell ref="D43:E43"/>
    <mergeCell ref="D44:E44"/>
    <mergeCell ref="D45:E45"/>
    <mergeCell ref="D19:E19"/>
    <mergeCell ref="D28:E28"/>
    <mergeCell ref="D30:E30"/>
    <mergeCell ref="D39:E39"/>
  </mergeCells>
  <hyperlinks>
    <hyperlink ref="C2" r:id="rId1" xr:uid="{056CCBED-814D-4D00-A50F-F57096D1172E}"/>
    <hyperlink ref="C8" r:id="rId2" xr:uid="{B80491FA-D898-41DD-A32D-11F1BBA24FDF}"/>
    <hyperlink ref="E8" r:id="rId3" xr:uid="{A79F7753-7EC3-4CC8-B70D-19F644EAF844}"/>
    <hyperlink ref="E9" r:id="rId4" xr:uid="{18B91BC7-CE28-4756-B767-DA3864AA4D1E}"/>
    <hyperlink ref="E10" r:id="rId5" xr:uid="{5719CAEC-EB49-4D19-8C13-08AF9FAA4DC1}"/>
    <hyperlink ref="E20" r:id="rId6" xr:uid="{475672D1-08F3-4946-9565-444EF7F1FF9F}"/>
    <hyperlink ref="E21" r:id="rId7" xr:uid="{2AB9A6E1-08FF-46E4-8F78-37D4267A1822}"/>
    <hyperlink ref="E22" r:id="rId8" xr:uid="{F8731630-350A-40FF-A678-11B8CE4836F1}"/>
    <hyperlink ref="E31" r:id="rId9" xr:uid="{EA9846CC-32B4-4A49-A9FE-9D482E9F7C78}"/>
    <hyperlink ref="E32" r:id="rId10" xr:uid="{CDEB1C6E-FF2D-46C9-9032-DCB9E90FFC4E}"/>
    <hyperlink ref="D43" r:id="rId11" xr:uid="{85F0D2D4-242B-470A-A47A-2AFACC2692C3}"/>
    <hyperlink ref="D44" r:id="rId12" xr:uid="{648CF467-F821-4E2E-BA33-AA783C89C00E}"/>
    <hyperlink ref="D45" r:id="rId13" xr:uid="{C9E59B1C-F89C-4E4E-A885-F9F581433FBB}"/>
    <hyperlink ref="D46" r:id="rId14" xr:uid="{2055F47A-3072-420E-BB4F-499681E4820A}"/>
    <hyperlink ref="F41" r:id="rId15" xr:uid="{E9CBA330-41DF-4DCC-A016-5EE8BB2B6C7F}"/>
    <hyperlink ref="F42" r:id="rId16" xr:uid="{B9D70693-5AB5-4B1F-9389-05BE2DE84A0E}"/>
    <hyperlink ref="F43" r:id="rId17" xr:uid="{D0A1734E-657C-4246-9C5A-64DA3F25EB43}"/>
    <hyperlink ref="F44" r:id="rId18" xr:uid="{0B3A70AE-FBC4-4EB6-9CF4-7A32E74DC88E}"/>
    <hyperlink ref="I9" r:id="rId19" xr:uid="{67B5DB32-0A0F-4618-BB8B-D60BBA5F2B19}"/>
    <hyperlink ref="H17" r:id="rId20" xr:uid="{4E82DA7E-CD1A-43F4-AF82-5E0CC0F31E4B}"/>
    <hyperlink ref="I22" r:id="rId21" xr:uid="{3E56FB9D-3AA4-4E33-812B-D57E9BBE0D42}"/>
    <hyperlink ref="I30" r:id="rId22" xr:uid="{25AB2C6E-54F4-4299-B0BB-15484311D4B9}"/>
    <hyperlink ref="F22" r:id="rId23" xr:uid="{C2144F87-A960-4AEE-B9E6-9AA92ACABE59}"/>
    <hyperlink ref="F26" r:id="rId24" xr:uid="{4C5D9CE4-F7CC-49CD-9C2E-540868A5D3FA}"/>
    <hyperlink ref="F30" r:id="rId25" xr:uid="{B762FFB1-3ED5-4131-991C-6BB1BD93B708}"/>
    <hyperlink ref="F34" r:id="rId26" xr:uid="{80FED6DB-BA42-4829-B8B8-2190553111E3}"/>
    <hyperlink ref="H6" r:id="rId27" display="Costo $/kWh promedio estrato 4 (Bogotá-Cdmarca / Antioquia / Cali) " xr:uid="{05826A3E-6A5B-4C7C-9492-B602EB9B6196}"/>
    <hyperlink ref="H5" r:id="rId28" xr:uid="{751E0097-6D09-4435-AB3A-A480B221E962}"/>
    <hyperlink ref="H44" r:id="rId29" xr:uid="{C96E06C7-8DF7-45CA-B39F-1B40E6F145DC}"/>
    <hyperlink ref="H45" r:id="rId30" xr:uid="{FD0B8167-42AF-4E0F-B222-5BC1A937C711}"/>
    <hyperlink ref="H43" r:id="rId31" xr:uid="{8B1B2A7E-2284-44B5-902E-06E40408EA24}"/>
    <hyperlink ref="H46" r:id="rId32" display="https://www.acueducto.com.co/wps/portal/EAB2/Home/atencion-al-usuario/tarifas/tarifas_2024/!ut/p/z1/nZDBCoMwEES_xS_IGNOYqwmYFqkaS9DmIjmJ0NoeSr-_4qHUIla6t4U3sztDHGmIG_yz7_yjvw3-Mu5nx9tMcLrXguYiZjH4USUyS3WkS07qCeBGIRSgORhVMKdSVoVVYRky4rboMZsEsqIyAnRB_9F_Om3TrwBu3b4mbkLeDWieAsboBIKNQdjuG1ioaOHIvINfX9yv1toG_aELghd0kaj4/dz/d5/L2dBISEvZ0FBIS9nQSEh/" xr:uid="{0FA50D9A-8A5F-4F7F-9313-1130673B0414}"/>
    <hyperlink ref="H47" r:id="rId33" xr:uid="{963FE7F9-03A4-446F-B422-D9FBC482F0B2}"/>
    <hyperlink ref="K4" r:id="rId34" xr:uid="{F8126A2D-E0A4-4CBC-8DB4-829B3C59213F}"/>
    <hyperlink ref="K5" r:id="rId35" xr:uid="{07A5AB41-A79B-4361-B34F-4E713871A004}"/>
    <hyperlink ref="K6" r:id="rId36" location=":~:text=Ebbinghaus%20determin%C3%B3%20que%2C%20un%20d%C3%ADa,recordar%20solamente%20hasta%20un%203%25" xr:uid="{90CB1605-1B0A-4744-A143-802EEBECF437}"/>
    <hyperlink ref="H44:I44" r:id="rId37" display="https://observadorescol.org/wp-content/uploads/ObservadoresCol-Informe-Energetico-Colombiano-Marzo-5-2024.pdf" xr:uid="{42B0231F-FFEB-49DC-8161-AEC1EA29541F}"/>
    <hyperlink ref="D47" r:id="rId38" location=":~:text=El%20consumo%20promedio%20de%20una,en%20los%20ba%C3%B1os%20y%20duchas" xr:uid="{EB4F72A8-0D5D-47A1-8806-75B946A6FA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SROI</vt:lpstr>
      <vt:lpstr>MapaImpacto</vt:lpstr>
      <vt:lpstr>Análisis_Referencias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González</dc:creator>
  <cp:keywords/>
  <dc:description/>
  <cp:lastModifiedBy>Lisa Bartelsman Aristizabal</cp:lastModifiedBy>
  <cp:revision/>
  <dcterms:created xsi:type="dcterms:W3CDTF">2006-09-16T00:00:00Z</dcterms:created>
  <dcterms:modified xsi:type="dcterms:W3CDTF">2025-07-10T22:40:01Z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fc4922-3fd1-4789-82f2-615f80bb0c20_Enabled">
    <vt:lpwstr>true</vt:lpwstr>
  </property>
  <property fmtid="{D5CDD505-2E9C-101B-9397-08002B2CF9AE}" pid="3" name="MSIP_Label_8dfc4922-3fd1-4789-82f2-615f80bb0c20_SetDate">
    <vt:lpwstr>2024-12-05T02:03:32Z</vt:lpwstr>
  </property>
  <property fmtid="{D5CDD505-2E9C-101B-9397-08002B2CF9AE}" pid="4" name="MSIP_Label_8dfc4922-3fd1-4789-82f2-615f80bb0c20_Method">
    <vt:lpwstr>Privileged</vt:lpwstr>
  </property>
  <property fmtid="{D5CDD505-2E9C-101B-9397-08002B2CF9AE}" pid="5" name="MSIP_Label_8dfc4922-3fd1-4789-82f2-615f80bb0c20_Name">
    <vt:lpwstr>Public</vt:lpwstr>
  </property>
  <property fmtid="{D5CDD505-2E9C-101B-9397-08002B2CF9AE}" pid="6" name="MSIP_Label_8dfc4922-3fd1-4789-82f2-615f80bb0c20_SiteId">
    <vt:lpwstr>ca18acb0-3312-44f2-869d-5b01ed8bb47d</vt:lpwstr>
  </property>
  <property fmtid="{D5CDD505-2E9C-101B-9397-08002B2CF9AE}" pid="7" name="MSIP_Label_8dfc4922-3fd1-4789-82f2-615f80bb0c20_ActionId">
    <vt:lpwstr>18311428-9886-4931-961f-1a28521ff815</vt:lpwstr>
  </property>
  <property fmtid="{D5CDD505-2E9C-101B-9397-08002B2CF9AE}" pid="8" name="MSIP_Label_8dfc4922-3fd1-4789-82f2-615f80bb0c20_ContentBits">
    <vt:lpwstr>0</vt:lpwstr>
  </property>
</Properties>
</file>