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harts/chart3.xml" ContentType="application/vnd.openxmlformats-officedocument.drawingml.chart+xml"/>
  <Override PartName="/xl/comments7.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autoCompressPictures="0"/>
  <bookViews>
    <workbookView xWindow="29400" yWindow="-1815" windowWidth="15480" windowHeight="11640" tabRatio="946"/>
  </bookViews>
  <sheets>
    <sheet name="Valoraciones" sheetId="17" r:id="rId1"/>
    <sheet name="Tabla Comparación" sheetId="19" r:id="rId2"/>
    <sheet name="Proyecciones" sheetId="25" r:id="rId3"/>
    <sheet name="Balance" sheetId="1" r:id="rId4"/>
    <sheet name="Resultados" sheetId="2" r:id="rId5"/>
    <sheet name="Resultados%" sheetId="3" r:id="rId6"/>
    <sheet name="KWOp.%" sheetId="5" r:id="rId7"/>
    <sheet name="FCL" sheetId="9" r:id="rId8"/>
    <sheet name="Betas" sheetId="24" state="hidden" r:id="rId9"/>
    <sheet name="Returns by Year" sheetId="23" state="hidden" r:id="rId10"/>
    <sheet name="WACC" sheetId="22" r:id="rId11"/>
    <sheet name="PasivoFciero" sheetId="8" r:id="rId12"/>
    <sheet name="Sup Macroec" sheetId="28" r:id="rId13"/>
    <sheet name="Indicadores" sheetId="21" state="hidden" r:id="rId14"/>
    <sheet name="Historico Ingresos" sheetId="26" r:id="rId15"/>
    <sheet name="Anex Proyecc" sheetId="27" r:id="rId16"/>
    <sheet name="Proyecc Deuda" sheetId="29" r:id="rId17"/>
    <sheet name="Conv DTF" sheetId="34" state="hidden" r:id="rId18"/>
    <sheet name="CapitalFijo" sheetId="6" r:id="rId19"/>
    <sheet name="Impuestos" sheetId="7" r:id="rId20"/>
    <sheet name="Proyecc Imptos" sheetId="31" r:id="rId21"/>
    <sheet name="KWOp." sheetId="4" r:id="rId22"/>
    <sheet name="CreaciónVr." sheetId="11" r:id="rId23"/>
    <sheet name="AnalVr." sheetId="10" r:id="rId24"/>
    <sheet name="AnalVr.Proy." sheetId="15" r:id="rId25"/>
    <sheet name="Proy.Cifras" sheetId="13" r:id="rId26"/>
    <sheet name="VPN Cascada" sheetId="18" r:id="rId27"/>
    <sheet name="Libor" sheetId="30" state="hidden" r:id="rId28"/>
    <sheet name="Generadores" sheetId="12" state="hidden" r:id="rId29"/>
    <sheet name="Proy.WACC" sheetId="14" state="hidden" r:id="rId30"/>
    <sheet name="Proy.FCL" sheetId="16" state="hidden" r:id="rId31"/>
    <sheet name="Risk" sheetId="20" state="hidden" r:id="rId32"/>
    <sheet name="Links" sheetId="32" state="hidden" r:id="rId33"/>
  </sheets>
  <externalReferences>
    <externalReference r:id="rId34"/>
    <externalReference r:id="rId35"/>
  </externalReferences>
  <definedNames>
    <definedName name="AnalVr.">AnalVr.!$A$1</definedName>
    <definedName name="AnalVr.Proy.">AnalVr.Proy.!$A$1</definedName>
    <definedName name="_xlnm.Print_Area" localSheetId="25">Proy.Cifras!$A$1:$G$28</definedName>
    <definedName name="BG">Balance!$A$1</definedName>
    <definedName name="CapitalFijo">CapitalFijo!$A$1</definedName>
    <definedName name="CreaciónVr.">CreaciónVr.!$A$1</definedName>
    <definedName name="ER">Resultados!$A$1</definedName>
    <definedName name="FCL">FCL!$A$42</definedName>
    <definedName name="Generadores">Generadores!$A$1</definedName>
    <definedName name="HTML_CodePage" hidden="1">1252</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mptos.">Impuestos!$A$1</definedName>
    <definedName name="KWOp.">KWOp.!$A$1</definedName>
    <definedName name="PASIVOFCIERO">PasivoFciero!$A$1</definedName>
    <definedName name="Proy.Cifras">Proy.Cifras!$A$1</definedName>
    <definedName name="Proy.FCL">Proy.FCL!$A$1</definedName>
    <definedName name="Renete">#REF!</definedName>
    <definedName name="_xlnm.Print_Titles" localSheetId="7">FCL!$1:$4</definedName>
    <definedName name="_xlnm.Print_Titles" localSheetId="30">Proy.FCL!$1:$5</definedName>
    <definedName name="_xlnm.Print_Titles" localSheetId="0">Valoraciones!$1:$3</definedName>
    <definedName name="Valoraciones">Valoraciones!$A$1</definedName>
    <definedName name="WACC">Proy.WACC!$A$1</definedName>
  </definedNames>
  <calcPr calcId="125725"/>
</workbook>
</file>

<file path=xl/calcChain.xml><?xml version="1.0" encoding="utf-8"?>
<calcChain xmlns="http://schemas.openxmlformats.org/spreadsheetml/2006/main">
  <c r="B107" i="23"/>
  <c r="K5" i="28"/>
  <c r="J5"/>
  <c r="G36" i="25"/>
  <c r="H56" l="1"/>
  <c r="G56"/>
  <c r="I56"/>
  <c r="J56"/>
  <c r="K56"/>
  <c r="L56"/>
  <c r="C56"/>
  <c r="B56"/>
  <c r="I32" i="1"/>
  <c r="J32"/>
  <c r="K32"/>
  <c r="L32"/>
  <c r="M32"/>
  <c r="N32"/>
  <c r="O32"/>
  <c r="P32"/>
  <c r="B94" i="25"/>
  <c r="B87"/>
  <c r="B26" l="1"/>
  <c r="B37" l="1"/>
  <c r="B43" l="1"/>
  <c r="B38"/>
  <c r="G41" i="9"/>
  <c r="F41"/>
  <c r="E41"/>
  <c r="D41"/>
  <c r="C41"/>
  <c r="G54"/>
  <c r="F54"/>
  <c r="E54"/>
  <c r="D54"/>
  <c r="C54"/>
  <c r="C36" i="25"/>
  <c r="C37" s="1"/>
  <c r="A5" i="27"/>
  <c r="A19" s="1"/>
  <c r="D19" s="1"/>
  <c r="E6"/>
  <c r="E7"/>
  <c r="A8"/>
  <c r="A20" s="1"/>
  <c r="D20" s="1"/>
  <c r="E8"/>
  <c r="A9"/>
  <c r="A21" s="1"/>
  <c r="D21" s="1"/>
  <c r="E10"/>
  <c r="E11"/>
  <c r="A12"/>
  <c r="A22" s="1"/>
  <c r="D22" s="1"/>
  <c r="E13"/>
  <c r="E14"/>
  <c r="A15"/>
  <c r="A23" s="1"/>
  <c r="D23" s="1"/>
  <c r="E15"/>
  <c r="A16"/>
  <c r="A24" s="1"/>
  <c r="D24" s="1"/>
  <c r="E16"/>
  <c r="D32"/>
  <c r="D33" s="1"/>
  <c r="E33" s="1"/>
  <c r="H18" i="2"/>
  <c r="E66" i="27"/>
  <c r="F66" s="1"/>
  <c r="G66" s="1"/>
  <c r="B79"/>
  <c r="C79"/>
  <c r="D79"/>
  <c r="E81"/>
  <c r="F81" s="1"/>
  <c r="G81" s="1"/>
  <c r="H81" s="1"/>
  <c r="I81" s="1"/>
  <c r="J81" s="1"/>
  <c r="E67"/>
  <c r="F67" s="1"/>
  <c r="G67" s="1"/>
  <c r="H67" s="1"/>
  <c r="I67" s="1"/>
  <c r="J67" s="1"/>
  <c r="E68"/>
  <c r="F68" s="1"/>
  <c r="G68" s="1"/>
  <c r="H68" s="1"/>
  <c r="I68" s="1"/>
  <c r="J68" s="1"/>
  <c r="E69"/>
  <c r="F69" s="1"/>
  <c r="G69" s="1"/>
  <c r="H69" s="1"/>
  <c r="I69" s="1"/>
  <c r="J69" s="1"/>
  <c r="G7" i="6"/>
  <c r="B41" i="25"/>
  <c r="C41" s="1"/>
  <c r="D41" s="1"/>
  <c r="E41" s="1"/>
  <c r="F41" s="1"/>
  <c r="G41" s="1"/>
  <c r="H41" s="1"/>
  <c r="I41" s="1"/>
  <c r="J41" s="1"/>
  <c r="K41" s="1"/>
  <c r="L41" s="1"/>
  <c r="I45" i="1"/>
  <c r="J45" s="1"/>
  <c r="C15" i="2"/>
  <c r="C14" s="1"/>
  <c r="C17"/>
  <c r="C21" i="6" s="1"/>
  <c r="C22" s="1"/>
  <c r="C18" i="2"/>
  <c r="D15"/>
  <c r="D14" s="1"/>
  <c r="D17"/>
  <c r="D18"/>
  <c r="C9" i="21" s="1"/>
  <c r="E15" i="2"/>
  <c r="E14" s="1"/>
  <c r="E11" i="3" s="1"/>
  <c r="E17" i="2"/>
  <c r="E18"/>
  <c r="F15"/>
  <c r="F14" s="1"/>
  <c r="F17"/>
  <c r="F18"/>
  <c r="G15"/>
  <c r="G14" s="1"/>
  <c r="G17"/>
  <c r="G21" i="6" s="1"/>
  <c r="G18" i="2"/>
  <c r="I46" i="1"/>
  <c r="C9" i="2"/>
  <c r="C7" s="1"/>
  <c r="D9"/>
  <c r="D7" s="1"/>
  <c r="C16" i="21" s="1"/>
  <c r="C17" s="1"/>
  <c r="E9" i="2"/>
  <c r="E7" s="1"/>
  <c r="F9"/>
  <c r="F7" s="1"/>
  <c r="F7" i="3" s="1"/>
  <c r="G9" i="2"/>
  <c r="G7" s="1"/>
  <c r="I48" i="1"/>
  <c r="J48" s="1"/>
  <c r="K48" s="1"/>
  <c r="L48" s="1"/>
  <c r="M48" s="1"/>
  <c r="N48" s="1"/>
  <c r="O48" s="1"/>
  <c r="P48" s="1"/>
  <c r="Q48" s="1"/>
  <c r="R48" s="1"/>
  <c r="S48" s="1"/>
  <c r="B46" i="25"/>
  <c r="I47" i="1"/>
  <c r="J47" s="1"/>
  <c r="K47" s="1"/>
  <c r="L47" s="1"/>
  <c r="M47" s="1"/>
  <c r="N47" s="1"/>
  <c r="O47" s="1"/>
  <c r="P47" s="1"/>
  <c r="Q47" s="1"/>
  <c r="H9" i="4"/>
  <c r="G8" i="5" s="1"/>
  <c r="H10" i="4"/>
  <c r="G9" i="5" s="1"/>
  <c r="H11" i="4"/>
  <c r="H12"/>
  <c r="G11" i="5" s="1"/>
  <c r="H13" i="4"/>
  <c r="G12" i="5" s="1"/>
  <c r="H17" i="4"/>
  <c r="G16" i="5" s="1"/>
  <c r="H18" i="4"/>
  <c r="H19"/>
  <c r="H20"/>
  <c r="G19" i="5" s="1"/>
  <c r="F41" i="31"/>
  <c r="F42" s="1"/>
  <c r="G6" i="6"/>
  <c r="B58" i="27"/>
  <c r="B60" s="1"/>
  <c r="C58"/>
  <c r="C60" s="1"/>
  <c r="D58"/>
  <c r="D60" s="1"/>
  <c r="C9" i="22"/>
  <c r="D9" s="1"/>
  <c r="H27"/>
  <c r="I59" i="1"/>
  <c r="J59" s="1"/>
  <c r="F6" i="27"/>
  <c r="F7"/>
  <c r="F8"/>
  <c r="F10"/>
  <c r="F11"/>
  <c r="F13"/>
  <c r="F14"/>
  <c r="F15"/>
  <c r="F16"/>
  <c r="F29"/>
  <c r="I18" i="2"/>
  <c r="G6" i="27"/>
  <c r="G8"/>
  <c r="G10"/>
  <c r="G13"/>
  <c r="G14"/>
  <c r="G15"/>
  <c r="G16"/>
  <c r="H6"/>
  <c r="H8"/>
  <c r="H10"/>
  <c r="H13"/>
  <c r="H14"/>
  <c r="H15"/>
  <c r="H16"/>
  <c r="I6"/>
  <c r="I8"/>
  <c r="I10"/>
  <c r="I13"/>
  <c r="I14"/>
  <c r="I15"/>
  <c r="I16"/>
  <c r="J6"/>
  <c r="J8"/>
  <c r="J10"/>
  <c r="J13"/>
  <c r="J14"/>
  <c r="J15"/>
  <c r="J16"/>
  <c r="G7" i="7"/>
  <c r="F7"/>
  <c r="E7"/>
  <c r="D7"/>
  <c r="Q16" i="12"/>
  <c r="F56" i="25"/>
  <c r="E56"/>
  <c r="D56"/>
  <c r="Q15" i="12"/>
  <c r="Q14"/>
  <c r="K45" i="1"/>
  <c r="L45" s="1"/>
  <c r="M45" s="1"/>
  <c r="N45" s="1"/>
  <c r="O45" s="1"/>
  <c r="P45" s="1"/>
  <c r="Q45" s="1"/>
  <c r="R45" s="1"/>
  <c r="S45" s="1"/>
  <c r="Q12" i="12"/>
  <c r="R47" i="1"/>
  <c r="S47" s="1"/>
  <c r="I60"/>
  <c r="J60" s="1"/>
  <c r="K60" s="1"/>
  <c r="L60" s="1"/>
  <c r="M60" s="1"/>
  <c r="N60" s="1"/>
  <c r="O60" s="1"/>
  <c r="P60" s="1"/>
  <c r="Q60" s="1"/>
  <c r="R60" s="1"/>
  <c r="S60" s="1"/>
  <c r="Q11" i="12"/>
  <c r="Q10"/>
  <c r="C4" i="5"/>
  <c r="C4" i="10" s="1"/>
  <c r="D83" i="27"/>
  <c r="C83"/>
  <c r="B83"/>
  <c r="H76"/>
  <c r="G76"/>
  <c r="F76"/>
  <c r="E76"/>
  <c r="B71"/>
  <c r="C73"/>
  <c r="D73" s="1"/>
  <c r="E73" s="1"/>
  <c r="F73" s="1"/>
  <c r="G73" s="1"/>
  <c r="H73" s="1"/>
  <c r="I73" s="1"/>
  <c r="J73" s="1"/>
  <c r="K73" s="1"/>
  <c r="L73" s="1"/>
  <c r="M73" s="1"/>
  <c r="N73" s="1"/>
  <c r="O73" s="1"/>
  <c r="C71"/>
  <c r="D71"/>
  <c r="C65"/>
  <c r="D65" s="1"/>
  <c r="E65" s="1"/>
  <c r="F65" s="1"/>
  <c r="G65" s="1"/>
  <c r="H65" s="1"/>
  <c r="I65" s="1"/>
  <c r="J65" s="1"/>
  <c r="K65" s="1"/>
  <c r="L65" s="1"/>
  <c r="M65" s="1"/>
  <c r="N65" s="1"/>
  <c r="O65" s="1"/>
  <c r="E9" i="4"/>
  <c r="D8" i="5" s="1"/>
  <c r="E12" i="4"/>
  <c r="D11" i="5" s="1"/>
  <c r="E17" i="4"/>
  <c r="E18"/>
  <c r="D17" i="5" s="1"/>
  <c r="E19" i="4"/>
  <c r="D18" i="5" s="1"/>
  <c r="E20" i="4"/>
  <c r="E29"/>
  <c r="D17" i="7" s="1"/>
  <c r="D7" i="6"/>
  <c r="H29" i="4"/>
  <c r="G17" i="7" s="1"/>
  <c r="G9" i="4"/>
  <c r="F8" i="5" s="1"/>
  <c r="G12" i="4"/>
  <c r="G13"/>
  <c r="F12" i="5" s="1"/>
  <c r="G17" i="4"/>
  <c r="G18"/>
  <c r="F17" i="5" s="1"/>
  <c r="G19" i="4"/>
  <c r="F18" i="5" s="1"/>
  <c r="G20" i="4"/>
  <c r="G29"/>
  <c r="F26" i="5" s="1"/>
  <c r="F6" i="6"/>
  <c r="F7"/>
  <c r="G11" s="1"/>
  <c r="G8" i="9" s="1"/>
  <c r="F9" i="4"/>
  <c r="E8" i="5" s="1"/>
  <c r="F12" i="4"/>
  <c r="E11" i="5" s="1"/>
  <c r="F17" i="4"/>
  <c r="F18"/>
  <c r="E17" i="5" s="1"/>
  <c r="F19" i="4"/>
  <c r="E18" i="5" s="1"/>
  <c r="E20" s="1"/>
  <c r="F20" i="4"/>
  <c r="E19" i="5" s="1"/>
  <c r="F29" i="4"/>
  <c r="E6" i="6"/>
  <c r="D15" i="12" s="1"/>
  <c r="E7" i="6"/>
  <c r="E11" s="1"/>
  <c r="D9" i="4"/>
  <c r="C8" i="5" s="1"/>
  <c r="D10" i="4"/>
  <c r="D12"/>
  <c r="C11" i="5" s="1"/>
  <c r="D17" i="4"/>
  <c r="C16" i="5" s="1"/>
  <c r="D19" i="4"/>
  <c r="C18" i="5" s="1"/>
  <c r="D20" i="4"/>
  <c r="C19" i="5" s="1"/>
  <c r="D29" i="4"/>
  <c r="C17" i="7" s="1"/>
  <c r="C18" s="1"/>
  <c r="C7" i="6"/>
  <c r="C11" s="1"/>
  <c r="G61" i="9"/>
  <c r="G62"/>
  <c r="E21" i="6"/>
  <c r="E22" s="1"/>
  <c r="E14" i="21"/>
  <c r="E15" s="1"/>
  <c r="H8" i="8"/>
  <c r="H10"/>
  <c r="H14"/>
  <c r="H16"/>
  <c r="D41" i="27"/>
  <c r="E41" s="1"/>
  <c r="D43"/>
  <c r="E43" s="1"/>
  <c r="H9" i="8"/>
  <c r="H15"/>
  <c r="G21" i="7"/>
  <c r="G23" s="1"/>
  <c r="E41" i="31"/>
  <c r="E42" s="1"/>
  <c r="E17" i="7"/>
  <c r="F21"/>
  <c r="F23" s="1"/>
  <c r="D41" i="31"/>
  <c r="D42" s="1"/>
  <c r="G44" i="9"/>
  <c r="G8" i="8"/>
  <c r="G14"/>
  <c r="G16"/>
  <c r="G10"/>
  <c r="G9"/>
  <c r="G15"/>
  <c r="D50" i="9"/>
  <c r="F44"/>
  <c r="F8" i="8"/>
  <c r="F16"/>
  <c r="F10"/>
  <c r="F9"/>
  <c r="F15"/>
  <c r="F52" i="9"/>
  <c r="E44"/>
  <c r="C41" i="31"/>
  <c r="C42" s="1"/>
  <c r="E35" i="7" s="1"/>
  <c r="E32" i="9" s="1"/>
  <c r="E8" i="8"/>
  <c r="E9"/>
  <c r="E10"/>
  <c r="E14"/>
  <c r="E16"/>
  <c r="E15"/>
  <c r="E52" i="9"/>
  <c r="D19" i="5"/>
  <c r="D44" i="9"/>
  <c r="B41" i="31"/>
  <c r="B42" s="1"/>
  <c r="D34" i="7" s="1"/>
  <c r="D17" i="9" s="1"/>
  <c r="D35" i="7"/>
  <c r="D8" i="8"/>
  <c r="D14"/>
  <c r="D16"/>
  <c r="D9"/>
  <c r="D15"/>
  <c r="D52" i="9"/>
  <c r="C101"/>
  <c r="C44" s="1"/>
  <c r="C45"/>
  <c r="C21" i="7"/>
  <c r="C23" s="1"/>
  <c r="C8" i="8"/>
  <c r="C14"/>
  <c r="C9"/>
  <c r="C10"/>
  <c r="C15"/>
  <c r="C52" i="9"/>
  <c r="C9" i="4"/>
  <c r="C12"/>
  <c r="C17"/>
  <c r="C19"/>
  <c r="C20"/>
  <c r="H88" i="9"/>
  <c r="A25" i="19"/>
  <c r="A26" s="1"/>
  <c r="A27" s="1"/>
  <c r="B15" i="17"/>
  <c r="B34" i="25"/>
  <c r="F7" i="12"/>
  <c r="F8" s="1"/>
  <c r="G10" i="5"/>
  <c r="F11"/>
  <c r="C9"/>
  <c r="G8" i="25"/>
  <c r="F8"/>
  <c r="E8"/>
  <c r="D8"/>
  <c r="C8"/>
  <c r="B8"/>
  <c r="Q28" i="11"/>
  <c r="Q29"/>
  <c r="Q20"/>
  <c r="L13" i="13"/>
  <c r="K13"/>
  <c r="J13"/>
  <c r="L12"/>
  <c r="K12"/>
  <c r="J12"/>
  <c r="L11"/>
  <c r="K11"/>
  <c r="J11"/>
  <c r="L9"/>
  <c r="K9"/>
  <c r="J9"/>
  <c r="L10"/>
  <c r="K10"/>
  <c r="J10"/>
  <c r="I10"/>
  <c r="H10"/>
  <c r="G10"/>
  <c r="F10"/>
  <c r="E10"/>
  <c r="D10"/>
  <c r="C10"/>
  <c r="B10"/>
  <c r="L8"/>
  <c r="K8"/>
  <c r="J8"/>
  <c r="L7"/>
  <c r="K7"/>
  <c r="K6" s="1"/>
  <c r="J7"/>
  <c r="J6" s="1"/>
  <c r="L6"/>
  <c r="E11" i="31"/>
  <c r="E12" s="1"/>
  <c r="E13"/>
  <c r="E14"/>
  <c r="E15" s="1"/>
  <c r="E16" s="1"/>
  <c r="E17" s="1"/>
  <c r="E18" s="1"/>
  <c r="E19" s="1"/>
  <c r="E20" s="1"/>
  <c r="E21"/>
  <c r="F35"/>
  <c r="E35"/>
  <c r="D35"/>
  <c r="C35"/>
  <c r="B35"/>
  <c r="B1" i="22"/>
  <c r="A1" i="8" s="1"/>
  <c r="A3" i="2"/>
  <c r="H35" i="4"/>
  <c r="C4"/>
  <c r="D4" s="1"/>
  <c r="E4" s="1"/>
  <c r="F4" s="1"/>
  <c r="G4" s="1"/>
  <c r="H4" s="1"/>
  <c r="I4" s="1"/>
  <c r="J4" s="1"/>
  <c r="K4" s="1"/>
  <c r="L4" s="1"/>
  <c r="M4" s="1"/>
  <c r="N4" s="1"/>
  <c r="O4" s="1"/>
  <c r="P4" s="1"/>
  <c r="Q4" s="1"/>
  <c r="R4" s="1"/>
  <c r="S4" s="1"/>
  <c r="C27" i="22"/>
  <c r="D27"/>
  <c r="E27"/>
  <c r="F27"/>
  <c r="G27"/>
  <c r="I27"/>
  <c r="J27"/>
  <c r="K27"/>
  <c r="L27"/>
  <c r="M27"/>
  <c r="N27"/>
  <c r="O27"/>
  <c r="P27"/>
  <c r="Q27"/>
  <c r="R27"/>
  <c r="R14"/>
  <c r="R26" s="1"/>
  <c r="G14"/>
  <c r="G26" s="1"/>
  <c r="F14"/>
  <c r="F26" s="1"/>
  <c r="E14"/>
  <c r="D14"/>
  <c r="D26" s="1"/>
  <c r="G13"/>
  <c r="F13"/>
  <c r="D13"/>
  <c r="C14"/>
  <c r="C26" s="1"/>
  <c r="C13"/>
  <c r="G86" i="29"/>
  <c r="C4" i="34"/>
  <c r="D4"/>
  <c r="E4" s="1"/>
  <c r="F4" s="1"/>
  <c r="G4"/>
  <c r="H4" s="1"/>
  <c r="I4" s="1"/>
  <c r="J4" s="1"/>
  <c r="K4" s="1"/>
  <c r="L4" s="1"/>
  <c r="C6"/>
  <c r="D6" s="1"/>
  <c r="E6"/>
  <c r="F6" s="1"/>
  <c r="G6" s="1"/>
  <c r="H6" s="1"/>
  <c r="I6" s="1"/>
  <c r="J6" s="1"/>
  <c r="K6" s="1"/>
  <c r="L6" s="1"/>
  <c r="B79" i="29"/>
  <c r="B80" s="1"/>
  <c r="B81" s="1"/>
  <c r="B82" s="1"/>
  <c r="B83" s="1"/>
  <c r="B84"/>
  <c r="B85" s="1"/>
  <c r="B86" s="1"/>
  <c r="B87"/>
  <c r="B88" s="1"/>
  <c r="B30" i="17"/>
  <c r="B61" s="1"/>
  <c r="F12" i="2"/>
  <c r="E12"/>
  <c r="D12"/>
  <c r="C12"/>
  <c r="G12"/>
  <c r="H22" i="29"/>
  <c r="H23" s="1"/>
  <c r="H24" s="1"/>
  <c r="H25" s="1"/>
  <c r="H26" s="1"/>
  <c r="H27"/>
  <c r="H28" s="1"/>
  <c r="H29" s="1"/>
  <c r="H30" s="1"/>
  <c r="D21"/>
  <c r="F21" s="1"/>
  <c r="F51"/>
  <c r="E25" i="27"/>
  <c r="A3" i="32"/>
  <c r="A4" s="1"/>
  <c r="A5" s="1"/>
  <c r="C6" i="18"/>
  <c r="D6"/>
  <c r="E6"/>
  <c r="R35" i="22"/>
  <c r="H36"/>
  <c r="B38" i="31"/>
  <c r="C38"/>
  <c r="D38"/>
  <c r="E38"/>
  <c r="F38"/>
  <c r="C26"/>
  <c r="D26"/>
  <c r="E26" s="1"/>
  <c r="F26" s="1"/>
  <c r="G26" s="1"/>
  <c r="H26" s="1"/>
  <c r="I26" s="1"/>
  <c r="J26" s="1"/>
  <c r="K26" s="1"/>
  <c r="L26" s="1"/>
  <c r="M26" s="1"/>
  <c r="N26"/>
  <c r="O26" s="1"/>
  <c r="P26" s="1"/>
  <c r="Q26" s="1"/>
  <c r="K25" i="1"/>
  <c r="J63"/>
  <c r="I63"/>
  <c r="H63"/>
  <c r="D5" i="31"/>
  <c r="F5" s="1"/>
  <c r="D6"/>
  <c r="F6" s="1"/>
  <c r="D7"/>
  <c r="F7" s="1"/>
  <c r="D8"/>
  <c r="F8" s="1"/>
  <c r="D9"/>
  <c r="F9" s="1"/>
  <c r="D10"/>
  <c r="F10" s="1"/>
  <c r="A6"/>
  <c r="A7" s="1"/>
  <c r="A8" s="1"/>
  <c r="A9" s="1"/>
  <c r="A10"/>
  <c r="A11" s="1"/>
  <c r="A12"/>
  <c r="A13" s="1"/>
  <c r="A14" s="1"/>
  <c r="A15" s="1"/>
  <c r="A16" s="1"/>
  <c r="A17" s="1"/>
  <c r="A18" s="1"/>
  <c r="A19" s="1"/>
  <c r="A20" s="1"/>
  <c r="A21" s="1"/>
  <c r="B62" i="27"/>
  <c r="C62"/>
  <c r="D62"/>
  <c r="C49"/>
  <c r="D49" s="1"/>
  <c r="E49" s="1"/>
  <c r="F49" s="1"/>
  <c r="G49" s="1"/>
  <c r="H49" s="1"/>
  <c r="I49" s="1"/>
  <c r="J49" s="1"/>
  <c r="K49" s="1"/>
  <c r="L49" s="1"/>
  <c r="M49" s="1"/>
  <c r="N49" s="1"/>
  <c r="O49" s="1"/>
  <c r="D99" i="29"/>
  <c r="D100"/>
  <c r="D101"/>
  <c r="H101"/>
  <c r="C101"/>
  <c r="G71"/>
  <c r="G58"/>
  <c r="G45"/>
  <c r="G39"/>
  <c r="G38"/>
  <c r="G37"/>
  <c r="G36"/>
  <c r="G8"/>
  <c r="H8" s="1"/>
  <c r="B36"/>
  <c r="B37"/>
  <c r="I21" i="1"/>
  <c r="J21"/>
  <c r="K21" s="1"/>
  <c r="L21" s="1"/>
  <c r="M21" s="1"/>
  <c r="N21" s="1"/>
  <c r="O21" s="1"/>
  <c r="P21" s="1"/>
  <c r="Q21" s="1"/>
  <c r="R21" s="1"/>
  <c r="S21" s="1"/>
  <c r="H22"/>
  <c r="I22" s="1"/>
  <c r="J22" s="1"/>
  <c r="K22" s="1"/>
  <c r="L22" s="1"/>
  <c r="M22" s="1"/>
  <c r="N22" s="1"/>
  <c r="O22" s="1"/>
  <c r="P22" s="1"/>
  <c r="Q22" s="1"/>
  <c r="R22" s="1"/>
  <c r="S22" s="1"/>
  <c r="C89" i="6"/>
  <c r="C90"/>
  <c r="C91"/>
  <c r="C115" i="9"/>
  <c r="D115"/>
  <c r="E115"/>
  <c r="F115"/>
  <c r="G115"/>
  <c r="D65" i="29"/>
  <c r="D66"/>
  <c r="D52"/>
  <c r="D53"/>
  <c r="A48"/>
  <c r="C33"/>
  <c r="B33"/>
  <c r="D33" s="1"/>
  <c r="A33"/>
  <c r="B22"/>
  <c r="B23"/>
  <c r="B24"/>
  <c r="B25" s="1"/>
  <c r="B26" s="1"/>
  <c r="B27" s="1"/>
  <c r="B28" s="1"/>
  <c r="B29" s="1"/>
  <c r="B30" s="1"/>
  <c r="C18"/>
  <c r="B18"/>
  <c r="A18"/>
  <c r="F12"/>
  <c r="F64"/>
  <c r="E12"/>
  <c r="B12"/>
  <c r="F10"/>
  <c r="F14" s="1"/>
  <c r="F15" s="1"/>
  <c r="G6"/>
  <c r="G3" i="34" s="1"/>
  <c r="G7" s="1"/>
  <c r="G8" s="1"/>
  <c r="G9" s="1"/>
  <c r="G10" s="1"/>
  <c r="G11" s="1"/>
  <c r="G12" s="1"/>
  <c r="G13" s="1"/>
  <c r="G14" s="1"/>
  <c r="F6" i="29"/>
  <c r="F3" i="34" s="1"/>
  <c r="F7" s="1"/>
  <c r="F8" s="1"/>
  <c r="F9" s="1"/>
  <c r="F10" s="1"/>
  <c r="F11" s="1"/>
  <c r="F12" s="1"/>
  <c r="F13" s="1"/>
  <c r="F14" s="1"/>
  <c r="E6" i="29"/>
  <c r="E3" i="34" s="1"/>
  <c r="E7" s="1"/>
  <c r="E8" s="1"/>
  <c r="E9" s="1"/>
  <c r="E10" s="1"/>
  <c r="E11" s="1"/>
  <c r="E12" s="1"/>
  <c r="E13" s="1"/>
  <c r="E14" s="1"/>
  <c r="D6" i="29"/>
  <c r="D3" i="34" s="1"/>
  <c r="D7" s="1"/>
  <c r="D8" s="1"/>
  <c r="D9" s="1"/>
  <c r="D10" s="1"/>
  <c r="D11" s="1"/>
  <c r="D12" s="1"/>
  <c r="D13" s="1"/>
  <c r="D14" s="1"/>
  <c r="C6" i="29"/>
  <c r="B6"/>
  <c r="B48" s="1"/>
  <c r="G5"/>
  <c r="F5"/>
  <c r="E5"/>
  <c r="D5"/>
  <c r="C5"/>
  <c r="B5"/>
  <c r="C4"/>
  <c r="D4" s="1"/>
  <c r="E4"/>
  <c r="F4" s="1"/>
  <c r="G4" s="1"/>
  <c r="H4" s="1"/>
  <c r="I4"/>
  <c r="J4" s="1"/>
  <c r="K4" s="1"/>
  <c r="L4" s="1"/>
  <c r="G13" i="28"/>
  <c r="J11" i="27" s="1"/>
  <c r="F13" i="28"/>
  <c r="E13"/>
  <c r="D13"/>
  <c r="G11" i="27" s="1"/>
  <c r="H12" i="28"/>
  <c r="H6" i="29"/>
  <c r="H3" i="34" s="1"/>
  <c r="H7" s="1"/>
  <c r="H8" s="1"/>
  <c r="H9" s="1"/>
  <c r="H10" s="1"/>
  <c r="H11" s="1"/>
  <c r="H12" s="1"/>
  <c r="H13" s="1"/>
  <c r="H14" s="1"/>
  <c r="C10" i="28"/>
  <c r="D10"/>
  <c r="E10" s="1"/>
  <c r="F10" s="1"/>
  <c r="G10" s="1"/>
  <c r="H9"/>
  <c r="H5" i="29"/>
  <c r="H7" i="28"/>
  <c r="I7" s="1"/>
  <c r="J7" s="1"/>
  <c r="K7" s="1"/>
  <c r="L7"/>
  <c r="H5"/>
  <c r="K6" i="27" s="1"/>
  <c r="L4" i="28"/>
  <c r="K4"/>
  <c r="J4"/>
  <c r="I4"/>
  <c r="H4"/>
  <c r="G4"/>
  <c r="F4"/>
  <c r="E4"/>
  <c r="D4"/>
  <c r="C4"/>
  <c r="B4"/>
  <c r="D46" i="27"/>
  <c r="A46"/>
  <c r="D45"/>
  <c r="A45"/>
  <c r="A43"/>
  <c r="A41"/>
  <c r="D40"/>
  <c r="A40"/>
  <c r="D31"/>
  <c r="O4"/>
  <c r="O18"/>
  <c r="O31" s="1"/>
  <c r="N4"/>
  <c r="N18"/>
  <c r="N31" s="1"/>
  <c r="M4"/>
  <c r="M18"/>
  <c r="M31" s="1"/>
  <c r="L4"/>
  <c r="L18" s="1"/>
  <c r="K4"/>
  <c r="K18"/>
  <c r="K31" s="1"/>
  <c r="J4"/>
  <c r="J18"/>
  <c r="J31" s="1"/>
  <c r="I4"/>
  <c r="I18"/>
  <c r="I31" s="1"/>
  <c r="H4"/>
  <c r="H18"/>
  <c r="H40" s="1"/>
  <c r="G4"/>
  <c r="G18" s="1"/>
  <c r="G31" s="1"/>
  <c r="F4"/>
  <c r="F18" s="1"/>
  <c r="E4"/>
  <c r="E18" s="1"/>
  <c r="E31" s="1"/>
  <c r="X35" i="26"/>
  <c r="AB34"/>
  <c r="AA34"/>
  <c r="Z34"/>
  <c r="Y34"/>
  <c r="AB33"/>
  <c r="AA33"/>
  <c r="Z33"/>
  <c r="Y33"/>
  <c r="F12"/>
  <c r="L6"/>
  <c r="E12"/>
  <c r="D12"/>
  <c r="D14" s="1"/>
  <c r="C12"/>
  <c r="I6" s="1"/>
  <c r="B12"/>
  <c r="R11"/>
  <c r="Q11"/>
  <c r="P11"/>
  <c r="O11"/>
  <c r="L11"/>
  <c r="H11"/>
  <c r="R10"/>
  <c r="Q10"/>
  <c r="P10"/>
  <c r="O10"/>
  <c r="S10" s="1"/>
  <c r="L10"/>
  <c r="R9"/>
  <c r="Q9"/>
  <c r="P9"/>
  <c r="O9"/>
  <c r="S9"/>
  <c r="L9"/>
  <c r="R8"/>
  <c r="Q8"/>
  <c r="P8"/>
  <c r="O8"/>
  <c r="S8"/>
  <c r="L8"/>
  <c r="H8"/>
  <c r="R7"/>
  <c r="Q7"/>
  <c r="P7"/>
  <c r="O7"/>
  <c r="S7" s="1"/>
  <c r="L7"/>
  <c r="I7"/>
  <c r="H7"/>
  <c r="R6"/>
  <c r="Q6"/>
  <c r="P6"/>
  <c r="O6"/>
  <c r="B75" i="29"/>
  <c r="D75" s="1"/>
  <c r="E14"/>
  <c r="E15" s="1"/>
  <c r="R12" i="26"/>
  <c r="E14"/>
  <c r="F14"/>
  <c r="I9" i="28"/>
  <c r="J9"/>
  <c r="G64" i="29"/>
  <c r="B51"/>
  <c r="I8"/>
  <c r="J8"/>
  <c r="K8" s="1"/>
  <c r="L8" s="1"/>
  <c r="M8" s="1"/>
  <c r="N8" s="1"/>
  <c r="O8" s="1"/>
  <c r="P8" s="1"/>
  <c r="Q8" s="1"/>
  <c r="J11" i="26"/>
  <c r="J9"/>
  <c r="J8"/>
  <c r="S11"/>
  <c r="O12"/>
  <c r="I12" i="28"/>
  <c r="I6" i="29"/>
  <c r="I3" i="34" s="1"/>
  <c r="I7" s="1"/>
  <c r="I8" s="1"/>
  <c r="I9" s="1"/>
  <c r="I10" s="1"/>
  <c r="I11" s="1"/>
  <c r="I12" s="1"/>
  <c r="I13" s="1"/>
  <c r="I14" s="1"/>
  <c r="D67" i="29"/>
  <c r="G65"/>
  <c r="I5"/>
  <c r="G11"/>
  <c r="J12" i="28"/>
  <c r="J6" i="29" s="1"/>
  <c r="J3" i="34" s="1"/>
  <c r="J7" s="1"/>
  <c r="J8" s="1"/>
  <c r="J9" s="1"/>
  <c r="J10" s="1"/>
  <c r="J11" s="1"/>
  <c r="J12" s="1"/>
  <c r="J13" s="1"/>
  <c r="J14" s="1"/>
  <c r="D68" i="29"/>
  <c r="D69" s="1"/>
  <c r="D70" s="1"/>
  <c r="G69" s="1"/>
  <c r="G66"/>
  <c r="G81" i="6"/>
  <c r="H73"/>
  <c r="H77"/>
  <c r="H74"/>
  <c r="H66"/>
  <c r="I66"/>
  <c r="H70"/>
  <c r="H67" s="1"/>
  <c r="H58"/>
  <c r="I58"/>
  <c r="H51"/>
  <c r="H36"/>
  <c r="G43"/>
  <c r="G45" s="1"/>
  <c r="H43"/>
  <c r="G28"/>
  <c r="F28"/>
  <c r="E28"/>
  <c r="E30" s="1"/>
  <c r="C28"/>
  <c r="H26"/>
  <c r="G77"/>
  <c r="G78"/>
  <c r="F77"/>
  <c r="F78" s="1"/>
  <c r="E77"/>
  <c r="E78"/>
  <c r="D77"/>
  <c r="D78" s="1"/>
  <c r="G76"/>
  <c r="F76"/>
  <c r="E76"/>
  <c r="D76"/>
  <c r="G70"/>
  <c r="G71"/>
  <c r="F70"/>
  <c r="F71" s="1"/>
  <c r="E70"/>
  <c r="E71"/>
  <c r="D70"/>
  <c r="D71" s="1"/>
  <c r="G69"/>
  <c r="F69"/>
  <c r="E69"/>
  <c r="D69"/>
  <c r="G62"/>
  <c r="G63"/>
  <c r="F62"/>
  <c r="F63" s="1"/>
  <c r="E62"/>
  <c r="E63"/>
  <c r="D62"/>
  <c r="D63" s="1"/>
  <c r="G61"/>
  <c r="F61"/>
  <c r="E61"/>
  <c r="D61"/>
  <c r="G47"/>
  <c r="G48"/>
  <c r="F47"/>
  <c r="E47"/>
  <c r="D47"/>
  <c r="G32"/>
  <c r="G33" s="1"/>
  <c r="F32"/>
  <c r="F33"/>
  <c r="E32"/>
  <c r="E33" s="1"/>
  <c r="D32"/>
  <c r="C43"/>
  <c r="D43"/>
  <c r="F43"/>
  <c r="F80" s="1"/>
  <c r="E43"/>
  <c r="E46"/>
  <c r="D81"/>
  <c r="F81"/>
  <c r="E81"/>
  <c r="C81"/>
  <c r="B80"/>
  <c r="B81"/>
  <c r="B82" s="1"/>
  <c r="D28"/>
  <c r="F75"/>
  <c r="E75"/>
  <c r="D75"/>
  <c r="C75"/>
  <c r="G75"/>
  <c r="F68"/>
  <c r="E68"/>
  <c r="D68"/>
  <c r="C68"/>
  <c r="G68"/>
  <c r="F60"/>
  <c r="E60"/>
  <c r="D60"/>
  <c r="C60"/>
  <c r="G60"/>
  <c r="D21"/>
  <c r="G29" i="2"/>
  <c r="G25"/>
  <c r="G26"/>
  <c r="G24"/>
  <c r="G33" i="9"/>
  <c r="H20" i="1"/>
  <c r="H9"/>
  <c r="B21" i="25" s="1"/>
  <c r="F14" i="1"/>
  <c r="F13" i="4" s="1"/>
  <c r="E12" i="5" s="1"/>
  <c r="E14" i="1"/>
  <c r="E13" i="4" s="1"/>
  <c r="D12" i="5" s="1"/>
  <c r="D14" i="1"/>
  <c r="C14"/>
  <c r="C13" i="4"/>
  <c r="G12" i="1"/>
  <c r="G11"/>
  <c r="G10" i="4" s="1"/>
  <c r="F9" i="5" s="1"/>
  <c r="F12" i="1"/>
  <c r="F11"/>
  <c r="F10" i="4" s="1"/>
  <c r="E9" i="5" s="1"/>
  <c r="E12" i="1"/>
  <c r="E11" i="4" s="1"/>
  <c r="E11" i="1"/>
  <c r="D12"/>
  <c r="D11" i="4" s="1"/>
  <c r="C10" i="5" s="1"/>
  <c r="C12" i="1"/>
  <c r="C11" i="4"/>
  <c r="C11" i="1"/>
  <c r="C10" i="4" s="1"/>
  <c r="D35" i="1"/>
  <c r="D18" i="4" s="1"/>
  <c r="C48" i="25"/>
  <c r="G17" i="5"/>
  <c r="G18"/>
  <c r="Q8" i="8"/>
  <c r="R8"/>
  <c r="S9"/>
  <c r="S8"/>
  <c r="G15" i="22"/>
  <c r="H40" i="1"/>
  <c r="H51"/>
  <c r="F32" i="21"/>
  <c r="F20"/>
  <c r="F12"/>
  <c r="F13" s="1"/>
  <c r="E40" i="1"/>
  <c r="C29" i="2"/>
  <c r="D29"/>
  <c r="D8" i="7" s="1"/>
  <c r="E29" i="2"/>
  <c r="E8" i="7" s="1"/>
  <c r="F29" i="2"/>
  <c r="F8" i="7" s="1"/>
  <c r="C28" i="2"/>
  <c r="E18" i="1"/>
  <c r="D18"/>
  <c r="C6" i="6" s="1"/>
  <c r="C14" s="1"/>
  <c r="G88" i="9"/>
  <c r="F88"/>
  <c r="E88"/>
  <c r="D88"/>
  <c r="C4" i="3"/>
  <c r="D4" s="1"/>
  <c r="E4" s="1"/>
  <c r="F4" s="1"/>
  <c r="G4" s="1"/>
  <c r="H4" s="1"/>
  <c r="I4" s="1"/>
  <c r="J4" s="1"/>
  <c r="K4" s="1"/>
  <c r="L4" s="1"/>
  <c r="M4" s="1"/>
  <c r="N4" s="1"/>
  <c r="O4" s="1"/>
  <c r="P4" s="1"/>
  <c r="Q4" s="1"/>
  <c r="R4" s="1"/>
  <c r="E23" i="12"/>
  <c r="H44" i="8" s="1"/>
  <c r="E26" i="12"/>
  <c r="E27" s="1"/>
  <c r="H46" i="8"/>
  <c r="C88" i="9"/>
  <c r="G9" i="1"/>
  <c r="F16" i="5"/>
  <c r="F19"/>
  <c r="F9" i="1"/>
  <c r="B50" i="27" s="1"/>
  <c r="B52" s="1"/>
  <c r="E16" i="5"/>
  <c r="E9" i="1"/>
  <c r="E8" i="4" s="1"/>
  <c r="D7" i="5" s="1"/>
  <c r="D9" i="1"/>
  <c r="C4" i="25"/>
  <c r="D4" s="1"/>
  <c r="E4" s="1"/>
  <c r="F4"/>
  <c r="G4" s="1"/>
  <c r="H4" s="1"/>
  <c r="I4" s="1"/>
  <c r="J4" s="1"/>
  <c r="K4" s="1"/>
  <c r="L4" s="1"/>
  <c r="Q44" i="8"/>
  <c r="R44"/>
  <c r="S44"/>
  <c r="Q45"/>
  <c r="R45"/>
  <c r="S45"/>
  <c r="Q46"/>
  <c r="R46"/>
  <c r="S46"/>
  <c r="I62" i="1"/>
  <c r="J62" s="1"/>
  <c r="K62" s="1"/>
  <c r="L62" s="1"/>
  <c r="M62" s="1"/>
  <c r="N62" s="1"/>
  <c r="O62" s="1"/>
  <c r="P62" s="1"/>
  <c r="Q62" s="1"/>
  <c r="R62" s="1"/>
  <c r="S62" s="1"/>
  <c r="G26" i="3"/>
  <c r="G19"/>
  <c r="G13"/>
  <c r="G6"/>
  <c r="C10" i="22"/>
  <c r="D10"/>
  <c r="E10"/>
  <c r="F10"/>
  <c r="G10"/>
  <c r="H10" s="1"/>
  <c r="I10" s="1"/>
  <c r="J10" s="1"/>
  <c r="K10" s="1"/>
  <c r="L10" s="1"/>
  <c r="M10" s="1"/>
  <c r="N10" s="1"/>
  <c r="O10" s="1"/>
  <c r="P10" s="1"/>
  <c r="Q10" s="1"/>
  <c r="R10" s="1"/>
  <c r="H122" i="23"/>
  <c r="I122"/>
  <c r="J122" s="1"/>
  <c r="K122" s="1"/>
  <c r="B123"/>
  <c r="C123"/>
  <c r="D123"/>
  <c r="E123"/>
  <c r="B124"/>
  <c r="C124"/>
  <c r="D124"/>
  <c r="E124"/>
  <c r="B125"/>
  <c r="C125"/>
  <c r="D125"/>
  <c r="E125"/>
  <c r="B126"/>
  <c r="C126"/>
  <c r="D126"/>
  <c r="E126"/>
  <c r="B127"/>
  <c r="C127"/>
  <c r="D127"/>
  <c r="E127"/>
  <c r="B128"/>
  <c r="H6" i="22" s="1"/>
  <c r="I6" s="1"/>
  <c r="J6" s="1"/>
  <c r="K6" s="1"/>
  <c r="L6" s="1"/>
  <c r="M6" s="1"/>
  <c r="N6" s="1"/>
  <c r="C128" i="23"/>
  <c r="D128"/>
  <c r="E128"/>
  <c r="B129"/>
  <c r="C129"/>
  <c r="D129"/>
  <c r="E129"/>
  <c r="D98"/>
  <c r="B98"/>
  <c r="D97"/>
  <c r="B97"/>
  <c r="H97"/>
  <c r="D96"/>
  <c r="B96"/>
  <c r="I96" s="1"/>
  <c r="H96"/>
  <c r="D95"/>
  <c r="B95"/>
  <c r="D94"/>
  <c r="C94"/>
  <c r="B94"/>
  <c r="D93"/>
  <c r="C93"/>
  <c r="B93"/>
  <c r="D92"/>
  <c r="C92"/>
  <c r="B92"/>
  <c r="D91"/>
  <c r="C91"/>
  <c r="B91"/>
  <c r="D90"/>
  <c r="C90"/>
  <c r="B90"/>
  <c r="D89"/>
  <c r="C89"/>
  <c r="B89"/>
  <c r="H89" s="1"/>
  <c r="D88"/>
  <c r="C88"/>
  <c r="B88"/>
  <c r="D87"/>
  <c r="C87"/>
  <c r="B87"/>
  <c r="I87" s="1"/>
  <c r="D86"/>
  <c r="C86"/>
  <c r="B86"/>
  <c r="D85"/>
  <c r="C85"/>
  <c r="B85"/>
  <c r="D84"/>
  <c r="C84"/>
  <c r="B84"/>
  <c r="D83"/>
  <c r="C83"/>
  <c r="B83"/>
  <c r="D82"/>
  <c r="C82"/>
  <c r="B82"/>
  <c r="I82" s="1"/>
  <c r="D81"/>
  <c r="C81"/>
  <c r="B81"/>
  <c r="D80"/>
  <c r="C80"/>
  <c r="B80"/>
  <c r="D79"/>
  <c r="C79"/>
  <c r="B79"/>
  <c r="I79" s="1"/>
  <c r="D78"/>
  <c r="C78"/>
  <c r="B78"/>
  <c r="I78" s="1"/>
  <c r="D77"/>
  <c r="C77"/>
  <c r="B77"/>
  <c r="D76"/>
  <c r="C76"/>
  <c r="B76"/>
  <c r="D75"/>
  <c r="C75"/>
  <c r="B75"/>
  <c r="D74"/>
  <c r="C74"/>
  <c r="B74"/>
  <c r="H74"/>
  <c r="D73"/>
  <c r="C73"/>
  <c r="B73"/>
  <c r="D72"/>
  <c r="C72"/>
  <c r="B72"/>
  <c r="H72"/>
  <c r="D71"/>
  <c r="C71"/>
  <c r="B71"/>
  <c r="D70"/>
  <c r="C70"/>
  <c r="B70"/>
  <c r="D69"/>
  <c r="C69"/>
  <c r="B69"/>
  <c r="D68"/>
  <c r="C68"/>
  <c r="B68"/>
  <c r="D67"/>
  <c r="C67"/>
  <c r="B67"/>
  <c r="I67" s="1"/>
  <c r="D66"/>
  <c r="C66"/>
  <c r="B66"/>
  <c r="H66"/>
  <c r="D65"/>
  <c r="C65"/>
  <c r="B65"/>
  <c r="D64"/>
  <c r="C64"/>
  <c r="B64"/>
  <c r="D63"/>
  <c r="C63"/>
  <c r="B63"/>
  <c r="D62"/>
  <c r="C62"/>
  <c r="B62"/>
  <c r="H62" s="1"/>
  <c r="D61"/>
  <c r="C61"/>
  <c r="B61"/>
  <c r="D60"/>
  <c r="C60"/>
  <c r="B60"/>
  <c r="H60" s="1"/>
  <c r="D59"/>
  <c r="C59"/>
  <c r="B59"/>
  <c r="H59" s="1"/>
  <c r="D58"/>
  <c r="C58"/>
  <c r="B58"/>
  <c r="H58"/>
  <c r="D57"/>
  <c r="C57"/>
  <c r="B57"/>
  <c r="D56"/>
  <c r="C56"/>
  <c r="B56"/>
  <c r="D55"/>
  <c r="C55"/>
  <c r="B55"/>
  <c r="D54"/>
  <c r="C54"/>
  <c r="B54"/>
  <c r="H54" s="1"/>
  <c r="I54"/>
  <c r="D53"/>
  <c r="C53"/>
  <c r="B53"/>
  <c r="D52"/>
  <c r="C52"/>
  <c r="B52"/>
  <c r="H52" s="1"/>
  <c r="D51"/>
  <c r="C51"/>
  <c r="B51"/>
  <c r="D50"/>
  <c r="C50"/>
  <c r="B50"/>
  <c r="I50"/>
  <c r="D49"/>
  <c r="C49"/>
  <c r="B49"/>
  <c r="D48"/>
  <c r="C48"/>
  <c r="B48"/>
  <c r="D47"/>
  <c r="C47"/>
  <c r="B47"/>
  <c r="I47" s="1"/>
  <c r="D46"/>
  <c r="C46"/>
  <c r="B46"/>
  <c r="D45"/>
  <c r="C45"/>
  <c r="B45"/>
  <c r="D44"/>
  <c r="C44"/>
  <c r="B44"/>
  <c r="H44" s="1"/>
  <c r="D43"/>
  <c r="C43"/>
  <c r="B43"/>
  <c r="D42"/>
  <c r="C42"/>
  <c r="B42"/>
  <c r="D41"/>
  <c r="C41"/>
  <c r="B41"/>
  <c r="D40"/>
  <c r="C40"/>
  <c r="B40"/>
  <c r="H40" s="1"/>
  <c r="D39"/>
  <c r="C39"/>
  <c r="B39"/>
  <c r="D38"/>
  <c r="C38"/>
  <c r="B38"/>
  <c r="D37"/>
  <c r="C37"/>
  <c r="B37"/>
  <c r="D36"/>
  <c r="C36"/>
  <c r="B36"/>
  <c r="D35"/>
  <c r="C35"/>
  <c r="B35"/>
  <c r="D34"/>
  <c r="C34"/>
  <c r="B34"/>
  <c r="D33"/>
  <c r="C33"/>
  <c r="B33"/>
  <c r="I33" s="1"/>
  <c r="D32"/>
  <c r="C32"/>
  <c r="B32"/>
  <c r="D31"/>
  <c r="C31"/>
  <c r="B31"/>
  <c r="D30"/>
  <c r="C30"/>
  <c r="B30"/>
  <c r="D29"/>
  <c r="C29"/>
  <c r="B29"/>
  <c r="D28"/>
  <c r="C28"/>
  <c r="B28"/>
  <c r="H28" s="1"/>
  <c r="D27"/>
  <c r="C27"/>
  <c r="B27"/>
  <c r="D26"/>
  <c r="C26"/>
  <c r="B26"/>
  <c r="I26"/>
  <c r="D25"/>
  <c r="C25"/>
  <c r="B25"/>
  <c r="D24"/>
  <c r="C24"/>
  <c r="B24"/>
  <c r="H24" s="1"/>
  <c r="D23"/>
  <c r="C23"/>
  <c r="B23"/>
  <c r="D22"/>
  <c r="C22"/>
  <c r="B22"/>
  <c r="D21"/>
  <c r="C21"/>
  <c r="B21"/>
  <c r="D20"/>
  <c r="C20"/>
  <c r="B20"/>
  <c r="D19"/>
  <c r="C19"/>
  <c r="B19"/>
  <c r="D18"/>
  <c r="B18"/>
  <c r="H18" s="1"/>
  <c r="D17"/>
  <c r="B17"/>
  <c r="D16"/>
  <c r="B16"/>
  <c r="H16"/>
  <c r="D15"/>
  <c r="B15"/>
  <c r="D14"/>
  <c r="B14"/>
  <c r="F13"/>
  <c r="F14" s="1"/>
  <c r="F15" s="1"/>
  <c r="F16"/>
  <c r="F17"/>
  <c r="F18" s="1"/>
  <c r="D13"/>
  <c r="G13"/>
  <c r="G14"/>
  <c r="G15" s="1"/>
  <c r="G16" s="1"/>
  <c r="G17"/>
  <c r="G18"/>
  <c r="G19" s="1"/>
  <c r="G20" s="1"/>
  <c r="G21" s="1"/>
  <c r="G22" s="1"/>
  <c r="G23" s="1"/>
  <c r="G24" s="1"/>
  <c r="G25" s="1"/>
  <c r="G26" s="1"/>
  <c r="G27" s="1"/>
  <c r="G28" s="1"/>
  <c r="G29" s="1"/>
  <c r="G30" s="1"/>
  <c r="G31" s="1"/>
  <c r="G32" s="1"/>
  <c r="B13"/>
  <c r="H13"/>
  <c r="F15" i="22"/>
  <c r="E15"/>
  <c r="D15"/>
  <c r="C15"/>
  <c r="D5"/>
  <c r="E5" s="1"/>
  <c r="F5" s="1"/>
  <c r="G5"/>
  <c r="H5"/>
  <c r="I5" s="1"/>
  <c r="J5" s="1"/>
  <c r="K5"/>
  <c r="L5" s="1"/>
  <c r="M5" s="1"/>
  <c r="N5" s="1"/>
  <c r="O5" s="1"/>
  <c r="P5" s="1"/>
  <c r="Q5" s="1"/>
  <c r="E37" i="12"/>
  <c r="E39"/>
  <c r="D37"/>
  <c r="D39" s="1"/>
  <c r="C37"/>
  <c r="C39"/>
  <c r="B37"/>
  <c r="B39" s="1"/>
  <c r="B23"/>
  <c r="D44" i="8"/>
  <c r="F24" i="2"/>
  <c r="F25"/>
  <c r="F26"/>
  <c r="F21" i="3" s="1"/>
  <c r="E24" i="2"/>
  <c r="E25"/>
  <c r="E26"/>
  <c r="F31" i="8" s="1"/>
  <c r="F41" s="1"/>
  <c r="D24" i="2"/>
  <c r="D25"/>
  <c r="D26"/>
  <c r="E31" i="8" s="1"/>
  <c r="E41" s="1"/>
  <c r="C24" i="2"/>
  <c r="C33" i="9"/>
  <c r="C25" i="2"/>
  <c r="C26"/>
  <c r="D21" i="7"/>
  <c r="D23" s="1"/>
  <c r="E21"/>
  <c r="E23" s="1"/>
  <c r="D26" i="12"/>
  <c r="C26"/>
  <c r="E45" i="8" s="1"/>
  <c r="B26" i="12"/>
  <c r="B27" s="1"/>
  <c r="D23"/>
  <c r="F44" i="8" s="1"/>
  <c r="C23" i="12"/>
  <c r="E32" i="21"/>
  <c r="C32"/>
  <c r="B32"/>
  <c r="G23" i="1"/>
  <c r="F23"/>
  <c r="F40"/>
  <c r="D51"/>
  <c r="E51"/>
  <c r="E55" s="1"/>
  <c r="C19"/>
  <c r="C38" i="10"/>
  <c r="C9" i="1"/>
  <c r="C8" i="4" s="1"/>
  <c r="C35" i="1"/>
  <c r="C46"/>
  <c r="C18" i="4"/>
  <c r="C51" i="1"/>
  <c r="F43"/>
  <c r="C63"/>
  <c r="C67"/>
  <c r="B27" i="31" s="1"/>
  <c r="B29" s="1"/>
  <c r="C23" i="1"/>
  <c r="G63"/>
  <c r="F63"/>
  <c r="E63"/>
  <c r="D63"/>
  <c r="D10" i="8"/>
  <c r="D20" i="21"/>
  <c r="B20"/>
  <c r="G40" i="1"/>
  <c r="G51"/>
  <c r="G55" s="1"/>
  <c r="E20" i="21"/>
  <c r="E12"/>
  <c r="E13" s="1"/>
  <c r="D12"/>
  <c r="D13" s="1"/>
  <c r="E7" i="12"/>
  <c r="E8" s="1"/>
  <c r="D7"/>
  <c r="D8" s="1"/>
  <c r="C7"/>
  <c r="C8" s="1"/>
  <c r="E14" i="3"/>
  <c r="D14"/>
  <c r="C19"/>
  <c r="I7" i="13"/>
  <c r="H7"/>
  <c r="G7"/>
  <c r="F7"/>
  <c r="A35" i="19"/>
  <c r="A36" s="1"/>
  <c r="A33"/>
  <c r="A32"/>
  <c r="C30"/>
  <c r="D30" s="1"/>
  <c r="E30" s="1"/>
  <c r="A24"/>
  <c r="A23" s="1"/>
  <c r="I8" i="13"/>
  <c r="G8"/>
  <c r="B7"/>
  <c r="B8"/>
  <c r="C7"/>
  <c r="C8"/>
  <c r="D7"/>
  <c r="D8"/>
  <c r="E7"/>
  <c r="E8"/>
  <c r="E15" i="14" s="1"/>
  <c r="E16" s="1"/>
  <c r="E17" s="1"/>
  <c r="E6" i="13"/>
  <c r="F8"/>
  <c r="G9"/>
  <c r="G12"/>
  <c r="B12"/>
  <c r="C12"/>
  <c r="D12"/>
  <c r="E12"/>
  <c r="F12"/>
  <c r="G11"/>
  <c r="F11"/>
  <c r="G15" i="14"/>
  <c r="G16" s="1"/>
  <c r="G17" s="1"/>
  <c r="G27"/>
  <c r="F27"/>
  <c r="F28" s="1"/>
  <c r="E21"/>
  <c r="E23" s="1"/>
  <c r="E24" s="1"/>
  <c r="E27"/>
  <c r="E28"/>
  <c r="D27"/>
  <c r="C15"/>
  <c r="C16" s="1"/>
  <c r="C17" s="1"/>
  <c r="C27"/>
  <c r="B27"/>
  <c r="H8" i="13"/>
  <c r="H6"/>
  <c r="H9"/>
  <c r="H12"/>
  <c r="H11"/>
  <c r="H15" i="14"/>
  <c r="H16"/>
  <c r="H17" s="1"/>
  <c r="H27"/>
  <c r="H28"/>
  <c r="B9" i="13"/>
  <c r="B11"/>
  <c r="C9"/>
  <c r="C11"/>
  <c r="D9"/>
  <c r="D11"/>
  <c r="E9"/>
  <c r="E11"/>
  <c r="F9"/>
  <c r="I9"/>
  <c r="I12"/>
  <c r="I11"/>
  <c r="C10" i="18"/>
  <c r="I27" i="14"/>
  <c r="B8" i="20"/>
  <c r="F12" s="1"/>
  <c r="F15" s="1"/>
  <c r="P46" i="8"/>
  <c r="P45"/>
  <c r="P44"/>
  <c r="D6" i="3"/>
  <c r="D13"/>
  <c r="E6"/>
  <c r="E13"/>
  <c r="F6"/>
  <c r="F13"/>
  <c r="F14"/>
  <c r="C6"/>
  <c r="B8" i="12"/>
  <c r="D4" i="2"/>
  <c r="E4"/>
  <c r="F4"/>
  <c r="G4" s="1"/>
  <c r="H4" s="1"/>
  <c r="B6" i="17" s="1"/>
  <c r="B37" s="1"/>
  <c r="E4" i="1"/>
  <c r="F4"/>
  <c r="G4" s="1"/>
  <c r="H4" s="1"/>
  <c r="I4" s="1"/>
  <c r="A1" i="20"/>
  <c r="G35" i="4"/>
  <c r="F35"/>
  <c r="E35"/>
  <c r="E12" i="20"/>
  <c r="E15"/>
  <c r="G12"/>
  <c r="G15" s="1"/>
  <c r="I12"/>
  <c r="I15"/>
  <c r="C12"/>
  <c r="O46" i="8"/>
  <c r="O45"/>
  <c r="O44"/>
  <c r="I13" i="13"/>
  <c r="H13"/>
  <c r="G13"/>
  <c r="F13"/>
  <c r="E13"/>
  <c r="D13"/>
  <c r="C13"/>
  <c r="B13"/>
  <c r="N44" i="8"/>
  <c r="N45"/>
  <c r="N46"/>
  <c r="B10" i="19"/>
  <c r="C30" i="18"/>
  <c r="I35" i="14"/>
  <c r="A1" i="19"/>
  <c r="M44" i="8"/>
  <c r="L44"/>
  <c r="M46"/>
  <c r="M45"/>
  <c r="L46"/>
  <c r="L45"/>
  <c r="A1" i="10"/>
  <c r="A1" i="15"/>
  <c r="A1" i="6"/>
  <c r="A1" i="11"/>
  <c r="B24" i="12"/>
  <c r="C24"/>
  <c r="E24"/>
  <c r="F24"/>
  <c r="F27"/>
  <c r="A1" i="9"/>
  <c r="B29" i="12"/>
  <c r="C29"/>
  <c r="D29"/>
  <c r="E29"/>
  <c r="F29"/>
  <c r="A1"/>
  <c r="A1" i="7"/>
  <c r="A1" i="31" s="1"/>
  <c r="A1" i="4"/>
  <c r="A1" i="5"/>
  <c r="K46" i="8"/>
  <c r="K44"/>
  <c r="K45"/>
  <c r="J46"/>
  <c r="J44"/>
  <c r="J45"/>
  <c r="I46"/>
  <c r="I44"/>
  <c r="I45"/>
  <c r="G46"/>
  <c r="G44"/>
  <c r="F46"/>
  <c r="E46"/>
  <c r="E44"/>
  <c r="D46"/>
  <c r="A1" i="13"/>
  <c r="A1" i="16"/>
  <c r="B36" i="14"/>
  <c r="A1"/>
  <c r="A1" i="2"/>
  <c r="F26" i="3"/>
  <c r="E26"/>
  <c r="D26"/>
  <c r="C26"/>
  <c r="A1"/>
  <c r="A1" i="17"/>
  <c r="A40"/>
  <c r="A1" i="18"/>
  <c r="K12" i="20"/>
  <c r="K15"/>
  <c r="B35" i="19"/>
  <c r="B36"/>
  <c r="C35"/>
  <c r="D35"/>
  <c r="E35"/>
  <c r="C36"/>
  <c r="D36"/>
  <c r="E36"/>
  <c r="C34"/>
  <c r="D34"/>
  <c r="E34"/>
  <c r="B33"/>
  <c r="C33"/>
  <c r="D33"/>
  <c r="E33"/>
  <c r="C32"/>
  <c r="D32"/>
  <c r="E32"/>
  <c r="B32"/>
  <c r="H21" i="14"/>
  <c r="H23" s="1"/>
  <c r="H24" s="1"/>
  <c r="E21" i="3"/>
  <c r="E20"/>
  <c r="C40" i="1"/>
  <c r="C55" s="1"/>
  <c r="C69" s="1"/>
  <c r="D40"/>
  <c r="D23"/>
  <c r="H20" i="23"/>
  <c r="H36"/>
  <c r="E13"/>
  <c r="I46"/>
  <c r="I97"/>
  <c r="C27" i="12"/>
  <c r="C4" i="13"/>
  <c r="C4" i="15"/>
  <c r="D4" s="1"/>
  <c r="E4" s="1"/>
  <c r="F4" s="1"/>
  <c r="G4" s="1"/>
  <c r="H4"/>
  <c r="I4" s="1"/>
  <c r="J4" s="1"/>
  <c r="K4" s="1"/>
  <c r="L4" s="1"/>
  <c r="M4" s="1"/>
  <c r="D4" i="20"/>
  <c r="C4" s="1"/>
  <c r="C26" i="18"/>
  <c r="A32" s="1"/>
  <c r="D26"/>
  <c r="F30" i="6"/>
  <c r="F45"/>
  <c r="F31"/>
  <c r="E48"/>
  <c r="H62"/>
  <c r="H59"/>
  <c r="H60"/>
  <c r="I73"/>
  <c r="D48"/>
  <c r="G80"/>
  <c r="G82" s="1"/>
  <c r="B4" i="14"/>
  <c r="C4" i="16"/>
  <c r="D4" s="1"/>
  <c r="E4" s="1"/>
  <c r="F4" s="1"/>
  <c r="G4" s="1"/>
  <c r="H4" s="1"/>
  <c r="I4" s="1"/>
  <c r="J4" s="1"/>
  <c r="H33" i="23"/>
  <c r="F84" i="6"/>
  <c r="F91" s="1"/>
  <c r="F46"/>
  <c r="H28"/>
  <c r="E26" i="5"/>
  <c r="G26"/>
  <c r="D48" i="25"/>
  <c r="E48" s="1"/>
  <c r="F48" s="1"/>
  <c r="G48" s="1"/>
  <c r="A13" i="18"/>
  <c r="F14" i="6"/>
  <c r="A12" i="18"/>
  <c r="G45" i="8"/>
  <c r="J73" i="6"/>
  <c r="I77"/>
  <c r="F90"/>
  <c r="F89"/>
  <c r="B15" i="12"/>
  <c r="K73" i="6"/>
  <c r="L73" s="1"/>
  <c r="K77"/>
  <c r="Q10" i="8"/>
  <c r="Q16"/>
  <c r="Q14"/>
  <c r="S10"/>
  <c r="R10"/>
  <c r="S14"/>
  <c r="R14"/>
  <c r="S16"/>
  <c r="R16"/>
  <c r="S15"/>
  <c r="S31"/>
  <c r="S41" s="1"/>
  <c r="B8" i="14"/>
  <c r="C8" s="1"/>
  <c r="B9"/>
  <c r="C9" s="1"/>
  <c r="D9" s="1"/>
  <c r="E9" s="1"/>
  <c r="F9" s="1"/>
  <c r="G9" s="1"/>
  <c r="H9" s="1"/>
  <c r="I9" s="1"/>
  <c r="B10"/>
  <c r="C10" s="1"/>
  <c r="D10" s="1"/>
  <c r="E10" s="1"/>
  <c r="F10" s="1"/>
  <c r="G10" s="1"/>
  <c r="H10" s="1"/>
  <c r="I10" s="1"/>
  <c r="B10" i="20"/>
  <c r="I14" i="23"/>
  <c r="I19"/>
  <c r="I57"/>
  <c r="I63"/>
  <c r="I72"/>
  <c r="H73"/>
  <c r="I94"/>
  <c r="H31" i="27"/>
  <c r="H31" i="23"/>
  <c r="H35"/>
  <c r="H47"/>
  <c r="H55"/>
  <c r="H63"/>
  <c r="H70"/>
  <c r="H50"/>
  <c r="H46"/>
  <c r="H75"/>
  <c r="H79"/>
  <c r="H26"/>
  <c r="G33"/>
  <c r="G34" s="1"/>
  <c r="G35" s="1"/>
  <c r="G36" s="1"/>
  <c r="G37" s="1"/>
  <c r="G38" s="1"/>
  <c r="G39" s="1"/>
  <c r="G40" s="1"/>
  <c r="G41" s="1"/>
  <c r="G42" s="1"/>
  <c r="G43" s="1"/>
  <c r="G44" s="1"/>
  <c r="I16"/>
  <c r="I23"/>
  <c r="I35"/>
  <c r="I39"/>
  <c r="I55"/>
  <c r="I59"/>
  <c r="H84"/>
  <c r="I28"/>
  <c r="I40"/>
  <c r="I44"/>
  <c r="I62"/>
  <c r="I84"/>
  <c r="D16" i="22"/>
  <c r="K12" i="28"/>
  <c r="L12" s="1"/>
  <c r="L6" i="29" s="1"/>
  <c r="L3" i="34" s="1"/>
  <c r="L7" s="1"/>
  <c r="L8" s="1"/>
  <c r="L9" s="1"/>
  <c r="L10" s="1"/>
  <c r="L11" s="1"/>
  <c r="L12" s="1"/>
  <c r="L13" s="1"/>
  <c r="L14" s="1"/>
  <c r="I15" i="14"/>
  <c r="I16" s="1"/>
  <c r="I17" s="1"/>
  <c r="C4"/>
  <c r="D4" i="13"/>
  <c r="I76" i="23"/>
  <c r="H76"/>
  <c r="H87"/>
  <c r="F31" i="9"/>
  <c r="F23" i="22"/>
  <c r="F27" i="2"/>
  <c r="F10" i="7" s="1"/>
  <c r="F20" i="3"/>
  <c r="I13" i="23"/>
  <c r="B64" i="29"/>
  <c r="B52"/>
  <c r="I40" i="27"/>
  <c r="H32" i="6"/>
  <c r="H29" s="1"/>
  <c r="I28"/>
  <c r="I17" i="23"/>
  <c r="H17"/>
  <c r="H57"/>
  <c r="C45" i="6"/>
  <c r="H47"/>
  <c r="H44" s="1"/>
  <c r="F14" i="8"/>
  <c r="F17" s="1"/>
  <c r="D32" i="21"/>
  <c r="E13" i="22"/>
  <c r="F51" i="1"/>
  <c r="F55"/>
  <c r="C15"/>
  <c r="C27" s="1"/>
  <c r="I25" i="23"/>
  <c r="H25"/>
  <c r="I37"/>
  <c r="H37"/>
  <c r="H41"/>
  <c r="I45"/>
  <c r="H45"/>
  <c r="D45" i="6"/>
  <c r="D46"/>
  <c r="I26"/>
  <c r="G31"/>
  <c r="G30"/>
  <c r="I62"/>
  <c r="J58"/>
  <c r="G67" i="29"/>
  <c r="D24" i="12"/>
  <c r="I34" i="23"/>
  <c r="H34"/>
  <c r="I42"/>
  <c r="H42"/>
  <c r="I90"/>
  <c r="H90"/>
  <c r="D10" i="5"/>
  <c r="H31" i="8"/>
  <c r="H41" s="1"/>
  <c r="G21" i="3"/>
  <c r="I51" i="6"/>
  <c r="J66"/>
  <c r="I70"/>
  <c r="I4" i="2"/>
  <c r="J4" s="1"/>
  <c r="K4" s="1"/>
  <c r="L4" s="1"/>
  <c r="M4" s="1"/>
  <c r="N4" s="1"/>
  <c r="O4" s="1"/>
  <c r="P4" s="1"/>
  <c r="Q4" s="1"/>
  <c r="R4" s="1"/>
  <c r="D28" i="14"/>
  <c r="D21" i="3"/>
  <c r="H65" i="23"/>
  <c r="G40" i="27"/>
  <c r="G51" i="29"/>
  <c r="H51" s="1"/>
  <c r="F52"/>
  <c r="C21" i="14"/>
  <c r="C23" s="1"/>
  <c r="C24" s="1"/>
  <c r="C28"/>
  <c r="G31" i="8"/>
  <c r="G41" s="1"/>
  <c r="H15" i="1"/>
  <c r="F6" i="21" s="1"/>
  <c r="G27" i="2"/>
  <c r="G10" i="7"/>
  <c r="G20" i="3"/>
  <c r="E80" i="6"/>
  <c r="E82" s="1"/>
  <c r="E45"/>
  <c r="I11" i="26"/>
  <c r="I8"/>
  <c r="I9"/>
  <c r="I10"/>
  <c r="C14"/>
  <c r="F11" i="3"/>
  <c r="P12" i="26"/>
  <c r="K40" i="27"/>
  <c r="D33" i="9"/>
  <c r="D19" i="3"/>
  <c r="C12" i="21"/>
  <c r="C13" s="1"/>
  <c r="J6" i="26"/>
  <c r="J7"/>
  <c r="J10"/>
  <c r="G10" i="29"/>
  <c r="G9"/>
  <c r="H9" s="1"/>
  <c r="F22"/>
  <c r="F6" i="13"/>
  <c r="I18" i="23"/>
  <c r="E50" i="9"/>
  <c r="B15" i="25"/>
  <c r="F11" i="6"/>
  <c r="F8" i="9" s="1"/>
  <c r="E21" i="8"/>
  <c r="J26" i="6"/>
  <c r="D33" i="21"/>
  <c r="B65" i="29"/>
  <c r="B66" s="1"/>
  <c r="B67" s="1"/>
  <c r="B68" s="1"/>
  <c r="B69" s="1"/>
  <c r="B70"/>
  <c r="B71" s="1"/>
  <c r="B91"/>
  <c r="B92"/>
  <c r="B93" s="1"/>
  <c r="B94" s="1"/>
  <c r="B95" s="1"/>
  <c r="B96" s="1"/>
  <c r="B97"/>
  <c r="B98"/>
  <c r="B99" s="1"/>
  <c r="B100" s="1"/>
  <c r="B101" s="1"/>
  <c r="G12"/>
  <c r="H12" s="1"/>
  <c r="I12" s="1"/>
  <c r="J12" s="1"/>
  <c r="K12" s="1"/>
  <c r="L12" s="1"/>
  <c r="I32" i="6"/>
  <c r="J28"/>
  <c r="K28" s="1"/>
  <c r="E19" i="10"/>
  <c r="F23" i="29"/>
  <c r="F7" i="21"/>
  <c r="C17" i="5"/>
  <c r="E4" i="13"/>
  <c r="D4" i="14"/>
  <c r="J70" i="6"/>
  <c r="K66"/>
  <c r="G68" i="29"/>
  <c r="F24"/>
  <c r="D71"/>
  <c r="G70" s="1"/>
  <c r="K70" i="6"/>
  <c r="E4" i="14"/>
  <c r="F4" i="13"/>
  <c r="K26" i="6"/>
  <c r="L26" s="1"/>
  <c r="F4" i="14"/>
  <c r="G4" i="13"/>
  <c r="H4"/>
  <c r="G4" i="14"/>
  <c r="I4" i="13"/>
  <c r="I4" i="14" s="1"/>
  <c r="H4"/>
  <c r="J4" i="13"/>
  <c r="K4"/>
  <c r="L4" s="1"/>
  <c r="J40" i="27" l="1"/>
  <c r="O40"/>
  <c r="M40"/>
  <c r="N40"/>
  <c r="E40"/>
  <c r="D36" i="25"/>
  <c r="E36" s="1"/>
  <c r="F36" s="1"/>
  <c r="E34" i="7"/>
  <c r="E36" s="1"/>
  <c r="C14" i="21"/>
  <c r="C15" s="1"/>
  <c r="C4" i="9"/>
  <c r="D4" s="1"/>
  <c r="E4" s="1"/>
  <c r="F4" s="1"/>
  <c r="G4" s="1"/>
  <c r="H4" s="1"/>
  <c r="I4" s="1"/>
  <c r="J4" s="1"/>
  <c r="K4" s="1"/>
  <c r="L4" s="1"/>
  <c r="M4" s="1"/>
  <c r="N4" s="1"/>
  <c r="O4" s="1"/>
  <c r="P4" s="1"/>
  <c r="Q4" s="1"/>
  <c r="R4" s="1"/>
  <c r="F5" i="27"/>
  <c r="G8" i="6"/>
  <c r="K9" i="10" s="1"/>
  <c r="C6" i="17"/>
  <c r="D6" s="1"/>
  <c r="H44" i="9"/>
  <c r="E4" i="20"/>
  <c r="F4" s="1"/>
  <c r="G4" s="1"/>
  <c r="H4" s="1"/>
  <c r="I4" s="1"/>
  <c r="J4" s="1"/>
  <c r="K4" s="1"/>
  <c r="D11" i="8"/>
  <c r="G17"/>
  <c r="J12" i="27"/>
  <c r="I12"/>
  <c r="H12"/>
  <c r="G12"/>
  <c r="G11" i="3"/>
  <c r="E78" i="27"/>
  <c r="E79" s="1"/>
  <c r="C43" i="25"/>
  <c r="C38"/>
  <c r="B63"/>
  <c r="B74" s="1"/>
  <c r="D16" i="7"/>
  <c r="H45" i="8"/>
  <c r="C26" i="5"/>
  <c r="D17" i="8"/>
  <c r="F8" i="21"/>
  <c r="F18" s="1"/>
  <c r="F19" s="1"/>
  <c r="G16" i="6"/>
  <c r="D7" i="3"/>
  <c r="D26" i="5"/>
  <c r="J9" i="27"/>
  <c r="B3" i="34"/>
  <c r="B7" s="1"/>
  <c r="B8" s="1"/>
  <c r="B9" s="1"/>
  <c r="B10" s="1"/>
  <c r="B11" s="1"/>
  <c r="B12" s="1"/>
  <c r="B13" s="1"/>
  <c r="B14" s="1"/>
  <c r="F17" i="7"/>
  <c r="G16" s="1"/>
  <c r="G18" s="1"/>
  <c r="G25" s="1"/>
  <c r="E12" i="27"/>
  <c r="E22" s="1"/>
  <c r="S17" i="8"/>
  <c r="I59" i="6"/>
  <c r="I60" s="1"/>
  <c r="D6" i="13"/>
  <c r="C6"/>
  <c r="I20" i="23"/>
  <c r="H23"/>
  <c r="I24"/>
  <c r="H30"/>
  <c r="I30"/>
  <c r="I31"/>
  <c r="I36"/>
  <c r="H39"/>
  <c r="I41"/>
  <c r="H56"/>
  <c r="I56"/>
  <c r="I58"/>
  <c r="I64"/>
  <c r="I65"/>
  <c r="I66"/>
  <c r="H67"/>
  <c r="H69"/>
  <c r="I69"/>
  <c r="I70"/>
  <c r="I74"/>
  <c r="I75"/>
  <c r="H78"/>
  <c r="H81"/>
  <c r="I81"/>
  <c r="H82"/>
  <c r="H83"/>
  <c r="I83"/>
  <c r="H88"/>
  <c r="I88"/>
  <c r="F82" i="6"/>
  <c r="H10" i="28"/>
  <c r="I10" s="1"/>
  <c r="J10" s="1"/>
  <c r="D18" i="29"/>
  <c r="F25" i="22"/>
  <c r="F28" s="1"/>
  <c r="C22" i="4"/>
  <c r="C20" i="8"/>
  <c r="D21"/>
  <c r="E30" s="1"/>
  <c r="E32" s="1"/>
  <c r="E36" s="1"/>
  <c r="D20"/>
  <c r="C18" i="10" s="1"/>
  <c r="E17" i="8"/>
  <c r="E11"/>
  <c r="F21"/>
  <c r="F30" s="1"/>
  <c r="F32" s="1"/>
  <c r="F36" s="1"/>
  <c r="F20"/>
  <c r="G18" i="10" s="1"/>
  <c r="G21" i="8"/>
  <c r="I19" i="10" s="1"/>
  <c r="G11" i="8"/>
  <c r="H17"/>
  <c r="C25" i="7"/>
  <c r="F8" i="4"/>
  <c r="E7" i="5" s="1"/>
  <c r="F8" i="6"/>
  <c r="I9" i="10" s="1"/>
  <c r="E26" i="11" s="1"/>
  <c r="G9" i="27"/>
  <c r="G7"/>
  <c r="K68"/>
  <c r="G29"/>
  <c r="H29" s="1"/>
  <c r="F9"/>
  <c r="G20" i="5"/>
  <c r="G16" i="2"/>
  <c r="F25" i="21" s="1"/>
  <c r="E9"/>
  <c r="E16" i="2"/>
  <c r="D16"/>
  <c r="C26" i="21" s="1"/>
  <c r="K81" i="27"/>
  <c r="E24"/>
  <c r="F24" s="1"/>
  <c r="G24" s="1"/>
  <c r="H24" s="1"/>
  <c r="I24" s="1"/>
  <c r="J24" s="1"/>
  <c r="E23"/>
  <c r="F23" s="1"/>
  <c r="G23" s="1"/>
  <c r="H23" s="1"/>
  <c r="I23" s="1"/>
  <c r="J23" s="1"/>
  <c r="K23" s="1"/>
  <c r="E20"/>
  <c r="F20" s="1"/>
  <c r="G20" s="1"/>
  <c r="H20" s="1"/>
  <c r="I20" s="1"/>
  <c r="J20" s="1"/>
  <c r="F35" i="7"/>
  <c r="F32" i="9" s="1"/>
  <c r="F34" i="7"/>
  <c r="C11" i="3"/>
  <c r="C20" i="2"/>
  <c r="G35" i="7"/>
  <c r="G32" i="9" s="1"/>
  <c r="G34" i="7"/>
  <c r="F9" i="6"/>
  <c r="E16" i="7"/>
  <c r="D18"/>
  <c r="D25" s="1"/>
  <c r="K59" i="1"/>
  <c r="I44" i="9"/>
  <c r="I15" i="22"/>
  <c r="F8" i="3"/>
  <c r="E28" i="11"/>
  <c r="C10" i="2"/>
  <c r="C7" i="3"/>
  <c r="B16" i="21"/>
  <c r="B17" s="1"/>
  <c r="B14"/>
  <c r="B15" s="1"/>
  <c r="D26"/>
  <c r="H34" i="7"/>
  <c r="H35"/>
  <c r="H32" i="9" s="1"/>
  <c r="E12" i="3"/>
  <c r="D29" i="11" s="1"/>
  <c r="E21" i="2"/>
  <c r="D11" i="3"/>
  <c r="D20" i="2"/>
  <c r="D48" i="29"/>
  <c r="B61"/>
  <c r="D61" s="1"/>
  <c r="G10" i="2"/>
  <c r="F14" i="21"/>
  <c r="F15" s="1"/>
  <c r="F16"/>
  <c r="F17" s="1"/>
  <c r="G7" i="3"/>
  <c r="G8" s="1"/>
  <c r="D13" i="5"/>
  <c r="G71" i="27"/>
  <c r="J28" i="2" s="1"/>
  <c r="J7" i="7" s="1"/>
  <c r="E26" i="8"/>
  <c r="E13" i="5"/>
  <c r="E23" s="1"/>
  <c r="E28" s="1"/>
  <c r="G20" i="2"/>
  <c r="D14" i="21"/>
  <c r="D15" s="1"/>
  <c r="H15" s="1"/>
  <c r="G16" i="22"/>
  <c r="G18" s="1"/>
  <c r="G22" i="6"/>
  <c r="C4" i="7"/>
  <c r="D4" s="1"/>
  <c r="E4" s="1"/>
  <c r="F4" s="1"/>
  <c r="G4" s="1"/>
  <c r="H4" s="1"/>
  <c r="I4" s="1"/>
  <c r="J4" s="1"/>
  <c r="K4" s="1"/>
  <c r="L4" s="1"/>
  <c r="M4" s="1"/>
  <c r="N4" s="1"/>
  <c r="O4" s="1"/>
  <c r="P4" s="1"/>
  <c r="Q4" s="1"/>
  <c r="R4" s="1"/>
  <c r="B4" i="11"/>
  <c r="C4" s="1"/>
  <c r="D4" s="1"/>
  <c r="E4" s="1"/>
  <c r="F4" s="1"/>
  <c r="G4" s="1"/>
  <c r="H4" s="1"/>
  <c r="I4" s="1"/>
  <c r="J4" s="1"/>
  <c r="K4" s="1"/>
  <c r="L4" s="1"/>
  <c r="M4" s="1"/>
  <c r="N4" s="1"/>
  <c r="O4" s="1"/>
  <c r="P4" s="1"/>
  <c r="Q4" s="1"/>
  <c r="D45" i="8"/>
  <c r="B4" i="12"/>
  <c r="C4" s="1"/>
  <c r="D4" s="1"/>
  <c r="E4" s="1"/>
  <c r="F4" s="1"/>
  <c r="G4" s="1"/>
  <c r="H4" s="1"/>
  <c r="I4" s="1"/>
  <c r="J4" s="1"/>
  <c r="K4" s="1"/>
  <c r="L4" s="1"/>
  <c r="M4" s="1"/>
  <c r="N4" s="1"/>
  <c r="O4" s="1"/>
  <c r="P4" s="1"/>
  <c r="Q4" s="1"/>
  <c r="H15" i="22"/>
  <c r="H22" i="4"/>
  <c r="E71" i="27"/>
  <c r="H28" i="2" s="1"/>
  <c r="H7" i="7" s="1"/>
  <c r="G9" i="6"/>
  <c r="F16"/>
  <c r="E16" i="12" s="1"/>
  <c r="G20" i="8"/>
  <c r="I18" i="10" s="1"/>
  <c r="D16" i="21"/>
  <c r="D17" s="1"/>
  <c r="H17" s="1"/>
  <c r="F21" i="6"/>
  <c r="F22" s="1"/>
  <c r="E20" i="2"/>
  <c r="G14" i="6"/>
  <c r="E15" i="12"/>
  <c r="C16" i="22"/>
  <c r="C19" s="1"/>
  <c r="G22" i="3"/>
  <c r="S21" i="8"/>
  <c r="A1" i="25"/>
  <c r="C11" i="8"/>
  <c r="F16" i="2"/>
  <c r="C75" i="27" s="1"/>
  <c r="C11" i="22"/>
  <c r="E14" i="6"/>
  <c r="D11"/>
  <c r="D8" i="9" s="1"/>
  <c r="F25" i="27"/>
  <c r="F20" i="2"/>
  <c r="B22" i="13"/>
  <c r="D9" i="21"/>
  <c r="E16"/>
  <c r="E17" s="1"/>
  <c r="E23" s="1"/>
  <c r="C4" i="6"/>
  <c r="D4" s="1"/>
  <c r="E4" s="1"/>
  <c r="F4" s="1"/>
  <c r="G4" s="1"/>
  <c r="H4" s="1"/>
  <c r="I4" s="1"/>
  <c r="J4" s="1"/>
  <c r="K4" s="1"/>
  <c r="L4" s="1"/>
  <c r="M4" s="1"/>
  <c r="N4" s="1"/>
  <c r="O4" s="1"/>
  <c r="P4" s="1"/>
  <c r="Q4" s="1"/>
  <c r="R4" s="1"/>
  <c r="C8"/>
  <c r="D22" i="4"/>
  <c r="E22"/>
  <c r="F71" i="27"/>
  <c r="I28" i="2" s="1"/>
  <c r="I7" i="7" s="1"/>
  <c r="E9" i="27"/>
  <c r="E21" s="1"/>
  <c r="F25" i="29"/>
  <c r="C51" a="1"/>
  <c r="C3" i="34"/>
  <c r="C7" s="1"/>
  <c r="C8" s="1"/>
  <c r="C9" s="1"/>
  <c r="C10" s="1"/>
  <c r="C11" s="1"/>
  <c r="C12" s="1"/>
  <c r="C13" s="1"/>
  <c r="C14" s="1"/>
  <c r="C64" i="29" a="1"/>
  <c r="D54"/>
  <c r="G52"/>
  <c r="H52" s="1"/>
  <c r="F53"/>
  <c r="G52" i="9"/>
  <c r="E8" i="23"/>
  <c r="G45"/>
  <c r="G46" s="1"/>
  <c r="G47" s="1"/>
  <c r="G48" s="1"/>
  <c r="G49" s="1"/>
  <c r="G50" s="1"/>
  <c r="G51" s="1"/>
  <c r="G52" s="1"/>
  <c r="G53" s="1"/>
  <c r="G54" s="1"/>
  <c r="G55" s="1"/>
  <c r="G56" s="1"/>
  <c r="G57" s="1"/>
  <c r="G58" s="1"/>
  <c r="G59" s="1"/>
  <c r="G60" s="1"/>
  <c r="G61" s="1"/>
  <c r="G62" s="1"/>
  <c r="G63" s="1"/>
  <c r="G64" s="1"/>
  <c r="G65" s="1"/>
  <c r="G66" s="1"/>
  <c r="G67" s="1"/>
  <c r="G68" s="1"/>
  <c r="G69" s="1"/>
  <c r="G70" s="1"/>
  <c r="G71" s="1"/>
  <c r="G72" s="1"/>
  <c r="G73" s="1"/>
  <c r="G74" s="1"/>
  <c r="G75" s="1"/>
  <c r="G76" s="1"/>
  <c r="G77" s="1"/>
  <c r="G78" s="1"/>
  <c r="G79" s="1"/>
  <c r="G80" s="1"/>
  <c r="G81" s="1"/>
  <c r="G82" s="1"/>
  <c r="G83" s="1"/>
  <c r="G84" s="1"/>
  <c r="G85" s="1"/>
  <c r="G86" s="1"/>
  <c r="G87" s="1"/>
  <c r="G88" s="1"/>
  <c r="G89" s="1"/>
  <c r="G90" s="1"/>
  <c r="G91" s="1"/>
  <c r="G92" s="1"/>
  <c r="G93" s="1"/>
  <c r="G94" s="1"/>
  <c r="G95" s="1"/>
  <c r="G96" s="1"/>
  <c r="G97" s="1"/>
  <c r="G98" s="1"/>
  <c r="I8" i="8"/>
  <c r="I39" i="1"/>
  <c r="I10" i="8" s="1"/>
  <c r="I43" i="1"/>
  <c r="I33"/>
  <c r="J4"/>
  <c r="C70"/>
  <c r="I29" i="6"/>
  <c r="H30"/>
  <c r="I9" i="29"/>
  <c r="H80" i="23"/>
  <c r="I80"/>
  <c r="H85"/>
  <c r="I85"/>
  <c r="H93"/>
  <c r="I93"/>
  <c r="O6" i="22"/>
  <c r="C17" i="8"/>
  <c r="C21"/>
  <c r="K6" i="29"/>
  <c r="K3" i="34" s="1"/>
  <c r="K7" s="1"/>
  <c r="K8" s="1"/>
  <c r="K9" s="1"/>
  <c r="K10" s="1"/>
  <c r="K11" s="1"/>
  <c r="K12" s="1"/>
  <c r="K13" s="1"/>
  <c r="K14" s="1"/>
  <c r="E26" i="18"/>
  <c r="A33"/>
  <c r="H22" i="23"/>
  <c r="I22"/>
  <c r="H32"/>
  <c r="I32"/>
  <c r="I86"/>
  <c r="H86"/>
  <c r="C24" i="29"/>
  <c r="E25" s="1"/>
  <c r="C95" s="1"/>
  <c r="C23"/>
  <c r="E24" s="1"/>
  <c r="C94" s="1"/>
  <c r="C27"/>
  <c r="C29"/>
  <c r="C25"/>
  <c r="I24"/>
  <c r="I26"/>
  <c r="I23"/>
  <c r="C30"/>
  <c r="I27"/>
  <c r="I28"/>
  <c r="C28"/>
  <c r="C26"/>
  <c r="I30"/>
  <c r="I22"/>
  <c r="E18" i="7"/>
  <c r="E25" s="1"/>
  <c r="F16"/>
  <c r="F18" s="1"/>
  <c r="F25" s="1"/>
  <c r="C12" i="10"/>
  <c r="C23"/>
  <c r="C11"/>
  <c r="C7"/>
  <c r="E4"/>
  <c r="C13"/>
  <c r="L66" i="6"/>
  <c r="C37" i="17"/>
  <c r="C15" i="20"/>
  <c r="C20" i="3"/>
  <c r="C23" i="22"/>
  <c r="C25" s="1"/>
  <c r="C28" s="1"/>
  <c r="C27" i="2"/>
  <c r="C10" i="7" s="1"/>
  <c r="C31" i="9"/>
  <c r="D27" i="2"/>
  <c r="D10" i="7" s="1"/>
  <c r="D23" i="22"/>
  <c r="D25" s="1"/>
  <c r="D28" s="1"/>
  <c r="D31" i="9"/>
  <c r="D20" i="3"/>
  <c r="D22" s="1"/>
  <c r="B13" i="25"/>
  <c r="E27" i="2"/>
  <c r="E10" i="7" s="1"/>
  <c r="E33" i="9"/>
  <c r="E19" i="3"/>
  <c r="E22" s="1"/>
  <c r="H51" i="23"/>
  <c r="I51"/>
  <c r="E10" i="4"/>
  <c r="D9" i="5" s="1"/>
  <c r="B39" i="25"/>
  <c r="C39" s="1"/>
  <c r="D39" s="1"/>
  <c r="E39" s="1"/>
  <c r="F39" s="1"/>
  <c r="G39" s="1"/>
  <c r="H39" s="1"/>
  <c r="I39" s="1"/>
  <c r="J39" s="1"/>
  <c r="K39" s="1"/>
  <c r="L39" s="1"/>
  <c r="E15" i="1"/>
  <c r="F11" i="4"/>
  <c r="E10" i="5" s="1"/>
  <c r="F15" i="1"/>
  <c r="D30" i="6"/>
  <c r="D31"/>
  <c r="E31"/>
  <c r="D80"/>
  <c r="D82" s="1"/>
  <c r="I67"/>
  <c r="H68"/>
  <c r="H16" i="7"/>
  <c r="T8" i="12"/>
  <c r="C21" i="29"/>
  <c r="I29"/>
  <c r="C102" i="23"/>
  <c r="C20" i="5"/>
  <c r="B14" i="19"/>
  <c r="B13"/>
  <c r="E14" i="23"/>
  <c r="E15" s="1"/>
  <c r="E16" s="1"/>
  <c r="E17" s="1"/>
  <c r="E18" s="1"/>
  <c r="E19" s="1"/>
  <c r="E20" s="1"/>
  <c r="E21" s="1"/>
  <c r="E22" s="1"/>
  <c r="E23" s="1"/>
  <c r="E24" s="1"/>
  <c r="E25" s="1"/>
  <c r="E26" s="1"/>
  <c r="E27" s="1"/>
  <c r="E28" s="1"/>
  <c r="E29" s="1"/>
  <c r="E30" s="1"/>
  <c r="E31" s="1"/>
  <c r="E32" s="1"/>
  <c r="E33" s="1"/>
  <c r="E34" s="1"/>
  <c r="E35" s="1"/>
  <c r="E36" s="1"/>
  <c r="E37" s="1"/>
  <c r="E38" s="1"/>
  <c r="E39" s="1"/>
  <c r="E40" s="1"/>
  <c r="E41" s="1"/>
  <c r="E42" s="1"/>
  <c r="E43" s="1"/>
  <c r="E44" s="1"/>
  <c r="B101"/>
  <c r="H14"/>
  <c r="H19"/>
  <c r="C101"/>
  <c r="H27"/>
  <c r="I27"/>
  <c r="H49"/>
  <c r="B102"/>
  <c r="I49"/>
  <c r="H64" i="29"/>
  <c r="I50" i="1" s="1"/>
  <c r="I16" i="8" s="1"/>
  <c r="F65" i="29"/>
  <c r="F6" i="18"/>
  <c r="A14"/>
  <c r="M26" i="6"/>
  <c r="K32"/>
  <c r="L28"/>
  <c r="E16"/>
  <c r="D16" i="12" s="1"/>
  <c r="E8" i="9"/>
  <c r="J62" i="6"/>
  <c r="J59" s="1"/>
  <c r="K58"/>
  <c r="B53" i="29"/>
  <c r="B54" s="1"/>
  <c r="B55" s="1"/>
  <c r="B56" s="1"/>
  <c r="B57" s="1"/>
  <c r="B58" s="1"/>
  <c r="H11"/>
  <c r="I11" s="1"/>
  <c r="J11" s="1"/>
  <c r="C13" i="3"/>
  <c r="B14" i="25"/>
  <c r="C7" i="7"/>
  <c r="C8"/>
  <c r="C14" i="3"/>
  <c r="G8" i="7"/>
  <c r="G14" i="3"/>
  <c r="E84" i="6"/>
  <c r="D84"/>
  <c r="H75"/>
  <c r="I74"/>
  <c r="C13" i="12"/>
  <c r="D16" i="5"/>
  <c r="D20" s="1"/>
  <c r="M12" i="29"/>
  <c r="N12" s="1"/>
  <c r="I25"/>
  <c r="G22" i="8"/>
  <c r="G26" s="1"/>
  <c r="C33" i="21"/>
  <c r="D27" i="12"/>
  <c r="F45" i="8"/>
  <c r="F16" i="22"/>
  <c r="F18" s="1"/>
  <c r="H21" i="23"/>
  <c r="I21"/>
  <c r="H43"/>
  <c r="I43"/>
  <c r="I48"/>
  <c r="H48"/>
  <c r="I92"/>
  <c r="H92"/>
  <c r="H54" i="6"/>
  <c r="H52" s="1"/>
  <c r="H53"/>
  <c r="H6" i="26"/>
  <c r="H10"/>
  <c r="B14"/>
  <c r="H9"/>
  <c r="H11" i="27"/>
  <c r="H9" s="1"/>
  <c r="H7"/>
  <c r="H5" s="1"/>
  <c r="B38" i="29"/>
  <c r="B39" s="1"/>
  <c r="B40" s="1"/>
  <c r="B41" s="1"/>
  <c r="B42" s="1"/>
  <c r="B43" s="1"/>
  <c r="B44" s="1"/>
  <c r="B45" s="1"/>
  <c r="H10"/>
  <c r="I10" s="1"/>
  <c r="J10" s="1"/>
  <c r="K10" s="1"/>
  <c r="E26" i="22"/>
  <c r="E16"/>
  <c r="E18" s="1"/>
  <c r="C16" i="6"/>
  <c r="B16" i="12" s="1"/>
  <c r="C8" i="9"/>
  <c r="D13" i="12"/>
  <c r="B28" i="14"/>
  <c r="E33" i="21"/>
  <c r="F19" i="23"/>
  <c r="F20" s="1"/>
  <c r="F21" s="1"/>
  <c r="F22" s="1"/>
  <c r="F23" s="1"/>
  <c r="F24" s="1"/>
  <c r="F25" s="1"/>
  <c r="F26" s="1"/>
  <c r="F27" s="1"/>
  <c r="F28" s="1"/>
  <c r="F29" s="1"/>
  <c r="F30" s="1"/>
  <c r="F31" s="1"/>
  <c r="F32" s="1"/>
  <c r="F33" s="1"/>
  <c r="F34" s="1"/>
  <c r="F35" s="1"/>
  <c r="F36" s="1"/>
  <c r="F37" s="1"/>
  <c r="F38" s="1"/>
  <c r="F39" s="1"/>
  <c r="F40" s="1"/>
  <c r="F41" s="1"/>
  <c r="F42" s="1"/>
  <c r="F43" s="1"/>
  <c r="F44" s="1"/>
  <c r="D101"/>
  <c r="S6" i="26"/>
  <c r="J32" i="6"/>
  <c r="F17" i="9"/>
  <c r="F50"/>
  <c r="C23" i="21"/>
  <c r="J51" i="6"/>
  <c r="I54"/>
  <c r="D35" i="8"/>
  <c r="D22"/>
  <c r="D25" s="1"/>
  <c r="D18" i="22"/>
  <c r="D19"/>
  <c r="C30" i="14"/>
  <c r="D34" s="1"/>
  <c r="D36" s="1"/>
  <c r="D8"/>
  <c r="F15"/>
  <c r="F16" s="1"/>
  <c r="F21"/>
  <c r="F23" s="1"/>
  <c r="F24" s="1"/>
  <c r="D15"/>
  <c r="D16" s="1"/>
  <c r="D21"/>
  <c r="D23" s="1"/>
  <c r="D24" s="1"/>
  <c r="B6" i="13"/>
  <c r="B15" i="14"/>
  <c r="B16" s="1"/>
  <c r="B21"/>
  <c r="B23" s="1"/>
  <c r="B24" s="1"/>
  <c r="E31" i="9"/>
  <c r="E34" s="1"/>
  <c r="E23" i="22"/>
  <c r="E25" s="1"/>
  <c r="F19" i="3"/>
  <c r="F22" s="1"/>
  <c r="F33" i="9"/>
  <c r="F34" s="1"/>
  <c r="I77" i="23"/>
  <c r="H77"/>
  <c r="I89"/>
  <c r="D103"/>
  <c r="H91"/>
  <c r="I91"/>
  <c r="B103"/>
  <c r="B12" i="21"/>
  <c r="B13" s="1"/>
  <c r="B17" i="25"/>
  <c r="D8" i="4"/>
  <c r="D15" i="1"/>
  <c r="C30" i="6"/>
  <c r="C80"/>
  <c r="C82" s="1"/>
  <c r="I43"/>
  <c r="H80"/>
  <c r="H45"/>
  <c r="F31" i="27"/>
  <c r="F40"/>
  <c r="L31"/>
  <c r="L40"/>
  <c r="K14"/>
  <c r="K10"/>
  <c r="K13"/>
  <c r="K15"/>
  <c r="K8"/>
  <c r="K16"/>
  <c r="I5" i="28"/>
  <c r="H13"/>
  <c r="K11" i="27" s="1"/>
  <c r="H8" i="25"/>
  <c r="K7" i="27"/>
  <c r="K5" s="1"/>
  <c r="I11"/>
  <c r="I9" s="1"/>
  <c r="I7"/>
  <c r="I5" s="1"/>
  <c r="D32" i="9"/>
  <c r="D36" i="7"/>
  <c r="E14" i="4"/>
  <c r="M73" i="6"/>
  <c r="L77"/>
  <c r="D55" i="1"/>
  <c r="B33" i="21" s="1"/>
  <c r="I21" i="14"/>
  <c r="I23" s="1"/>
  <c r="I24" s="1"/>
  <c r="I28"/>
  <c r="H29" i="23"/>
  <c r="I29"/>
  <c r="I53"/>
  <c r="H53"/>
  <c r="I71"/>
  <c r="H71"/>
  <c r="I98"/>
  <c r="H98"/>
  <c r="E23" i="1"/>
  <c r="C20" i="21"/>
  <c r="G11" i="4"/>
  <c r="F10" i="5" s="1"/>
  <c r="G15" i="1"/>
  <c r="I20"/>
  <c r="H23"/>
  <c r="H27" s="1"/>
  <c r="F9" i="21"/>
  <c r="G31" i="9"/>
  <c r="G34" s="1"/>
  <c r="G23" i="22"/>
  <c r="G25" s="1"/>
  <c r="G28" s="1"/>
  <c r="H39" i="6"/>
  <c r="H37" s="1"/>
  <c r="I36"/>
  <c r="K11" i="26"/>
  <c r="M11" s="1"/>
  <c r="K10"/>
  <c r="K9"/>
  <c r="K8"/>
  <c r="M8" s="1"/>
  <c r="K7"/>
  <c r="M7" s="1"/>
  <c r="Q12"/>
  <c r="S12" s="1"/>
  <c r="K6"/>
  <c r="K63" i="1"/>
  <c r="L25"/>
  <c r="D4" i="5"/>
  <c r="E4" s="1"/>
  <c r="F4" s="1"/>
  <c r="G4" s="1"/>
  <c r="H4" s="1"/>
  <c r="I4" s="1"/>
  <c r="J4" s="1"/>
  <c r="K4" s="1"/>
  <c r="L4" s="1"/>
  <c r="M4" s="1"/>
  <c r="N4" s="1"/>
  <c r="O4" s="1"/>
  <c r="P4" s="1"/>
  <c r="Q4" s="1"/>
  <c r="R4" s="1"/>
  <c r="D4" i="8"/>
  <c r="E4" s="1"/>
  <c r="F4" s="1"/>
  <c r="G4" s="1"/>
  <c r="H4" s="1"/>
  <c r="I4" s="1"/>
  <c r="J4" s="1"/>
  <c r="K4" s="1"/>
  <c r="L4" s="1"/>
  <c r="M4" s="1"/>
  <c r="N4" s="1"/>
  <c r="O4" s="1"/>
  <c r="P4" s="1"/>
  <c r="Q4" s="1"/>
  <c r="R4" s="1"/>
  <c r="S4" s="1"/>
  <c r="E10" i="2"/>
  <c r="E7" i="3"/>
  <c r="B75" i="27"/>
  <c r="D25" i="21"/>
  <c r="G28" i="14"/>
  <c r="I6" i="13"/>
  <c r="D102" i="23"/>
  <c r="I52"/>
  <c r="H64"/>
  <c r="C103"/>
  <c r="H94"/>
  <c r="H55" i="1"/>
  <c r="G46" i="6"/>
  <c r="D33"/>
  <c r="F48"/>
  <c r="G84"/>
  <c r="E20" i="8"/>
  <c r="G6" i="13"/>
  <c r="G21" i="14"/>
  <c r="G23" s="1"/>
  <c r="G24" s="1"/>
  <c r="C21" i="3"/>
  <c r="D31" i="8"/>
  <c r="D41" s="1"/>
  <c r="I15" i="23"/>
  <c r="H15"/>
  <c r="H38"/>
  <c r="I38"/>
  <c r="H61"/>
  <c r="I61"/>
  <c r="H68"/>
  <c r="I68"/>
  <c r="I95"/>
  <c r="H95"/>
  <c r="J5" i="29"/>
  <c r="K9" i="28"/>
  <c r="AC34" i="26"/>
  <c r="AC33"/>
  <c r="F36" i="29"/>
  <c r="H21" i="8"/>
  <c r="H11"/>
  <c r="E9" i="22"/>
  <c r="D11"/>
  <c r="C14" i="4"/>
  <c r="C25" s="1"/>
  <c r="C31" s="1"/>
  <c r="C37" i="10" s="1"/>
  <c r="C39" s="1"/>
  <c r="C32" s="1"/>
  <c r="B6" i="11" s="1"/>
  <c r="I60" i="23"/>
  <c r="I73"/>
  <c r="F20" i="5"/>
  <c r="D6" i="6"/>
  <c r="C50" i="27"/>
  <c r="C52" s="1"/>
  <c r="G8" i="4"/>
  <c r="B42" i="25"/>
  <c r="C42" s="1"/>
  <c r="D42" s="1"/>
  <c r="E42" s="1"/>
  <c r="F42" s="1"/>
  <c r="G42" s="1"/>
  <c r="H42" s="1"/>
  <c r="I42" s="1"/>
  <c r="J42" s="1"/>
  <c r="K42" s="1"/>
  <c r="L42" s="1"/>
  <c r="D13" i="4"/>
  <c r="C12" i="5" s="1"/>
  <c r="D50" i="27"/>
  <c r="D52" s="1"/>
  <c r="H8" i="4"/>
  <c r="D12" i="20"/>
  <c r="D15" s="1"/>
  <c r="J12"/>
  <c r="J15" s="1"/>
  <c r="H12"/>
  <c r="H15" s="1"/>
  <c r="B40" i="25"/>
  <c r="C40" s="1"/>
  <c r="D40" s="1"/>
  <c r="E40" s="1"/>
  <c r="F40" s="1"/>
  <c r="G40" s="1"/>
  <c r="H40" s="1"/>
  <c r="I40" s="1"/>
  <c r="J40" s="1"/>
  <c r="K40" s="1"/>
  <c r="L40" s="1"/>
  <c r="G101" i="29"/>
  <c r="I101" s="1"/>
  <c r="C46" i="9"/>
  <c r="F11" i="8"/>
  <c r="F22" i="4"/>
  <c r="G22"/>
  <c r="G5" i="27"/>
  <c r="H20" i="8"/>
  <c r="E8" i="6"/>
  <c r="K69" i="27"/>
  <c r="L69" s="1"/>
  <c r="M69" s="1"/>
  <c r="N69" s="1"/>
  <c r="O69" s="1"/>
  <c r="J7"/>
  <c r="J5" s="1"/>
  <c r="F12"/>
  <c r="D10" i="2"/>
  <c r="F33" i="27"/>
  <c r="B10" i="25"/>
  <c r="F78" i="27"/>
  <c r="F79" s="1"/>
  <c r="G78" s="1"/>
  <c r="G79" s="1"/>
  <c r="F41"/>
  <c r="F10" i="2"/>
  <c r="H66" i="27"/>
  <c r="K67"/>
  <c r="L67" s="1"/>
  <c r="M67" s="1"/>
  <c r="N67" s="1"/>
  <c r="O67" s="1"/>
  <c r="F43"/>
  <c r="J46" i="1"/>
  <c r="K46" s="1"/>
  <c r="L46" s="1"/>
  <c r="M46" s="1"/>
  <c r="N46" s="1"/>
  <c r="O46" s="1"/>
  <c r="P46" s="1"/>
  <c r="Q46" s="1"/>
  <c r="R46" s="1"/>
  <c r="S46" s="1"/>
  <c r="C16" i="2"/>
  <c r="E5" i="27"/>
  <c r="E19" s="1"/>
  <c r="D26"/>
  <c r="F21" l="1"/>
  <c r="G21" s="1"/>
  <c r="G25"/>
  <c r="F22"/>
  <c r="G22" s="1"/>
  <c r="H22" s="1"/>
  <c r="I22" s="1"/>
  <c r="J22" s="1"/>
  <c r="I36" i="25"/>
  <c r="J36" s="1"/>
  <c r="K36" s="1"/>
  <c r="L36" s="1"/>
  <c r="D37"/>
  <c r="E37" s="1"/>
  <c r="F37" s="1"/>
  <c r="D43"/>
  <c r="E43" s="1"/>
  <c r="F43" s="1"/>
  <c r="D38"/>
  <c r="E38" s="1"/>
  <c r="F38" s="1"/>
  <c r="F26" i="21"/>
  <c r="G10" i="6"/>
  <c r="G12" s="1"/>
  <c r="G23" s="1"/>
  <c r="K24" i="27"/>
  <c r="E28" i="22"/>
  <c r="E25" i="21"/>
  <c r="D75" i="27"/>
  <c r="E17" i="9"/>
  <c r="K20" i="27"/>
  <c r="D23" i="5"/>
  <c r="D28" s="1"/>
  <c r="E25" i="4"/>
  <c r="E27" s="1"/>
  <c r="C11" i="12" s="1"/>
  <c r="L81" i="27"/>
  <c r="M81" s="1"/>
  <c r="F14" i="4"/>
  <c r="C22" i="8"/>
  <c r="C25" s="1"/>
  <c r="B31" i="25"/>
  <c r="B85" s="1"/>
  <c r="B84"/>
  <c r="C25" i="21"/>
  <c r="B44" i="25"/>
  <c r="F36" i="7"/>
  <c r="G19" i="2"/>
  <c r="G6" i="7" s="1"/>
  <c r="G9" s="1"/>
  <c r="C28" i="11"/>
  <c r="D8" i="3"/>
  <c r="I21" i="10"/>
  <c r="F22" i="8"/>
  <c r="G30"/>
  <c r="G32" s="1"/>
  <c r="G36" s="1"/>
  <c r="D26"/>
  <c r="D27" s="1"/>
  <c r="G19" i="10"/>
  <c r="G21" s="1"/>
  <c r="C19"/>
  <c r="C21" s="1"/>
  <c r="I101" i="23"/>
  <c r="H103"/>
  <c r="M10" i="26"/>
  <c r="E19" i="22"/>
  <c r="C22" i="3"/>
  <c r="C78" i="29" a="1"/>
  <c r="C88" s="1"/>
  <c r="D23" i="21"/>
  <c r="D21" i="2"/>
  <c r="D12" i="3"/>
  <c r="G12"/>
  <c r="G16" s="1"/>
  <c r="G24" s="1"/>
  <c r="G28" s="1"/>
  <c r="G21" i="2"/>
  <c r="I21" i="29"/>
  <c r="C22"/>
  <c r="E23" s="1"/>
  <c r="C93" s="1"/>
  <c r="H36" i="7"/>
  <c r="C63" i="25"/>
  <c r="C74" s="1"/>
  <c r="H17" i="9"/>
  <c r="L59" i="1"/>
  <c r="J44" i="9"/>
  <c r="J15" i="22"/>
  <c r="F12" i="3"/>
  <c r="F21" i="2"/>
  <c r="AG19" i="10"/>
  <c r="S26" i="8"/>
  <c r="B40" i="21"/>
  <c r="C11" i="2"/>
  <c r="C19"/>
  <c r="C6" i="7" s="1"/>
  <c r="C9" s="1"/>
  <c r="C18" i="22"/>
  <c r="B23" i="21"/>
  <c r="H13"/>
  <c r="G35" i="8"/>
  <c r="E26" i="21"/>
  <c r="F40"/>
  <c r="G11" i="2"/>
  <c r="C10" i="6"/>
  <c r="C12" s="1"/>
  <c r="C9" i="10"/>
  <c r="B26" i="11" s="1"/>
  <c r="C9" i="6"/>
  <c r="A1" i="28"/>
  <c r="A1" i="27"/>
  <c r="A1" i="29" s="1"/>
  <c r="A1" i="34" s="1"/>
  <c r="A1" i="26"/>
  <c r="B28" i="11"/>
  <c r="C8" i="3"/>
  <c r="G17" i="9"/>
  <c r="G36" i="7"/>
  <c r="G38" s="1"/>
  <c r="F23" i="21"/>
  <c r="G19" i="22"/>
  <c r="F38" i="7"/>
  <c r="K59" i="6"/>
  <c r="L59" s="1"/>
  <c r="M59" s="1"/>
  <c r="N59" s="1"/>
  <c r="O59" s="1"/>
  <c r="P59" s="1"/>
  <c r="Q59" s="1"/>
  <c r="R59" s="1"/>
  <c r="J60"/>
  <c r="G30" i="2"/>
  <c r="G34" s="1"/>
  <c r="F49" i="21"/>
  <c r="F41"/>
  <c r="M77" i="6"/>
  <c r="N73"/>
  <c r="F17" i="14"/>
  <c r="F101" i="23"/>
  <c r="G101"/>
  <c r="E21" i="29"/>
  <c r="C91" s="1"/>
  <c r="E22"/>
  <c r="C92" s="1"/>
  <c r="J67" i="6"/>
  <c r="I68"/>
  <c r="C55" i="29"/>
  <c r="C53"/>
  <c r="E53" s="1"/>
  <c r="D93" s="1"/>
  <c r="C54"/>
  <c r="E54" s="1"/>
  <c r="D94" s="1"/>
  <c r="C57"/>
  <c r="C52"/>
  <c r="E52" s="1"/>
  <c r="D92" s="1"/>
  <c r="C58"/>
  <c r="C56"/>
  <c r="C51"/>
  <c r="E51" s="1"/>
  <c r="D91" s="1"/>
  <c r="F33" i="21"/>
  <c r="F31"/>
  <c r="E19" i="2"/>
  <c r="D40" i="21"/>
  <c r="E11" i="2"/>
  <c r="J36" i="6"/>
  <c r="I39"/>
  <c r="I37" s="1"/>
  <c r="G27" i="1"/>
  <c r="E8" i="21"/>
  <c r="E18" s="1"/>
  <c r="E19" s="1"/>
  <c r="E6"/>
  <c r="E7"/>
  <c r="G103" i="23"/>
  <c r="F103"/>
  <c r="C6" i="21"/>
  <c r="E27" i="1"/>
  <c r="C7" i="21"/>
  <c r="C8"/>
  <c r="C18" s="1"/>
  <c r="C19" s="1"/>
  <c r="F54" i="29"/>
  <c r="C81"/>
  <c r="C85"/>
  <c r="C80"/>
  <c r="C12" i="3"/>
  <c r="C21" i="2"/>
  <c r="B45" i="25"/>
  <c r="B25" i="21"/>
  <c r="B26"/>
  <c r="G43" i="27"/>
  <c r="I66"/>
  <c r="H71"/>
  <c r="K28" i="2" s="1"/>
  <c r="H78" i="27"/>
  <c r="H79" s="1"/>
  <c r="D19" i="2"/>
  <c r="C40" i="21"/>
  <c r="D11" i="2"/>
  <c r="D8" i="6"/>
  <c r="E10" s="1"/>
  <c r="E12" s="1"/>
  <c r="D16"/>
  <c r="C16" i="12" s="1"/>
  <c r="D22" i="6"/>
  <c r="C15" i="12"/>
  <c r="D14" i="6"/>
  <c r="F9" i="22"/>
  <c r="E11"/>
  <c r="H36" i="29"/>
  <c r="I44" i="1" s="1"/>
  <c r="I15" i="8" s="1"/>
  <c r="F37" i="29"/>
  <c r="E18" i="10"/>
  <c r="E35" i="8"/>
  <c r="E37" s="1"/>
  <c r="D36" i="9" s="1"/>
  <c r="F35" i="8"/>
  <c r="F37" s="1"/>
  <c r="E36" i="9" s="1"/>
  <c r="E38" s="1"/>
  <c r="E22" i="8"/>
  <c r="E25" s="1"/>
  <c r="E27" s="1"/>
  <c r="M25" i="1"/>
  <c r="L63"/>
  <c r="J20"/>
  <c r="L14" i="27"/>
  <c r="L10"/>
  <c r="L13"/>
  <c r="L15"/>
  <c r="L23" s="1"/>
  <c r="L8"/>
  <c r="L16"/>
  <c r="I13" i="28"/>
  <c r="L7" i="27" s="1"/>
  <c r="I8" i="25"/>
  <c r="L6" i="27"/>
  <c r="D17" i="14"/>
  <c r="D30" s="1"/>
  <c r="E34" s="1"/>
  <c r="E36" s="1"/>
  <c r="J54" i="6"/>
  <c r="K51"/>
  <c r="D90"/>
  <c r="D89"/>
  <c r="D91"/>
  <c r="K60"/>
  <c r="L58"/>
  <c r="D37" i="17"/>
  <c r="E6"/>
  <c r="I30" i="6"/>
  <c r="J29"/>
  <c r="J43" i="1"/>
  <c r="J33"/>
  <c r="K4"/>
  <c r="J8" i="8"/>
  <c r="J39" i="1"/>
  <c r="J10" i="8" s="1"/>
  <c r="I14"/>
  <c r="C65" i="29"/>
  <c r="E65" s="1"/>
  <c r="E92" s="1"/>
  <c r="C68"/>
  <c r="C66"/>
  <c r="E66" s="1"/>
  <c r="E93" s="1"/>
  <c r="C71"/>
  <c r="C70"/>
  <c r="C67"/>
  <c r="C64"/>
  <c r="E64" s="1"/>
  <c r="E91" s="1"/>
  <c r="C69"/>
  <c r="C16" i="20"/>
  <c r="H21" i="27"/>
  <c r="I21" s="1"/>
  <c r="J21" s="1"/>
  <c r="K12"/>
  <c r="H56" i="6"/>
  <c r="I52"/>
  <c r="G25" i="8"/>
  <c r="G27" s="1"/>
  <c r="H102" i="23"/>
  <c r="L68" i="27"/>
  <c r="M68" s="1"/>
  <c r="N68" s="1"/>
  <c r="O68" s="1"/>
  <c r="E26"/>
  <c r="F19"/>
  <c r="F19" i="2"/>
  <c r="F11"/>
  <c r="E40" i="21"/>
  <c r="C10" i="25"/>
  <c r="G33" i="27"/>
  <c r="G9" i="10"/>
  <c r="D26" i="11" s="1"/>
  <c r="E9" i="6"/>
  <c r="F10"/>
  <c r="F12" s="1"/>
  <c r="K19" i="10"/>
  <c r="H30" i="8"/>
  <c r="H32" s="1"/>
  <c r="H36" s="1"/>
  <c r="H38" i="6"/>
  <c r="I47"/>
  <c r="I44" s="1"/>
  <c r="I80"/>
  <c r="J43"/>
  <c r="I45"/>
  <c r="D14" i="4"/>
  <c r="D25" s="1"/>
  <c r="C7" i="5"/>
  <c r="C13" s="1"/>
  <c r="C23" s="1"/>
  <c r="C28" s="1"/>
  <c r="B13" i="12"/>
  <c r="F45" i="23"/>
  <c r="F46" s="1"/>
  <c r="F47" s="1"/>
  <c r="F48" s="1"/>
  <c r="F49" s="1"/>
  <c r="F50" s="1"/>
  <c r="F51" s="1"/>
  <c r="F52" s="1"/>
  <c r="F53" s="1"/>
  <c r="F54" s="1"/>
  <c r="F55" s="1"/>
  <c r="F56" s="1"/>
  <c r="F57" s="1"/>
  <c r="F58" s="1"/>
  <c r="F59" s="1"/>
  <c r="F60" s="1"/>
  <c r="F61" s="1"/>
  <c r="F62" s="1"/>
  <c r="F63" s="1"/>
  <c r="F64" s="1"/>
  <c r="F65" s="1"/>
  <c r="F66" s="1"/>
  <c r="F67" s="1"/>
  <c r="F68" s="1"/>
  <c r="F69" s="1"/>
  <c r="F70" s="1"/>
  <c r="F71" s="1"/>
  <c r="F72" s="1"/>
  <c r="F73" s="1"/>
  <c r="F74" s="1"/>
  <c r="F75" s="1"/>
  <c r="F76" s="1"/>
  <c r="F77" s="1"/>
  <c r="F78" s="1"/>
  <c r="F79" s="1"/>
  <c r="F80" s="1"/>
  <c r="F81" s="1"/>
  <c r="F82" s="1"/>
  <c r="F83" s="1"/>
  <c r="F84" s="1"/>
  <c r="F85" s="1"/>
  <c r="F86" s="1"/>
  <c r="F87" s="1"/>
  <c r="F88" s="1"/>
  <c r="F89" s="1"/>
  <c r="F90" s="1"/>
  <c r="F91" s="1"/>
  <c r="F92" s="1"/>
  <c r="F93" s="1"/>
  <c r="F94" s="1"/>
  <c r="F95" s="1"/>
  <c r="F96" s="1"/>
  <c r="F97" s="1"/>
  <c r="F98" s="1"/>
  <c r="E7"/>
  <c r="J74" i="6"/>
  <c r="I75"/>
  <c r="A15" i="18"/>
  <c r="G6"/>
  <c r="F26"/>
  <c r="A34"/>
  <c r="P6" i="22"/>
  <c r="J9" i="29"/>
  <c r="D42" i="27"/>
  <c r="D44"/>
  <c r="H14" i="4"/>
  <c r="H25" s="1"/>
  <c r="G7" i="5"/>
  <c r="G13" s="1"/>
  <c r="G23" s="1"/>
  <c r="G28" s="1"/>
  <c r="F13" i="12"/>
  <c r="G14" i="4"/>
  <c r="G25" s="1"/>
  <c r="E13" i="12"/>
  <c r="F7" i="5"/>
  <c r="F13" s="1"/>
  <c r="F23" s="1"/>
  <c r="F28" s="1"/>
  <c r="B24" i="11"/>
  <c r="G89" i="6"/>
  <c r="G90"/>
  <c r="G91"/>
  <c r="D27" i="1"/>
  <c r="B6" i="21"/>
  <c r="B8"/>
  <c r="B18" s="1"/>
  <c r="B19" s="1"/>
  <c r="B7"/>
  <c r="B17" i="14"/>
  <c r="B30" s="1"/>
  <c r="C34" s="1"/>
  <c r="C36" s="1"/>
  <c r="B38" s="1"/>
  <c r="G50" i="9"/>
  <c r="H50"/>
  <c r="E91" i="6"/>
  <c r="E90"/>
  <c r="E89"/>
  <c r="M28"/>
  <c r="N26"/>
  <c r="G4" i="10"/>
  <c r="E13"/>
  <c r="E12"/>
  <c r="E7"/>
  <c r="E11"/>
  <c r="E23"/>
  <c r="G41" i="27"/>
  <c r="K18" i="10"/>
  <c r="H22" i="8"/>
  <c r="H26" s="1"/>
  <c r="H35"/>
  <c r="H25" i="27"/>
  <c r="I29"/>
  <c r="K5" i="29"/>
  <c r="L9" i="28"/>
  <c r="L5" i="29" s="1"/>
  <c r="K10" i="28"/>
  <c r="L10" s="1"/>
  <c r="E8" i="3"/>
  <c r="E16" s="1"/>
  <c r="E24" s="1"/>
  <c r="E28" s="1"/>
  <c r="D28" i="11"/>
  <c r="F22" i="21"/>
  <c r="F21"/>
  <c r="B31"/>
  <c r="F37" i="4"/>
  <c r="E8" i="14"/>
  <c r="F66" i="29"/>
  <c r="H65"/>
  <c r="J50" i="1" s="1"/>
  <c r="J16" i="8" s="1"/>
  <c r="G102" i="23"/>
  <c r="F102"/>
  <c r="E6"/>
  <c r="E45"/>
  <c r="D8" i="21"/>
  <c r="D18" s="1"/>
  <c r="D19" s="1"/>
  <c r="D7"/>
  <c r="D6"/>
  <c r="F27" i="1"/>
  <c r="L70" i="6"/>
  <c r="M66"/>
  <c r="C26" i="8"/>
  <c r="D30"/>
  <c r="D32" s="1"/>
  <c r="D36" s="1"/>
  <c r="D37" s="1"/>
  <c r="C36" i="9" s="1"/>
  <c r="I9" i="8"/>
  <c r="D106" i="23"/>
  <c r="D107"/>
  <c r="C6" i="22" s="1"/>
  <c r="D108" i="23"/>
  <c r="D55" i="29"/>
  <c r="G53"/>
  <c r="H53" s="1"/>
  <c r="E26"/>
  <c r="C96" s="1"/>
  <c r="F26"/>
  <c r="M6" i="26"/>
  <c r="I102" i="23"/>
  <c r="K9" i="27"/>
  <c r="I103" i="23"/>
  <c r="F19" i="22"/>
  <c r="H101" i="23"/>
  <c r="H81" i="6"/>
  <c r="H84" s="1"/>
  <c r="F25" i="4"/>
  <c r="M9" i="26"/>
  <c r="D34" i="9"/>
  <c r="C13" i="20"/>
  <c r="H41" i="6"/>
  <c r="L20" i="27" l="1"/>
  <c r="K22"/>
  <c r="G37" i="25"/>
  <c r="H37" s="1"/>
  <c r="I37" s="1"/>
  <c r="J37" s="1"/>
  <c r="K37" s="1"/>
  <c r="L37" s="1"/>
  <c r="G38"/>
  <c r="H38" s="1"/>
  <c r="I38" s="1"/>
  <c r="J38" s="1"/>
  <c r="K38" s="1"/>
  <c r="L38" s="1"/>
  <c r="G43"/>
  <c r="H43" s="1"/>
  <c r="I43" s="1"/>
  <c r="J43" s="1"/>
  <c r="K43" s="1"/>
  <c r="L43" s="1"/>
  <c r="D63"/>
  <c r="D74" s="1"/>
  <c r="E63"/>
  <c r="C84" i="29"/>
  <c r="C86"/>
  <c r="C79"/>
  <c r="G15" i="6"/>
  <c r="E31" i="4"/>
  <c r="C25" i="11" s="1"/>
  <c r="H25" i="8"/>
  <c r="C83" i="29"/>
  <c r="C78"/>
  <c r="E78" s="1"/>
  <c r="F91" s="1"/>
  <c r="G91" s="1"/>
  <c r="G24" i="9"/>
  <c r="B86" i="25"/>
  <c r="B88" s="1"/>
  <c r="C27" i="8"/>
  <c r="H37"/>
  <c r="G36" i="9" s="1"/>
  <c r="G38" s="1"/>
  <c r="E36" i="4"/>
  <c r="L24" i="27"/>
  <c r="C87" i="29"/>
  <c r="C82"/>
  <c r="F34" i="21"/>
  <c r="D16" i="3"/>
  <c r="D24" s="1"/>
  <c r="D28" s="1"/>
  <c r="B34" i="21"/>
  <c r="B41"/>
  <c r="B49"/>
  <c r="B52" s="1"/>
  <c r="C30" i="2"/>
  <c r="C34" s="1"/>
  <c r="B45" i="21" s="1"/>
  <c r="F25" i="8"/>
  <c r="F26"/>
  <c r="G37"/>
  <c r="F36" i="9" s="1"/>
  <c r="F38" s="1"/>
  <c r="K21" i="27"/>
  <c r="C29" i="11"/>
  <c r="C24" i="9"/>
  <c r="C15" i="6"/>
  <c r="B14" i="12" s="1"/>
  <c r="C23" i="6"/>
  <c r="M59" i="1"/>
  <c r="K44" i="9"/>
  <c r="K15" i="22"/>
  <c r="H27" i="8"/>
  <c r="I21"/>
  <c r="M19" i="10" s="1"/>
  <c r="D12" i="9"/>
  <c r="E29" i="11"/>
  <c r="F16" i="3"/>
  <c r="F24" s="1"/>
  <c r="F28" s="1"/>
  <c r="H14" i="22"/>
  <c r="I17" i="8"/>
  <c r="I38" i="6"/>
  <c r="I41" s="1"/>
  <c r="I81"/>
  <c r="I84" s="1"/>
  <c r="F27" i="29"/>
  <c r="E27"/>
  <c r="C97" s="1"/>
  <c r="O26" i="6"/>
  <c r="G26" i="18"/>
  <c r="A35"/>
  <c r="E15" i="6"/>
  <c r="D14" i="12" s="1"/>
  <c r="E24" i="9"/>
  <c r="E23" i="6"/>
  <c r="D10" i="25"/>
  <c r="H33" i="27"/>
  <c r="K54" i="6"/>
  <c r="L51"/>
  <c r="M63" i="1"/>
  <c r="N25"/>
  <c r="H37" i="29"/>
  <c r="J44" i="1" s="1"/>
  <c r="J15" i="8" s="1"/>
  <c r="F38" i="29"/>
  <c r="E9" i="10"/>
  <c r="C26" i="11" s="1"/>
  <c r="D9" i="6"/>
  <c r="D10"/>
  <c r="D12" s="1"/>
  <c r="H43" i="27"/>
  <c r="F9" i="12"/>
  <c r="F31" i="11" s="1"/>
  <c r="G12" i="7"/>
  <c r="F7" i="11"/>
  <c r="G7" i="9"/>
  <c r="G54" i="29"/>
  <c r="H54" s="1"/>
  <c r="D56"/>
  <c r="I30" i="8"/>
  <c r="M70" i="6"/>
  <c r="N66"/>
  <c r="G36" i="4"/>
  <c r="G27"/>
  <c r="E11" i="12" s="1"/>
  <c r="F12" i="9"/>
  <c r="G31" i="4"/>
  <c r="H37"/>
  <c r="T13" i="12"/>
  <c r="K43" i="6"/>
  <c r="J47"/>
  <c r="J80"/>
  <c r="D65" i="1"/>
  <c r="J52" i="6"/>
  <c r="I53"/>
  <c r="L60"/>
  <c r="M58"/>
  <c r="G9" i="22"/>
  <c r="F11"/>
  <c r="D6" i="7"/>
  <c r="D9" s="1"/>
  <c r="D30" i="2"/>
  <c r="D34" s="1"/>
  <c r="C49" i="21"/>
  <c r="C41"/>
  <c r="C34"/>
  <c r="E22"/>
  <c r="E21"/>
  <c r="E31"/>
  <c r="H65" i="1"/>
  <c r="I64" s="1"/>
  <c r="F45" i="21"/>
  <c r="F42"/>
  <c r="F43"/>
  <c r="F31" i="4"/>
  <c r="F36"/>
  <c r="F38" s="1"/>
  <c r="F39" s="1"/>
  <c r="F27"/>
  <c r="D11" i="12" s="1"/>
  <c r="E12" i="9"/>
  <c r="G37" i="4"/>
  <c r="D22" i="21"/>
  <c r="D21"/>
  <c r="D31"/>
  <c r="J45" i="23"/>
  <c r="E46"/>
  <c r="C36" i="29" a="1"/>
  <c r="J36" a="1"/>
  <c r="K21" i="10"/>
  <c r="G7"/>
  <c r="I4"/>
  <c r="G23"/>
  <c r="G13"/>
  <c r="G11"/>
  <c r="G12"/>
  <c r="H31" i="4"/>
  <c r="H27"/>
  <c r="G12" i="9"/>
  <c r="H36" i="4"/>
  <c r="F63" i="25"/>
  <c r="Q6" i="22"/>
  <c r="B9" i="12"/>
  <c r="C7" i="9"/>
  <c r="B7" i="11"/>
  <c r="B22" s="1"/>
  <c r="C12" i="7"/>
  <c r="K29" i="6"/>
  <c r="J30"/>
  <c r="B54" i="25"/>
  <c r="I18" i="1" s="1"/>
  <c r="D6" i="22"/>
  <c r="I25" i="27"/>
  <c r="J29"/>
  <c r="N28" i="6"/>
  <c r="E74" i="25"/>
  <c r="A16" i="18"/>
  <c r="H6"/>
  <c r="D31" i="4"/>
  <c r="D27"/>
  <c r="B11" i="12" s="1"/>
  <c r="C12" i="9"/>
  <c r="D36" i="4"/>
  <c r="D38" s="1"/>
  <c r="D39" s="1"/>
  <c r="E37"/>
  <c r="F15" i="6"/>
  <c r="E14" i="12" s="1"/>
  <c r="F24" i="9"/>
  <c r="F23" i="6"/>
  <c r="G19" i="27"/>
  <c r="F26"/>
  <c r="J14" i="8"/>
  <c r="E37" i="17"/>
  <c r="F6"/>
  <c r="K20" i="1"/>
  <c r="E21" i="10"/>
  <c r="K7" i="7"/>
  <c r="B29" i="11"/>
  <c r="C16" i="3"/>
  <c r="C24" s="1"/>
  <c r="C28" s="1"/>
  <c r="E6" i="7"/>
  <c r="E9" s="1"/>
  <c r="E30" i="2"/>
  <c r="E34" s="1"/>
  <c r="D49" i="21"/>
  <c r="D41"/>
  <c r="D34"/>
  <c r="N77" i="6"/>
  <c r="O73"/>
  <c r="L11" i="27"/>
  <c r="L9" s="1"/>
  <c r="I56" i="6"/>
  <c r="C18" i="20"/>
  <c r="C19" s="1"/>
  <c r="J44" i="6"/>
  <c r="K44" s="1"/>
  <c r="L44" s="1"/>
  <c r="M44" s="1"/>
  <c r="N44" s="1"/>
  <c r="O44" s="1"/>
  <c r="P44" s="1"/>
  <c r="Q44" s="1"/>
  <c r="R44" s="1"/>
  <c r="H82"/>
  <c r="B91"/>
  <c r="H87" s="1"/>
  <c r="H15" i="2" s="1"/>
  <c r="L5" i="27"/>
  <c r="L12"/>
  <c r="L22" s="1"/>
  <c r="E30" i="14"/>
  <c r="F34" s="1"/>
  <c r="F36" s="1"/>
  <c r="F8"/>
  <c r="H41" i="27"/>
  <c r="J75" i="6"/>
  <c r="K74"/>
  <c r="F30" i="2"/>
  <c r="F34" s="1"/>
  <c r="F6" i="7"/>
  <c r="F9" s="1"/>
  <c r="E41" i="21"/>
  <c r="E49"/>
  <c r="E34"/>
  <c r="J9" i="8"/>
  <c r="E67" i="29"/>
  <c r="E94" s="1"/>
  <c r="H66"/>
  <c r="F67"/>
  <c r="I50" i="9"/>
  <c r="B21" i="21"/>
  <c r="B22"/>
  <c r="K9" i="29"/>
  <c r="L4" i="1"/>
  <c r="K33"/>
  <c r="K50"/>
  <c r="K16" i="8" s="1"/>
  <c r="K39" i="1"/>
  <c r="K10" i="8" s="1"/>
  <c r="K8"/>
  <c r="K43" i="1"/>
  <c r="M14" i="27"/>
  <c r="M10"/>
  <c r="M13"/>
  <c r="M15"/>
  <c r="M23" s="1"/>
  <c r="M8"/>
  <c r="M6"/>
  <c r="N81"/>
  <c r="M16"/>
  <c r="J13" i="28"/>
  <c r="M11" i="27" s="1"/>
  <c r="J8" i="25"/>
  <c r="C106" i="23"/>
  <c r="C108"/>
  <c r="C107"/>
  <c r="E27" i="27"/>
  <c r="B7" i="25" s="1"/>
  <c r="E36" i="27"/>
  <c r="E37" s="1"/>
  <c r="E38" s="1"/>
  <c r="E32"/>
  <c r="E44"/>
  <c r="B12" i="25" s="1"/>
  <c r="E42" i="27"/>
  <c r="B11" i="25" s="1"/>
  <c r="I78" i="27"/>
  <c r="I79" s="1"/>
  <c r="J66"/>
  <c r="I71"/>
  <c r="L28" i="2" s="1"/>
  <c r="E55" i="29"/>
  <c r="D95" s="1"/>
  <c r="F55"/>
  <c r="C21" i="21"/>
  <c r="C22"/>
  <c r="C31"/>
  <c r="K36" i="6"/>
  <c r="J39"/>
  <c r="J37" s="1"/>
  <c r="J68"/>
  <c r="K67"/>
  <c r="F51" i="21"/>
  <c r="F52"/>
  <c r="F50"/>
  <c r="I82" i="6"/>
  <c r="D38" i="9"/>
  <c r="K11" i="29"/>
  <c r="L11" s="1"/>
  <c r="B90" i="6"/>
  <c r="H86" s="1"/>
  <c r="H17" i="2" s="1"/>
  <c r="B89" i="6"/>
  <c r="H85" s="1"/>
  <c r="H9" i="2" s="1"/>
  <c r="M20" i="27" l="1"/>
  <c r="E38" i="4"/>
  <c r="E39" s="1"/>
  <c r="E32"/>
  <c r="C12" i="12" s="1"/>
  <c r="H38" i="4"/>
  <c r="H39" s="1"/>
  <c r="E8" i="10"/>
  <c r="M24" i="27"/>
  <c r="L21"/>
  <c r="F27" i="8"/>
  <c r="B42" i="21"/>
  <c r="B50"/>
  <c r="B51"/>
  <c r="B43"/>
  <c r="E15" i="10"/>
  <c r="G32" s="1"/>
  <c r="G38" i="4"/>
  <c r="G39" s="1"/>
  <c r="L15" i="22"/>
  <c r="L44" i="9"/>
  <c r="N59" i="1"/>
  <c r="J38" i="6"/>
  <c r="J41" s="1"/>
  <c r="F56" i="29"/>
  <c r="E56"/>
  <c r="D96" s="1"/>
  <c r="L33" i="1"/>
  <c r="L43"/>
  <c r="L8" i="8"/>
  <c r="M4" i="1"/>
  <c r="L39"/>
  <c r="L10" i="8" s="1"/>
  <c r="H67" i="29"/>
  <c r="L50" i="1" s="1"/>
  <c r="L16" i="8" s="1"/>
  <c r="F68" i="29"/>
  <c r="E68"/>
  <c r="E95" s="1"/>
  <c r="E52" i="21"/>
  <c r="E50"/>
  <c r="E51"/>
  <c r="F30" i="14"/>
  <c r="G34" s="1"/>
  <c r="G36" s="1"/>
  <c r="G8"/>
  <c r="C8" i="10"/>
  <c r="C15" s="1"/>
  <c r="D32" i="4"/>
  <c r="B12" i="12" s="1"/>
  <c r="B25" i="11"/>
  <c r="K30" i="6"/>
  <c r="L29"/>
  <c r="C9" i="9"/>
  <c r="C14" s="1"/>
  <c r="E47" i="23"/>
  <c r="J46"/>
  <c r="G9" i="9"/>
  <c r="G14" s="1"/>
  <c r="G19" s="1"/>
  <c r="G26" s="1"/>
  <c r="K31" i="10"/>
  <c r="I43" i="27"/>
  <c r="A36" i="18"/>
  <c r="H26"/>
  <c r="E28" i="29"/>
  <c r="C98" s="1"/>
  <c r="F28"/>
  <c r="L7" i="7"/>
  <c r="K9" i="8"/>
  <c r="G65" i="1"/>
  <c r="E45" i="21"/>
  <c r="E42"/>
  <c r="E32" i="12"/>
  <c r="E43" i="21"/>
  <c r="I41" i="27"/>
  <c r="D9" i="12"/>
  <c r="D31" i="11" s="1"/>
  <c r="E12" i="7"/>
  <c r="E7" i="9"/>
  <c r="D7" i="11"/>
  <c r="G6" i="17"/>
  <c r="F37"/>
  <c r="J25" i="27"/>
  <c r="K29"/>
  <c r="C39" i="29"/>
  <c r="E39" s="1"/>
  <c r="C45"/>
  <c r="C38"/>
  <c r="E38" s="1"/>
  <c r="C41"/>
  <c r="C37"/>
  <c r="E37" s="1"/>
  <c r="C36"/>
  <c r="E36" s="1"/>
  <c r="C40"/>
  <c r="C43"/>
  <c r="C44"/>
  <c r="C42"/>
  <c r="C9" i="12"/>
  <c r="C31" i="11" s="1"/>
  <c r="D12" i="7"/>
  <c r="D7" i="9"/>
  <c r="C7" i="11"/>
  <c r="D45" i="9"/>
  <c r="D67" i="1"/>
  <c r="K45" i="6"/>
  <c r="K80"/>
  <c r="L43"/>
  <c r="I8" i="10"/>
  <c r="E25" i="11"/>
  <c r="G32" i="4"/>
  <c r="E12" i="12" s="1"/>
  <c r="C54" i="25"/>
  <c r="J18" i="1" s="1"/>
  <c r="I85" i="6"/>
  <c r="I9" i="2" s="1"/>
  <c r="I87" i="6"/>
  <c r="I15" i="2" s="1"/>
  <c r="I86" i="6"/>
  <c r="I17" i="2" s="1"/>
  <c r="H6"/>
  <c r="B9" i="25"/>
  <c r="K14" i="8"/>
  <c r="F7" i="9"/>
  <c r="E7" i="11"/>
  <c r="F11" s="1"/>
  <c r="F12" i="7"/>
  <c r="E9" i="12"/>
  <c r="E31" i="11" s="1"/>
  <c r="F65" i="1"/>
  <c r="D42" i="21"/>
  <c r="D45"/>
  <c r="D32" i="12"/>
  <c r="D43" i="21"/>
  <c r="L20" i="1"/>
  <c r="O28" i="6"/>
  <c r="R6" i="22"/>
  <c r="I11" i="10"/>
  <c r="K4"/>
  <c r="I13"/>
  <c r="I7"/>
  <c r="I23"/>
  <c r="I12"/>
  <c r="J41" i="29"/>
  <c r="J38"/>
  <c r="K38" s="1"/>
  <c r="J42"/>
  <c r="J40"/>
  <c r="J44"/>
  <c r="J39"/>
  <c r="K39" s="1"/>
  <c r="J37"/>
  <c r="K37" s="1"/>
  <c r="J43"/>
  <c r="J45"/>
  <c r="J36"/>
  <c r="K36" s="1"/>
  <c r="E65" i="1"/>
  <c r="C43" i="21"/>
  <c r="C32" i="12"/>
  <c r="C42" i="21"/>
  <c r="C45"/>
  <c r="N58" i="6"/>
  <c r="M60"/>
  <c r="G55" i="29"/>
  <c r="H55" s="1"/>
  <c r="D57"/>
  <c r="G30" i="7"/>
  <c r="G31"/>
  <c r="D24" i="9"/>
  <c r="D23" i="6"/>
  <c r="D15"/>
  <c r="C14" i="12" s="1"/>
  <c r="H38" i="29"/>
  <c r="K44" i="1" s="1"/>
  <c r="K15" i="8" s="1"/>
  <c r="F39" i="29"/>
  <c r="I33" i="27"/>
  <c r="E10" i="25"/>
  <c r="N14" i="27"/>
  <c r="N10"/>
  <c r="N13"/>
  <c r="N15"/>
  <c r="N23" s="1"/>
  <c r="N8"/>
  <c r="N6"/>
  <c r="N16"/>
  <c r="L5" i="28"/>
  <c r="O81" i="27" s="1"/>
  <c r="K13" i="28"/>
  <c r="N7" i="27" s="1"/>
  <c r="K8" i="25"/>
  <c r="L9" i="29"/>
  <c r="J50" i="9"/>
  <c r="O77" i="6"/>
  <c r="P73"/>
  <c r="D52" i="21"/>
  <c r="D50"/>
  <c r="D51"/>
  <c r="A17" i="18"/>
  <c r="I6"/>
  <c r="E6" i="22"/>
  <c r="H6" i="6"/>
  <c r="C30" i="7"/>
  <c r="C31"/>
  <c r="B31" i="11"/>
  <c r="G63" i="25"/>
  <c r="K8" i="10"/>
  <c r="F25" i="11"/>
  <c r="H32" i="4"/>
  <c r="G8" i="10"/>
  <c r="D25" i="11"/>
  <c r="F32" i="4"/>
  <c r="D12" i="12" s="1"/>
  <c r="C50" i="21"/>
  <c r="C51"/>
  <c r="C52"/>
  <c r="G11" i="22"/>
  <c r="H9"/>
  <c r="K52" i="6"/>
  <c r="J53"/>
  <c r="O66"/>
  <c r="N70"/>
  <c r="N63" i="1"/>
  <c r="O25"/>
  <c r="P26" i="6"/>
  <c r="M9" i="27"/>
  <c r="M21" s="1"/>
  <c r="J81" i="6"/>
  <c r="J84" s="1"/>
  <c r="M7" i="27"/>
  <c r="M5" s="1"/>
  <c r="I14" i="22"/>
  <c r="J45" i="6"/>
  <c r="J56" s="1"/>
  <c r="J21" i="8"/>
  <c r="J17"/>
  <c r="L67" i="6"/>
  <c r="K68"/>
  <c r="K39"/>
  <c r="K37" s="1"/>
  <c r="L36"/>
  <c r="K66" i="27"/>
  <c r="J78"/>
  <c r="J79" s="1"/>
  <c r="J71"/>
  <c r="M28" i="2" s="1"/>
  <c r="K75" i="6"/>
  <c r="L74"/>
  <c r="H19" i="27"/>
  <c r="G26"/>
  <c r="F74" i="25"/>
  <c r="F27" i="27"/>
  <c r="C7" i="25" s="1"/>
  <c r="C9" s="1"/>
  <c r="F32" i="27"/>
  <c r="F44"/>
  <c r="C12" i="25" s="1"/>
  <c r="F42" i="27"/>
  <c r="C11" i="25" s="1"/>
  <c r="H67" i="1"/>
  <c r="M51" i="6"/>
  <c r="L54"/>
  <c r="I19" i="1"/>
  <c r="G15" i="10"/>
  <c r="M12" i="27"/>
  <c r="M22" s="1"/>
  <c r="N20" l="1"/>
  <c r="N24"/>
  <c r="J82" i="6"/>
  <c r="N11" i="27"/>
  <c r="N9" s="1"/>
  <c r="N21" s="1"/>
  <c r="J14" i="22"/>
  <c r="D6" i="11"/>
  <c r="D22" s="1"/>
  <c r="O59" i="1"/>
  <c r="M44" i="9"/>
  <c r="M15" i="22"/>
  <c r="L36" i="29"/>
  <c r="H91" s="1"/>
  <c r="I91" s="1"/>
  <c r="K21" i="8"/>
  <c r="K38" i="6"/>
  <c r="K41" s="1"/>
  <c r="I19" i="27"/>
  <c r="H26"/>
  <c r="L66"/>
  <c r="M66" s="1"/>
  <c r="K78"/>
  <c r="K79" s="1"/>
  <c r="K71"/>
  <c r="N28" i="2" s="1"/>
  <c r="O19" i="10"/>
  <c r="J30" i="8"/>
  <c r="L52" i="6"/>
  <c r="K53"/>
  <c r="H69" i="1"/>
  <c r="H70" s="1"/>
  <c r="G27" i="31"/>
  <c r="F37" i="21"/>
  <c r="F35"/>
  <c r="F36"/>
  <c r="F44"/>
  <c r="F46"/>
  <c r="G27" i="27"/>
  <c r="D7" i="25" s="1"/>
  <c r="D9" s="1"/>
  <c r="G32" i="27"/>
  <c r="G44"/>
  <c r="D12" i="25" s="1"/>
  <c r="G42" i="27"/>
  <c r="D11" i="25" s="1"/>
  <c r="Q26" i="6"/>
  <c r="A18" i="18"/>
  <c r="J6"/>
  <c r="F45" i="9"/>
  <c r="F67" i="1"/>
  <c r="F9" i="9"/>
  <c r="F14" s="1"/>
  <c r="F19" s="1"/>
  <c r="F26" s="1"/>
  <c r="I31" i="10"/>
  <c r="I6" i="6"/>
  <c r="I5" s="1"/>
  <c r="M43"/>
  <c r="L45"/>
  <c r="L80"/>
  <c r="E9" i="9"/>
  <c r="E14" s="1"/>
  <c r="E19" s="1"/>
  <c r="E26" s="1"/>
  <c r="G31" i="10"/>
  <c r="H7" i="6"/>
  <c r="H11" s="1"/>
  <c r="J19" i="1"/>
  <c r="M54" i="6"/>
  <c r="N51"/>
  <c r="M7" i="7"/>
  <c r="M36" i="6"/>
  <c r="L39"/>
  <c r="L37" s="1"/>
  <c r="D54" i="25"/>
  <c r="K18" i="1" s="1"/>
  <c r="J87" i="6"/>
  <c r="J15" i="2" s="1"/>
  <c r="J85" i="6"/>
  <c r="J9" i="2" s="1"/>
  <c r="J86" i="6"/>
  <c r="J17" i="2" s="1"/>
  <c r="O70" i="6"/>
  <c r="P66"/>
  <c r="E45" i="9"/>
  <c r="E67" i="1"/>
  <c r="E11" i="11"/>
  <c r="C27" i="31"/>
  <c r="C29" s="1"/>
  <c r="C24" i="10"/>
  <c r="D69" i="1"/>
  <c r="D70" s="1"/>
  <c r="B37" i="21"/>
  <c r="B35"/>
  <c r="B36"/>
  <c r="B44"/>
  <c r="B46"/>
  <c r="D30" i="7"/>
  <c r="D31"/>
  <c r="D11" i="11"/>
  <c r="J41" i="27"/>
  <c r="G45" i="9"/>
  <c r="G46" s="1"/>
  <c r="G67" i="1"/>
  <c r="I26" i="18"/>
  <c r="A37"/>
  <c r="F8" i="11"/>
  <c r="H8" i="14"/>
  <c r="G30"/>
  <c r="H34" s="1"/>
  <c r="H36" s="1"/>
  <c r="E57" i="29"/>
  <c r="D97" s="1"/>
  <c r="F57"/>
  <c r="L75" i="6"/>
  <c r="M74"/>
  <c r="M67"/>
  <c r="L68"/>
  <c r="I9" i="22"/>
  <c r="G74" i="25"/>
  <c r="B20" i="11"/>
  <c r="C35" i="7"/>
  <c r="C32" i="9" s="1"/>
  <c r="C34" s="1"/>
  <c r="C38" s="1"/>
  <c r="B10" i="12"/>
  <c r="C34" i="7"/>
  <c r="Q73" i="6"/>
  <c r="P77"/>
  <c r="K50" i="9"/>
  <c r="K40" i="29"/>
  <c r="E40"/>
  <c r="F40"/>
  <c r="H39"/>
  <c r="L44" i="1" s="1"/>
  <c r="L15" i="8" s="1"/>
  <c r="K12" i="10"/>
  <c r="K23"/>
  <c r="K24" s="1"/>
  <c r="K11"/>
  <c r="K13"/>
  <c r="M4"/>
  <c r="K7"/>
  <c r="P28" i="6"/>
  <c r="F30" i="7"/>
  <c r="F31"/>
  <c r="D9" i="9"/>
  <c r="D14" s="1"/>
  <c r="D19" s="1"/>
  <c r="D26" s="1"/>
  <c r="E31" i="10"/>
  <c r="G37" i="17"/>
  <c r="H6"/>
  <c r="J47" i="23"/>
  <c r="E48"/>
  <c r="C6" i="11"/>
  <c r="C22" s="1"/>
  <c r="E32" i="10"/>
  <c r="M43" i="1"/>
  <c r="M39"/>
  <c r="M10" i="8" s="1"/>
  <c r="N4" i="1"/>
  <c r="M8" i="8"/>
  <c r="L38" i="29"/>
  <c r="H93" s="1"/>
  <c r="K81" i="6"/>
  <c r="K84" s="1"/>
  <c r="N12" i="27"/>
  <c r="N22" s="1"/>
  <c r="K17" i="8"/>
  <c r="K56" i="6"/>
  <c r="L37" i="29"/>
  <c r="H92" s="1"/>
  <c r="I32" i="10"/>
  <c r="E6" i="11"/>
  <c r="E22" s="1"/>
  <c r="P25" i="1"/>
  <c r="O63"/>
  <c r="H63" i="25"/>
  <c r="H14" i="6"/>
  <c r="F15" i="12"/>
  <c r="M9" i="29"/>
  <c r="D58"/>
  <c r="G57" s="1"/>
  <c r="G56"/>
  <c r="H56" s="1"/>
  <c r="M20" i="1"/>
  <c r="C11" i="11"/>
  <c r="E30" i="7"/>
  <c r="E31"/>
  <c r="E29" i="29"/>
  <c r="C99" s="1"/>
  <c r="F29"/>
  <c r="J43" i="27"/>
  <c r="M29" i="6"/>
  <c r="L30"/>
  <c r="E69" i="29"/>
  <c r="E96" s="1"/>
  <c r="H68"/>
  <c r="M50" i="1" s="1"/>
  <c r="M16" i="8" s="1"/>
  <c r="F69" i="29"/>
  <c r="L9" i="8"/>
  <c r="O14" i="27"/>
  <c r="O10"/>
  <c r="O13"/>
  <c r="O15"/>
  <c r="O23" s="1"/>
  <c r="O8"/>
  <c r="O16"/>
  <c r="O6"/>
  <c r="L13" i="28"/>
  <c r="O11" i="27" s="1"/>
  <c r="L8" i="25"/>
  <c r="O58" i="6"/>
  <c r="N60"/>
  <c r="I14" i="1"/>
  <c r="I13" i="4" s="1"/>
  <c r="H12" i="5" s="1"/>
  <c r="I49" i="1"/>
  <c r="I51" s="1"/>
  <c r="I38"/>
  <c r="H8" i="2"/>
  <c r="I11" i="1"/>
  <c r="I10" i="4" s="1"/>
  <c r="H9" i="5" s="1"/>
  <c r="E58" i="27"/>
  <c r="E59" s="1"/>
  <c r="E60" s="1"/>
  <c r="H14" i="2"/>
  <c r="I9" i="1"/>
  <c r="B22" i="25" s="1"/>
  <c r="I12" i="1"/>
  <c r="I11" i="4" s="1"/>
  <c r="H10" i="5" s="1"/>
  <c r="I6" i="2"/>
  <c r="D14" i="25" s="1"/>
  <c r="G7" i="12"/>
  <c r="G8" s="1"/>
  <c r="H16" i="2"/>
  <c r="F26" i="11"/>
  <c r="G13" i="29"/>
  <c r="G14" s="1"/>
  <c r="G15" s="1"/>
  <c r="H13" i="3"/>
  <c r="B15" i="13"/>
  <c r="I35" i="4"/>
  <c r="I37" s="1"/>
  <c r="B106" i="29"/>
  <c r="H6" i="3"/>
  <c r="H92" i="9"/>
  <c r="H115" s="1"/>
  <c r="I13" i="1"/>
  <c r="I12" i="4" s="1"/>
  <c r="H11" i="5" s="1"/>
  <c r="C14" i="25"/>
  <c r="H5" i="2"/>
  <c r="C33" i="12"/>
  <c r="D46" i="9"/>
  <c r="Q19" i="10"/>
  <c r="K30" i="8"/>
  <c r="L14"/>
  <c r="F6" i="22"/>
  <c r="J33" i="27"/>
  <c r="F10" i="25"/>
  <c r="K25" i="27"/>
  <c r="L29"/>
  <c r="M11" i="29"/>
  <c r="N11" s="1"/>
  <c r="T9" i="12"/>
  <c r="L39" i="29"/>
  <c r="H94" s="1"/>
  <c r="I15" i="10"/>
  <c r="N5" i="27"/>
  <c r="O20" l="1"/>
  <c r="N66"/>
  <c r="M71"/>
  <c r="O24"/>
  <c r="D24" i="11"/>
  <c r="H8" i="6"/>
  <c r="H10" s="1"/>
  <c r="H12" s="1"/>
  <c r="O7" i="27"/>
  <c r="O5" s="1"/>
  <c r="L81" i="6"/>
  <c r="L84" s="1"/>
  <c r="N44" i="9"/>
  <c r="N15" i="22"/>
  <c r="P59" i="1"/>
  <c r="L17" i="8"/>
  <c r="O12" i="27"/>
  <c r="O22" s="1"/>
  <c r="L21" i="8"/>
  <c r="L30" s="1"/>
  <c r="K15" i="10"/>
  <c r="M32" s="1"/>
  <c r="L40" i="29"/>
  <c r="H95" s="1"/>
  <c r="K26" i="10"/>
  <c r="F54" i="25"/>
  <c r="L87" i="6"/>
  <c r="L15" i="2" s="1"/>
  <c r="L86" i="6"/>
  <c r="L17" i="2" s="1"/>
  <c r="L85" i="6"/>
  <c r="L9" i="2" s="1"/>
  <c r="L38" i="6"/>
  <c r="I35" i="1"/>
  <c r="H20" i="2"/>
  <c r="H11" i="3"/>
  <c r="P58" i="6"/>
  <c r="O60"/>
  <c r="F30" i="29"/>
  <c r="E30"/>
  <c r="C100" s="1"/>
  <c r="E49" i="23"/>
  <c r="J48"/>
  <c r="H37" i="17"/>
  <c r="I6"/>
  <c r="E10" i="12"/>
  <c r="E20" i="11"/>
  <c r="F27" i="31"/>
  <c r="F29" s="1"/>
  <c r="I24" i="10"/>
  <c r="G69" i="1"/>
  <c r="G70" s="1"/>
  <c r="E35" i="21"/>
  <c r="E37"/>
  <c r="E36"/>
  <c r="E44"/>
  <c r="E46"/>
  <c r="I7" i="6"/>
  <c r="I11" s="1"/>
  <c r="K19" i="1"/>
  <c r="D8" i="11"/>
  <c r="G34" i="10"/>
  <c r="N43" i="6"/>
  <c r="M45"/>
  <c r="M80"/>
  <c r="R26"/>
  <c r="L78" i="27"/>
  <c r="L79" s="1"/>
  <c r="L71"/>
  <c r="O28" i="2" s="1"/>
  <c r="D56" i="9"/>
  <c r="D58" s="1"/>
  <c r="D84"/>
  <c r="D86" s="1"/>
  <c r="D90" s="1"/>
  <c r="E50" i="27"/>
  <c r="E51" s="1"/>
  <c r="I8" i="4"/>
  <c r="E54" i="25"/>
  <c r="L18" i="1" s="1"/>
  <c r="K85" i="6"/>
  <c r="K9" i="2" s="1"/>
  <c r="K86" i="6"/>
  <c r="K17" i="2" s="1"/>
  <c r="K87" i="6"/>
  <c r="K15" i="2" s="1"/>
  <c r="C24" i="11"/>
  <c r="E41" i="29"/>
  <c r="D41"/>
  <c r="K41"/>
  <c r="F41"/>
  <c r="C56" i="9"/>
  <c r="C84"/>
  <c r="H30" i="14"/>
  <c r="I34" s="1"/>
  <c r="I36" s="1"/>
  <c r="I8"/>
  <c r="I30" s="1"/>
  <c r="E46" i="9"/>
  <c r="D33" i="12"/>
  <c r="I34" i="10"/>
  <c r="E8" i="11"/>
  <c r="F10" s="1"/>
  <c r="K43" i="27"/>
  <c r="M14" i="8"/>
  <c r="E34" i="10"/>
  <c r="C8" i="11"/>
  <c r="Q28" i="6"/>
  <c r="J9" i="22"/>
  <c r="C20" i="11"/>
  <c r="C10" i="12"/>
  <c r="C26" i="10"/>
  <c r="E24"/>
  <c r="E69" i="1"/>
  <c r="E70" s="1"/>
  <c r="C37" i="21"/>
  <c r="D27" i="31"/>
  <c r="D29" s="1"/>
  <c r="C35" i="21"/>
  <c r="C36"/>
  <c r="C46"/>
  <c r="C44"/>
  <c r="J6" i="6"/>
  <c r="O51"/>
  <c r="N54"/>
  <c r="K32" i="10"/>
  <c r="K34" s="1"/>
  <c r="F6" i="11"/>
  <c r="F13" s="1"/>
  <c r="G6" i="22"/>
  <c r="I14" i="2"/>
  <c r="I16"/>
  <c r="J9" i="1"/>
  <c r="J13"/>
  <c r="J12" i="4" s="1"/>
  <c r="I11" i="5" s="1"/>
  <c r="J49" i="1"/>
  <c r="J51" s="1"/>
  <c r="J6" i="2"/>
  <c r="J14" i="1"/>
  <c r="J13" i="4" s="1"/>
  <c r="I12" i="5" s="1"/>
  <c r="I8" i="2"/>
  <c r="J12" i="1"/>
  <c r="J11" i="4" s="1"/>
  <c r="I10" i="5" s="1"/>
  <c r="H7" i="12"/>
  <c r="H8" s="1"/>
  <c r="J11" i="1"/>
  <c r="J10" i="4" s="1"/>
  <c r="I9" i="5" s="1"/>
  <c r="F58" i="27"/>
  <c r="F59" s="1"/>
  <c r="F60" s="1"/>
  <c r="I13" i="3"/>
  <c r="I5" i="2"/>
  <c r="J35" i="4"/>
  <c r="I92" i="9"/>
  <c r="I115" s="1"/>
  <c r="I6" i="3"/>
  <c r="H13" i="29"/>
  <c r="H14" s="1"/>
  <c r="H15" s="1"/>
  <c r="C106"/>
  <c r="N20" i="1"/>
  <c r="N9" i="29"/>
  <c r="Q25" i="1"/>
  <c r="P63"/>
  <c r="O4" i="10"/>
  <c r="M23"/>
  <c r="M12"/>
  <c r="M11"/>
  <c r="L50" i="9"/>
  <c r="C17"/>
  <c r="C36" i="7"/>
  <c r="N74" i="6"/>
  <c r="M75"/>
  <c r="G56" i="9"/>
  <c r="G58" s="1"/>
  <c r="G84"/>
  <c r="G86" s="1"/>
  <c r="G90" s="1"/>
  <c r="P70" i="6"/>
  <c r="Q66"/>
  <c r="M39"/>
  <c r="M37" s="1"/>
  <c r="M38" s="1"/>
  <c r="N36"/>
  <c r="H8" i="9"/>
  <c r="H16" i="6"/>
  <c r="F16" i="12" s="1"/>
  <c r="E27" i="31"/>
  <c r="E29" s="1"/>
  <c r="G28" s="1"/>
  <c r="F69" i="1"/>
  <c r="F70" s="1"/>
  <c r="D35" i="21"/>
  <c r="D37"/>
  <c r="G24" i="10"/>
  <c r="D36" i="21"/>
  <c r="D46"/>
  <c r="D44"/>
  <c r="A19" i="18"/>
  <c r="K6"/>
  <c r="H27" i="27"/>
  <c r="E7" i="25" s="1"/>
  <c r="E9" s="1"/>
  <c r="H32" i="27"/>
  <c r="H42"/>
  <c r="E11" i="25" s="1"/>
  <c r="H44" i="27"/>
  <c r="E12" i="25" s="1"/>
  <c r="K82" i="6"/>
  <c r="O9" i="27"/>
  <c r="O21" s="1"/>
  <c r="K14" i="22"/>
  <c r="L25" i="27"/>
  <c r="M29"/>
  <c r="C46" i="25"/>
  <c r="J38" i="1" s="1"/>
  <c r="I20" i="4"/>
  <c r="H19" i="5" s="1"/>
  <c r="N29" i="6"/>
  <c r="M30"/>
  <c r="E24" i="11"/>
  <c r="N43" i="1"/>
  <c r="N39"/>
  <c r="N10" i="8" s="1"/>
  <c r="N8"/>
  <c r="O4" i="1"/>
  <c r="R73" i="6"/>
  <c r="Q77"/>
  <c r="N67"/>
  <c r="M68"/>
  <c r="G10" i="25"/>
  <c r="K33" i="27"/>
  <c r="H12" i="3"/>
  <c r="H21" i="2"/>
  <c r="E74" i="27"/>
  <c r="H7" i="2"/>
  <c r="T15" i="12"/>
  <c r="I63" i="25"/>
  <c r="F58" i="29"/>
  <c r="H58" s="1"/>
  <c r="E58"/>
  <c r="D98" s="1"/>
  <c r="D102" s="1"/>
  <c r="H57"/>
  <c r="J26" i="18"/>
  <c r="A38"/>
  <c r="C15" i="13"/>
  <c r="B23"/>
  <c r="B18"/>
  <c r="B16"/>
  <c r="E70" i="29"/>
  <c r="E97" s="1"/>
  <c r="F70"/>
  <c r="H69"/>
  <c r="N50" i="1" s="1"/>
  <c r="N16" i="8" s="1"/>
  <c r="D10" i="12"/>
  <c r="D20" i="11"/>
  <c r="H74" i="25"/>
  <c r="K41" i="27"/>
  <c r="I8" i="6"/>
  <c r="G15" i="12"/>
  <c r="I14" i="6"/>
  <c r="E33" i="12"/>
  <c r="F46" i="9"/>
  <c r="M52" i="6"/>
  <c r="L53"/>
  <c r="L56" s="1"/>
  <c r="N7" i="7"/>
  <c r="J19" i="27"/>
  <c r="I26"/>
  <c r="L41" i="6"/>
  <c r="L82"/>
  <c r="O66" i="27" l="1"/>
  <c r="N71"/>
  <c r="M9" i="10"/>
  <c r="G26" i="11" s="1"/>
  <c r="L41" i="29"/>
  <c r="H96" s="1"/>
  <c r="G6" i="11"/>
  <c r="G24" s="1"/>
  <c r="Q59" i="1"/>
  <c r="O44" i="9"/>
  <c r="O15" i="22"/>
  <c r="S19" i="10"/>
  <c r="M18" i="1"/>
  <c r="L6" i="6" s="1"/>
  <c r="D94" i="9"/>
  <c r="D117" s="1"/>
  <c r="D97"/>
  <c r="G38" i="31"/>
  <c r="G41" s="1"/>
  <c r="G29"/>
  <c r="N52" i="6"/>
  <c r="M53"/>
  <c r="C7" i="15"/>
  <c r="K26" i="18"/>
  <c r="A39"/>
  <c r="I74" i="25"/>
  <c r="J20" i="4"/>
  <c r="I19" i="5" s="1"/>
  <c r="A20" i="18"/>
  <c r="L6"/>
  <c r="Q70" i="6"/>
  <c r="R66"/>
  <c r="I7" i="2"/>
  <c r="F74" i="27"/>
  <c r="C28" i="10"/>
  <c r="D26" s="1"/>
  <c r="B20" i="12" s="1"/>
  <c r="K9" i="22"/>
  <c r="K42" i="29"/>
  <c r="E42"/>
  <c r="L19" i="1"/>
  <c r="J7" i="6"/>
  <c r="J11" s="1"/>
  <c r="I26" i="10"/>
  <c r="I37" i="17"/>
  <c r="J6"/>
  <c r="G100" i="29"/>
  <c r="C102"/>
  <c r="C8" i="16"/>
  <c r="B17" i="13"/>
  <c r="C13" i="16" s="1"/>
  <c r="O74" i="6"/>
  <c r="N75"/>
  <c r="H24" i="9"/>
  <c r="H15" i="6"/>
  <c r="F14" i="12" s="1"/>
  <c r="O20" i="1"/>
  <c r="I11" i="3"/>
  <c r="I20" i="2"/>
  <c r="C13" i="11"/>
  <c r="E62" i="27"/>
  <c r="H24" i="2" s="1"/>
  <c r="E52" i="27"/>
  <c r="O7" i="7"/>
  <c r="D13" i="11"/>
  <c r="D10"/>
  <c r="P60" i="6"/>
  <c r="Q58"/>
  <c r="K19" i="27"/>
  <c r="J26"/>
  <c r="L41"/>
  <c r="C18" i="13"/>
  <c r="D12" i="16" s="1"/>
  <c r="C16" i="13"/>
  <c r="C23"/>
  <c r="D15"/>
  <c r="H10" i="25"/>
  <c r="L33" i="27"/>
  <c r="M33" s="1"/>
  <c r="G94" i="9"/>
  <c r="G117" s="1"/>
  <c r="I12" i="3"/>
  <c r="I21" i="2"/>
  <c r="H15" i="12"/>
  <c r="J14" i="6"/>
  <c r="E26" i="10"/>
  <c r="L43" i="27"/>
  <c r="E56" i="9"/>
  <c r="E58" s="1"/>
  <c r="E84"/>
  <c r="E86" s="1"/>
  <c r="E90" s="1"/>
  <c r="G40" i="29"/>
  <c r="D42"/>
  <c r="F42" s="1"/>
  <c r="L10"/>
  <c r="M78" i="27"/>
  <c r="M79" s="1"/>
  <c r="P28" i="2"/>
  <c r="I27" i="27"/>
  <c r="F7" i="25" s="1"/>
  <c r="F9" s="1"/>
  <c r="I32" i="27"/>
  <c r="I44"/>
  <c r="F12" i="25" s="1"/>
  <c r="I42" i="27"/>
  <c r="F11" i="25" s="1"/>
  <c r="F56" i="9"/>
  <c r="F58" s="1"/>
  <c r="F84"/>
  <c r="F86" s="1"/>
  <c r="F90" s="1"/>
  <c r="I10" i="6"/>
  <c r="I12" s="1"/>
  <c r="O9" i="10"/>
  <c r="H26" i="11" s="1"/>
  <c r="I9" i="6"/>
  <c r="H70" i="29"/>
  <c r="F71"/>
  <c r="H71" s="1"/>
  <c r="E71"/>
  <c r="E98" s="1"/>
  <c r="E102" s="1"/>
  <c r="C14" i="16"/>
  <c r="B24" i="13"/>
  <c r="J63" i="25"/>
  <c r="I10" i="1"/>
  <c r="B27" i="25" s="1"/>
  <c r="I34" i="1"/>
  <c r="B32" i="25" s="1"/>
  <c r="H7" i="3"/>
  <c r="H10" i="2"/>
  <c r="M25" i="27"/>
  <c r="N29"/>
  <c r="G26" i="10"/>
  <c r="N39" i="6"/>
  <c r="O36"/>
  <c r="C31" i="10"/>
  <c r="C19" i="9"/>
  <c r="C26" s="1"/>
  <c r="C86" s="1"/>
  <c r="C90" s="1"/>
  <c r="M50"/>
  <c r="R25" i="1"/>
  <c r="Q63"/>
  <c r="O9" i="29"/>
  <c r="J8" i="4"/>
  <c r="F50" i="27"/>
  <c r="R28" i="6"/>
  <c r="K6"/>
  <c r="O43"/>
  <c r="N45"/>
  <c r="N80"/>
  <c r="I16"/>
  <c r="G16" i="12" s="1"/>
  <c r="I8" i="9"/>
  <c r="M56" i="6"/>
  <c r="F29" i="11"/>
  <c r="M41" i="6"/>
  <c r="I36" i="1"/>
  <c r="M81" i="6"/>
  <c r="M84" s="1"/>
  <c r="N14" i="8"/>
  <c r="O29" i="6"/>
  <c r="N30"/>
  <c r="P51"/>
  <c r="O54"/>
  <c r="K28" i="10"/>
  <c r="O67" i="6"/>
  <c r="N68"/>
  <c r="Q4" i="10"/>
  <c r="O12"/>
  <c r="O23"/>
  <c r="O11"/>
  <c r="F22" i="11"/>
  <c r="F24"/>
  <c r="E10"/>
  <c r="E13"/>
  <c r="E50" i="23"/>
  <c r="J49"/>
  <c r="E83" i="27"/>
  <c r="H29" i="2" s="1"/>
  <c r="E75" i="27"/>
  <c r="R77" i="6"/>
  <c r="O50" i="1"/>
  <c r="O16" i="8" s="1"/>
  <c r="O8"/>
  <c r="O39" i="1"/>
  <c r="O10" i="8" s="1"/>
  <c r="P4" i="1"/>
  <c r="O43"/>
  <c r="T16" i="12"/>
  <c r="K6" i="2"/>
  <c r="J8"/>
  <c r="K12" i="1"/>
  <c r="K11" i="4" s="1"/>
  <c r="J10" i="5" s="1"/>
  <c r="K14" i="1"/>
  <c r="K13" i="4" s="1"/>
  <c r="J12" i="5" s="1"/>
  <c r="K49" i="1"/>
  <c r="K51" s="1"/>
  <c r="K9"/>
  <c r="I7" i="12"/>
  <c r="I8" s="1"/>
  <c r="K13" i="1"/>
  <c r="K12" i="4" s="1"/>
  <c r="J11" i="5" s="1"/>
  <c r="J14" i="2"/>
  <c r="J92" i="9"/>
  <c r="J115" s="1"/>
  <c r="K35" i="4"/>
  <c r="G58" i="27"/>
  <c r="G59" s="1"/>
  <c r="G60" s="1"/>
  <c r="J13" i="3"/>
  <c r="J16" i="2"/>
  <c r="J6" i="3"/>
  <c r="K11" i="1"/>
  <c r="K10" i="4" s="1"/>
  <c r="J9" i="5" s="1"/>
  <c r="J5" i="2"/>
  <c r="D106" i="29"/>
  <c r="I13"/>
  <c r="I14" s="1"/>
  <c r="I15" s="1"/>
  <c r="E14" i="25"/>
  <c r="H7" i="5"/>
  <c r="I18" i="4"/>
  <c r="H17" i="5" s="1"/>
  <c r="C44" i="25"/>
  <c r="J35" i="1" s="1"/>
  <c r="M82" i="6"/>
  <c r="N37"/>
  <c r="N38" s="1"/>
  <c r="D46" i="25"/>
  <c r="K38" i="1" s="1"/>
  <c r="K20" i="4" s="1"/>
  <c r="J19" i="5" s="1"/>
  <c r="B90" i="25" l="1"/>
  <c r="C34"/>
  <c r="I17" i="4"/>
  <c r="H16" i="5" s="1"/>
  <c r="N41" i="6"/>
  <c r="G97" i="9"/>
  <c r="G29" i="11"/>
  <c r="R59" i="1"/>
  <c r="P15" i="22"/>
  <c r="P44" i="9"/>
  <c r="C58"/>
  <c r="F51" i="27"/>
  <c r="F52" s="1"/>
  <c r="L42" i="29"/>
  <c r="H97" s="1"/>
  <c r="E46" i="25"/>
  <c r="L38" i="1" s="1"/>
  <c r="L20" i="4" s="1"/>
  <c r="K19" i="5" s="1"/>
  <c r="J18" i="4"/>
  <c r="I17" i="5" s="1"/>
  <c r="D44" i="25"/>
  <c r="K35" i="1" s="1"/>
  <c r="J12" i="3"/>
  <c r="J21" i="2"/>
  <c r="K8" i="4"/>
  <c r="G50" i="27"/>
  <c r="Q11" i="10"/>
  <c r="Q12"/>
  <c r="S4"/>
  <c r="Q23"/>
  <c r="L25"/>
  <c r="L20"/>
  <c r="L18"/>
  <c r="F18" i="12" s="1"/>
  <c r="L19" i="10"/>
  <c r="F19" i="12" s="1"/>
  <c r="L21" i="10"/>
  <c r="K41"/>
  <c r="L24"/>
  <c r="I15" i="12"/>
  <c r="K14" i="6"/>
  <c r="S25" i="1"/>
  <c r="S63" s="1"/>
  <c r="R63"/>
  <c r="N25" i="27"/>
  <c r="O29"/>
  <c r="O25" s="1"/>
  <c r="C22" i="13"/>
  <c r="C24" s="1"/>
  <c r="B26"/>
  <c r="I24" i="9"/>
  <c r="I15" i="6"/>
  <c r="G14" i="12" s="1"/>
  <c r="P7" i="7"/>
  <c r="M33" i="1"/>
  <c r="H40" i="29"/>
  <c r="M44" i="1" s="1"/>
  <c r="L19" i="27"/>
  <c r="K26"/>
  <c r="T14" i="12"/>
  <c r="H8" i="7"/>
  <c r="H14" i="3"/>
  <c r="C15" i="25"/>
  <c r="P54" i="6"/>
  <c r="Q51"/>
  <c r="O39"/>
  <c r="P36"/>
  <c r="F28" i="11"/>
  <c r="H8" i="3"/>
  <c r="O71" i="27"/>
  <c r="Q28" i="2"/>
  <c r="N78" i="27"/>
  <c r="N79" s="1"/>
  <c r="M43"/>
  <c r="I10" i="25"/>
  <c r="D8" i="16"/>
  <c r="C17" i="13"/>
  <c r="D13" i="16" s="1"/>
  <c r="I28" i="10"/>
  <c r="K29" s="1"/>
  <c r="J10" i="1"/>
  <c r="J34"/>
  <c r="J17" i="4" s="1"/>
  <c r="I7" i="3"/>
  <c r="I10" i="2"/>
  <c r="L6"/>
  <c r="G14" i="25" s="1"/>
  <c r="K8" i="2"/>
  <c r="L9" i="1"/>
  <c r="L12"/>
  <c r="L11" i="4" s="1"/>
  <c r="K10" i="5" s="1"/>
  <c r="K14" i="2"/>
  <c r="L11" i="1"/>
  <c r="L10" i="4" s="1"/>
  <c r="K9" i="5" s="1"/>
  <c r="L49" i="1"/>
  <c r="L51" s="1"/>
  <c r="J7" i="12"/>
  <c r="J8" s="1"/>
  <c r="L14" i="1"/>
  <c r="L13" i="4" s="1"/>
  <c r="K12" i="5" s="1"/>
  <c r="L13" i="1"/>
  <c r="L12" i="4" s="1"/>
  <c r="K11" i="5" s="1"/>
  <c r="L35" i="4"/>
  <c r="K5" i="2"/>
  <c r="K92" i="9"/>
  <c r="K115" s="1"/>
  <c r="K6" i="3"/>
  <c r="K16" i="2"/>
  <c r="H58" i="27"/>
  <c r="H59" s="1"/>
  <c r="H60" s="1"/>
  <c r="K13" i="3"/>
  <c r="J13" i="29"/>
  <c r="J14" s="1"/>
  <c r="J15" s="1"/>
  <c r="E106"/>
  <c r="P67" i="6"/>
  <c r="O68"/>
  <c r="I19" i="4"/>
  <c r="H18" i="5" s="1"/>
  <c r="C45" i="25"/>
  <c r="J36" i="1" s="1"/>
  <c r="O45" i="6"/>
  <c r="P43"/>
  <c r="O80"/>
  <c r="P9" i="29"/>
  <c r="B8" i="11"/>
  <c r="C34" i="10"/>
  <c r="H19" i="2"/>
  <c r="H11"/>
  <c r="J74" i="25"/>
  <c r="E28" i="10"/>
  <c r="F26" s="1"/>
  <c r="C20" i="12" s="1"/>
  <c r="D14" i="16"/>
  <c r="M41" i="27"/>
  <c r="L9" i="22"/>
  <c r="F83" i="27"/>
  <c r="I29" i="2" s="1"/>
  <c r="D15" i="25" s="1"/>
  <c r="F75" i="27"/>
  <c r="J20" i="2"/>
  <c r="J11" i="3"/>
  <c r="G74" i="27"/>
  <c r="J7" i="2"/>
  <c r="O14" i="8"/>
  <c r="E51" i="23"/>
  <c r="J50"/>
  <c r="G54" i="25"/>
  <c r="N18" i="1" s="1"/>
  <c r="M85" i="6"/>
  <c r="M9" i="2" s="1"/>
  <c r="M86" i="6"/>
  <c r="M17" i="2" s="1"/>
  <c r="M87" i="6"/>
  <c r="M15" i="2" s="1"/>
  <c r="C94" i="9"/>
  <c r="C117" s="1"/>
  <c r="C97"/>
  <c r="I9" i="4"/>
  <c r="F94" i="9"/>
  <c r="F117" s="1"/>
  <c r="F97"/>
  <c r="E94"/>
  <c r="E117" s="1"/>
  <c r="E97"/>
  <c r="D23" i="13"/>
  <c r="D18"/>
  <c r="E12" i="16" s="1"/>
  <c r="E15" i="13"/>
  <c r="D16"/>
  <c r="M19" i="1"/>
  <c r="K7" i="6"/>
  <c r="K11" s="1"/>
  <c r="R70"/>
  <c r="L26" i="18"/>
  <c r="A40"/>
  <c r="O52" i="6"/>
  <c r="N53"/>
  <c r="O37"/>
  <c r="F14" i="25"/>
  <c r="N81" i="6"/>
  <c r="N84" s="1"/>
  <c r="N56"/>
  <c r="J8"/>
  <c r="I7" i="5"/>
  <c r="N50" i="9"/>
  <c r="D7" i="15"/>
  <c r="H33" i="9"/>
  <c r="C13" i="25"/>
  <c r="H19" i="3"/>
  <c r="J37" i="17"/>
  <c r="K6"/>
  <c r="J16" i="6"/>
  <c r="H16" i="12" s="1"/>
  <c r="J8" i="9"/>
  <c r="E43" i="29"/>
  <c r="K43"/>
  <c r="A21" i="18"/>
  <c r="M6"/>
  <c r="A22" s="1"/>
  <c r="G28" i="10"/>
  <c r="H26" s="1"/>
  <c r="D20" i="12" s="1"/>
  <c r="L63" i="25"/>
  <c r="K63"/>
  <c r="G41" i="29"/>
  <c r="D43"/>
  <c r="J27" i="27"/>
  <c r="G7" i="25" s="1"/>
  <c r="G9" s="1"/>
  <c r="J32" i="27"/>
  <c r="J42"/>
  <c r="G11" i="25" s="1"/>
  <c r="J44" i="27"/>
  <c r="G12" i="25" s="1"/>
  <c r="Q60" i="6"/>
  <c r="R58"/>
  <c r="R60" s="1"/>
  <c r="P20" i="1"/>
  <c r="P74" i="6"/>
  <c r="O75"/>
  <c r="D25" i="10"/>
  <c r="D20"/>
  <c r="D19"/>
  <c r="B19" i="12" s="1"/>
  <c r="D18" i="10"/>
  <c r="B18" i="12" s="1"/>
  <c r="D21" i="10"/>
  <c r="C41"/>
  <c r="D24"/>
  <c r="C11" i="31"/>
  <c r="P39" i="1"/>
  <c r="P10" i="8" s="1"/>
  <c r="P8"/>
  <c r="Q4" i="1"/>
  <c r="P43"/>
  <c r="P50"/>
  <c r="P16" i="8" s="1"/>
  <c r="P29" i="6"/>
  <c r="O30"/>
  <c r="M10" i="29"/>
  <c r="N82" i="6"/>
  <c r="L26" i="10"/>
  <c r="F20" i="12" s="1"/>
  <c r="H20" i="5" l="1"/>
  <c r="F46" i="25"/>
  <c r="G46" s="1"/>
  <c r="L14" i="6"/>
  <c r="C90" i="25"/>
  <c r="B92"/>
  <c r="H29" i="11"/>
  <c r="H16" i="3"/>
  <c r="F62" i="27"/>
  <c r="I24" i="2" s="1"/>
  <c r="D13" i="25" s="1"/>
  <c r="J26" i="10"/>
  <c r="E20" i="12" s="1"/>
  <c r="S20" s="1"/>
  <c r="Q44" i="9"/>
  <c r="Q15" i="22"/>
  <c r="S59" i="1"/>
  <c r="I22" i="4"/>
  <c r="K18"/>
  <c r="J17" i="5" s="1"/>
  <c r="E44" i="25"/>
  <c r="L35" i="1" s="1"/>
  <c r="F44" i="25" s="1"/>
  <c r="Q29" i="6"/>
  <c r="P30"/>
  <c r="G42" i="29"/>
  <c r="D44"/>
  <c r="P52" i="6"/>
  <c r="O53"/>
  <c r="O56" s="1"/>
  <c r="E14" i="16"/>
  <c r="M6" i="6"/>
  <c r="B13" i="11"/>
  <c r="C10"/>
  <c r="Q43" i="6"/>
  <c r="P45"/>
  <c r="P80"/>
  <c r="J9" i="4"/>
  <c r="M9" i="8"/>
  <c r="L14" i="22"/>
  <c r="Q74" i="6"/>
  <c r="P75"/>
  <c r="L74" i="25"/>
  <c r="O50" i="9"/>
  <c r="Q9" i="10"/>
  <c r="I26" i="11" s="1"/>
  <c r="J9" i="6"/>
  <c r="J10"/>
  <c r="J12" s="1"/>
  <c r="E7" i="15"/>
  <c r="G83" i="27"/>
  <c r="J29" i="2" s="1"/>
  <c r="G75" i="27"/>
  <c r="M9" i="22"/>
  <c r="N41" i="27"/>
  <c r="E29" i="10"/>
  <c r="F20"/>
  <c r="F19"/>
  <c r="C19" i="12" s="1"/>
  <c r="F25" i="10"/>
  <c r="F18"/>
  <c r="C18" i="12" s="1"/>
  <c r="E41" i="10"/>
  <c r="F21"/>
  <c r="F24"/>
  <c r="K11" i="3"/>
  <c r="K20" i="2"/>
  <c r="H74" i="27"/>
  <c r="K7" i="2"/>
  <c r="I16" i="5"/>
  <c r="N43" i="27"/>
  <c r="O78"/>
  <c r="O79" s="1"/>
  <c r="R28" i="2"/>
  <c r="M15" i="8"/>
  <c r="M17" s="1"/>
  <c r="C26" i="13"/>
  <c r="D22"/>
  <c r="D24" s="1"/>
  <c r="N10" i="29"/>
  <c r="R4" i="1"/>
  <c r="B30" i="12"/>
  <c r="K74" i="25"/>
  <c r="L6" i="17"/>
  <c r="L37" s="1"/>
  <c r="K37"/>
  <c r="H54" i="25"/>
  <c r="O18" i="1" s="1"/>
  <c r="N87" i="6"/>
  <c r="N15" i="2" s="1"/>
  <c r="N86" i="6"/>
  <c r="N17" i="2" s="1"/>
  <c r="N85" i="6"/>
  <c r="N9" i="2" s="1"/>
  <c r="A41" i="18"/>
  <c r="M26"/>
  <c r="A42" s="1"/>
  <c r="N19" i="1"/>
  <c r="L7" i="6"/>
  <c r="E16" i="13"/>
  <c r="F15"/>
  <c r="E18"/>
  <c r="F12" i="16" s="1"/>
  <c r="E23" i="13"/>
  <c r="H8" i="5"/>
  <c r="H13" s="1"/>
  <c r="H23" s="1"/>
  <c r="I14" i="4"/>
  <c r="G13" i="12"/>
  <c r="E52" i="23"/>
  <c r="J51"/>
  <c r="K10" i="1"/>
  <c r="K34"/>
  <c r="K17" i="4" s="1"/>
  <c r="J7" i="3"/>
  <c r="J10" i="2"/>
  <c r="H6" i="7"/>
  <c r="H9" s="1"/>
  <c r="K21" i="2"/>
  <c r="K12" i="3"/>
  <c r="G28" i="11"/>
  <c r="I8" i="3"/>
  <c r="J20" i="10"/>
  <c r="J18"/>
  <c r="E18" i="12" s="1"/>
  <c r="J25" i="10"/>
  <c r="J19"/>
  <c r="E19" i="12" s="1"/>
  <c r="I29" i="10"/>
  <c r="J21"/>
  <c r="I41"/>
  <c r="J24"/>
  <c r="N33" i="27"/>
  <c r="J10" i="25"/>
  <c r="Q7" i="7"/>
  <c r="Q36" i="6"/>
  <c r="P39"/>
  <c r="P37" s="1"/>
  <c r="M19" i="27"/>
  <c r="L26"/>
  <c r="S12" i="10"/>
  <c r="S23"/>
  <c r="S11"/>
  <c r="U4"/>
  <c r="J7" i="5"/>
  <c r="L43" i="29"/>
  <c r="H98" s="1"/>
  <c r="D45" i="25"/>
  <c r="K36" i="1" s="1"/>
  <c r="O38" i="6"/>
  <c r="O41" s="1"/>
  <c r="F30" i="12"/>
  <c r="F43" i="29"/>
  <c r="J15" i="12"/>
  <c r="J19" i="4"/>
  <c r="I18" i="5" s="1"/>
  <c r="M6" i="2"/>
  <c r="H14" i="25" s="1"/>
  <c r="L8" i="2"/>
  <c r="L14"/>
  <c r="M12" i="1"/>
  <c r="M11" i="4" s="1"/>
  <c r="L10" i="5" s="1"/>
  <c r="L16" i="2"/>
  <c r="M9" i="1"/>
  <c r="M14"/>
  <c r="M13" i="4" s="1"/>
  <c r="L12" i="5" s="1"/>
  <c r="M13" i="1"/>
  <c r="M12" i="4" s="1"/>
  <c r="L11" i="5" s="1"/>
  <c r="K7" i="12"/>
  <c r="K8" s="1"/>
  <c r="M11" i="1"/>
  <c r="M10" i="4" s="1"/>
  <c r="L9" i="5" s="1"/>
  <c r="M49" i="1"/>
  <c r="M51" s="1"/>
  <c r="L5" i="2"/>
  <c r="M35" i="4"/>
  <c r="L6" i="3"/>
  <c r="I58" i="27"/>
  <c r="I59" s="1"/>
  <c r="I60" s="1"/>
  <c r="L92" i="9"/>
  <c r="L115" s="1"/>
  <c r="K13" i="29"/>
  <c r="K14" s="1"/>
  <c r="K15" s="1"/>
  <c r="F106"/>
  <c r="L13" i="3"/>
  <c r="P14" i="8"/>
  <c r="Q20" i="1"/>
  <c r="N33"/>
  <c r="H41" i="29"/>
  <c r="N44" i="1" s="1"/>
  <c r="H25" i="10"/>
  <c r="H18"/>
  <c r="D18" i="12" s="1"/>
  <c r="H19" i="10"/>
  <c r="D19" i="12" s="1"/>
  <c r="G29" i="10"/>
  <c r="H20"/>
  <c r="H21"/>
  <c r="G41"/>
  <c r="H24"/>
  <c r="K16" i="6"/>
  <c r="I16" i="12" s="1"/>
  <c r="K8" i="9"/>
  <c r="E8" i="16"/>
  <c r="D17" i="13"/>
  <c r="E13" i="16" s="1"/>
  <c r="I8" i="7"/>
  <c r="I14" i="3"/>
  <c r="Q67" i="6"/>
  <c r="P68"/>
  <c r="L8" i="4"/>
  <c r="H50" i="27"/>
  <c r="I19" i="2"/>
  <c r="I11"/>
  <c r="R51" i="6"/>
  <c r="Q54"/>
  <c r="K27" i="27"/>
  <c r="H7" i="25" s="1"/>
  <c r="H9" s="1"/>
  <c r="K32" i="27"/>
  <c r="K44"/>
  <c r="H12" i="25" s="1"/>
  <c r="K42" i="27"/>
  <c r="H11" i="25" s="1"/>
  <c r="C9" i="16"/>
  <c r="C10" s="1"/>
  <c r="B28" i="13"/>
  <c r="B27"/>
  <c r="O81" i="6"/>
  <c r="O84" s="1"/>
  <c r="K8"/>
  <c r="G51" i="27"/>
  <c r="M38" i="1" l="1"/>
  <c r="M20" i="4" s="1"/>
  <c r="L19" i="5" s="1"/>
  <c r="C92" i="25"/>
  <c r="D90"/>
  <c r="T20" i="12"/>
  <c r="U20" s="1"/>
  <c r="O82" i="6"/>
  <c r="I33" i="9"/>
  <c r="I19" i="3"/>
  <c r="E30" i="12"/>
  <c r="S18"/>
  <c r="D30"/>
  <c r="I29" i="11"/>
  <c r="R15" i="22"/>
  <c r="R44" i="9"/>
  <c r="I25" i="4"/>
  <c r="I36" s="1"/>
  <c r="I38" s="1"/>
  <c r="I39" s="1"/>
  <c r="T19" i="12"/>
  <c r="S19"/>
  <c r="P38" i="6"/>
  <c r="P41" s="1"/>
  <c r="C28" i="13"/>
  <c r="C8" i="15"/>
  <c r="C11" s="1"/>
  <c r="K7" i="5"/>
  <c r="R20" i="1"/>
  <c r="M35"/>
  <c r="G44" i="25" s="1"/>
  <c r="L11" i="3"/>
  <c r="L20" i="2"/>
  <c r="K44" i="29"/>
  <c r="F44"/>
  <c r="E44"/>
  <c r="L27" i="27"/>
  <c r="I7" i="25" s="1"/>
  <c r="I9" s="1"/>
  <c r="L32" i="27"/>
  <c r="L44"/>
  <c r="I12" i="25" s="1"/>
  <c r="L42" i="27"/>
  <c r="I11" i="25" s="1"/>
  <c r="R36" i="6"/>
  <c r="Q39"/>
  <c r="Q37" s="1"/>
  <c r="F8" i="16"/>
  <c r="E17" i="13"/>
  <c r="F13" i="16" s="1"/>
  <c r="S4" i="1"/>
  <c r="R33"/>
  <c r="R44"/>
  <c r="R67" i="6"/>
  <c r="R68" s="1"/>
  <c r="Q68"/>
  <c r="N6" i="2"/>
  <c r="I14" i="25" s="1"/>
  <c r="M8" i="2"/>
  <c r="M16"/>
  <c r="N9" i="1"/>
  <c r="N12"/>
  <c r="N11" i="4" s="1"/>
  <c r="M10" i="5" s="1"/>
  <c r="L7" i="12"/>
  <c r="L8" s="1"/>
  <c r="M14" i="2"/>
  <c r="N11" i="1"/>
  <c r="N10" i="4" s="1"/>
  <c r="M9" i="5" s="1"/>
  <c r="N49" i="1"/>
  <c r="N51" s="1"/>
  <c r="M5" i="2"/>
  <c r="N35" i="4"/>
  <c r="N13" i="1"/>
  <c r="N12" i="4" s="1"/>
  <c r="M11" i="5" s="1"/>
  <c r="M92" i="9"/>
  <c r="M115" s="1"/>
  <c r="M6" i="3"/>
  <c r="N14" i="1"/>
  <c r="N13" i="4" s="1"/>
  <c r="M12" i="5" s="1"/>
  <c r="J58" i="27"/>
  <c r="J59" s="1"/>
  <c r="J60" s="1"/>
  <c r="G106" i="29"/>
  <c r="L13"/>
  <c r="L14" s="1"/>
  <c r="L15" s="1"/>
  <c r="M13" i="3"/>
  <c r="G9" i="12"/>
  <c r="H7" i="9"/>
  <c r="G7" i="11"/>
  <c r="K9" i="4"/>
  <c r="F18" i="13"/>
  <c r="G12" i="16" s="1"/>
  <c r="G15" i="13"/>
  <c r="F16"/>
  <c r="F23"/>
  <c r="M7" i="6"/>
  <c r="M11" s="1"/>
  <c r="O19" i="1"/>
  <c r="D9" i="16"/>
  <c r="D10" s="1"/>
  <c r="D16" s="1"/>
  <c r="C27" i="13"/>
  <c r="J8" i="7"/>
  <c r="J14" i="3"/>
  <c r="O33" i="1"/>
  <c r="H42" i="29"/>
  <c r="O44" i="1" s="1"/>
  <c r="G62" i="27"/>
  <c r="J24" i="2" s="1"/>
  <c r="G52" i="27"/>
  <c r="H51" s="1"/>
  <c r="I54" i="25"/>
  <c r="P18" i="1" s="1"/>
  <c r="O87" i="6"/>
  <c r="O15" i="2" s="1"/>
  <c r="O85" i="6"/>
  <c r="O9" i="2" s="1"/>
  <c r="O86" i="6"/>
  <c r="O17" i="2" s="1"/>
  <c r="I6" i="7"/>
  <c r="I9" s="1"/>
  <c r="N9" i="8"/>
  <c r="M14" i="22"/>
  <c r="L21" i="2"/>
  <c r="L12" i="3"/>
  <c r="I74" i="27"/>
  <c r="L7" i="2"/>
  <c r="J16" i="5"/>
  <c r="F7" i="15"/>
  <c r="L11" i="6"/>
  <c r="L8"/>
  <c r="E22" i="13"/>
  <c r="E24" s="1"/>
  <c r="D26"/>
  <c r="R7" i="7"/>
  <c r="H83" i="27"/>
  <c r="K29" i="2" s="1"/>
  <c r="H75" i="27"/>
  <c r="O41"/>
  <c r="J15" i="6"/>
  <c r="H14" i="12" s="1"/>
  <c r="J24" i="9"/>
  <c r="R74" i="6"/>
  <c r="R75" s="1"/>
  <c r="Q75"/>
  <c r="I8" i="5"/>
  <c r="I13" s="1"/>
  <c r="J14" i="4"/>
  <c r="H13" i="12"/>
  <c r="D45" i="29"/>
  <c r="G44" s="1"/>
  <c r="Q33" i="1" s="1"/>
  <c r="G43" i="29"/>
  <c r="P33" i="1" s="1"/>
  <c r="R29" i="6"/>
  <c r="Q30"/>
  <c r="T18" i="12"/>
  <c r="J22" i="4"/>
  <c r="I20" i="5"/>
  <c r="M21" i="8"/>
  <c r="E15" i="25"/>
  <c r="N38" i="1"/>
  <c r="N20" i="4" s="1"/>
  <c r="M19" i="5" s="1"/>
  <c r="H46" i="25"/>
  <c r="K19" i="4"/>
  <c r="J18" i="5" s="1"/>
  <c r="W4" i="10"/>
  <c r="U23"/>
  <c r="U12"/>
  <c r="U11"/>
  <c r="K10" i="25"/>
  <c r="O33" i="27"/>
  <c r="L10" i="25" s="1"/>
  <c r="J19" i="2"/>
  <c r="J11"/>
  <c r="O10" i="29"/>
  <c r="O43" i="27"/>
  <c r="P50" i="9"/>
  <c r="K10" i="6"/>
  <c r="K12" s="1"/>
  <c r="K9"/>
  <c r="S9" i="10"/>
  <c r="J26" i="11" s="1"/>
  <c r="N15" i="8"/>
  <c r="N17" s="1"/>
  <c r="M8" i="4"/>
  <c r="I50" i="27"/>
  <c r="N19"/>
  <c r="M26"/>
  <c r="H28" i="11"/>
  <c r="J8" i="3"/>
  <c r="J52" i="23"/>
  <c r="E53"/>
  <c r="F14" i="16"/>
  <c r="N6" i="6"/>
  <c r="L34" i="1"/>
  <c r="L17" i="4" s="1"/>
  <c r="L10" i="1"/>
  <c r="K7" i="3"/>
  <c r="K10" i="2"/>
  <c r="L18" i="4"/>
  <c r="K17" i="5" s="1"/>
  <c r="N9" i="22"/>
  <c r="R43" i="6"/>
  <c r="Q45"/>
  <c r="Q80"/>
  <c r="K15" i="12"/>
  <c r="M14" i="6"/>
  <c r="Q52"/>
  <c r="P53"/>
  <c r="P56" s="1"/>
  <c r="I16" i="3"/>
  <c r="C30" i="12"/>
  <c r="P81" i="6"/>
  <c r="P84" s="1"/>
  <c r="E45" i="25"/>
  <c r="L36" i="1" s="1"/>
  <c r="J16" i="3" l="1"/>
  <c r="D92" i="25"/>
  <c r="E90"/>
  <c r="M8" i="6"/>
  <c r="M9" s="1"/>
  <c r="P82"/>
  <c r="I27" i="4"/>
  <c r="F11" i="12" s="1"/>
  <c r="T11" s="1"/>
  <c r="H12" i="9"/>
  <c r="J37" i="4"/>
  <c r="U18" i="12"/>
  <c r="U19"/>
  <c r="L19" i="4"/>
  <c r="K18" i="5" s="1"/>
  <c r="F45" i="25"/>
  <c r="M36" i="1" s="1"/>
  <c r="G45" i="25" s="1"/>
  <c r="L9" i="4"/>
  <c r="Y4" i="10"/>
  <c r="W11"/>
  <c r="W12"/>
  <c r="W23"/>
  <c r="O38" i="1"/>
  <c r="O20" i="4" s="1"/>
  <c r="N19" i="5" s="1"/>
  <c r="I46" i="25"/>
  <c r="K8" i="7"/>
  <c r="K14" i="3"/>
  <c r="F15" i="25"/>
  <c r="E9" i="16"/>
  <c r="E10" s="1"/>
  <c r="E16" s="1"/>
  <c r="D27" i="13"/>
  <c r="O15" i="8"/>
  <c r="O17" s="1"/>
  <c r="P19" i="1"/>
  <c r="N7" i="6"/>
  <c r="N11" s="1"/>
  <c r="G18" i="13"/>
  <c r="H12" i="16" s="1"/>
  <c r="H15" i="13"/>
  <c r="G16"/>
  <c r="G23"/>
  <c r="J8" i="5"/>
  <c r="J13" s="1"/>
  <c r="I13" i="12"/>
  <c r="K14" i="4"/>
  <c r="G31" i="11"/>
  <c r="R39" i="6"/>
  <c r="D28" i="13"/>
  <c r="D8" i="15"/>
  <c r="D11" s="1"/>
  <c r="R52" i="6"/>
  <c r="R53" s="1"/>
  <c r="Q53"/>
  <c r="O9" i="22"/>
  <c r="I28" i="11"/>
  <c r="K8" i="3"/>
  <c r="L15" i="12"/>
  <c r="N14" i="6"/>
  <c r="O19" i="27"/>
  <c r="O26" s="1"/>
  <c r="O44" s="1"/>
  <c r="L12" i="25" s="1"/>
  <c r="N26" i="27"/>
  <c r="N32" s="1"/>
  <c r="Q50" i="9"/>
  <c r="U19" i="10"/>
  <c r="M30" i="8"/>
  <c r="L16" i="6"/>
  <c r="J16" i="12" s="1"/>
  <c r="L8" i="9"/>
  <c r="J19" i="3"/>
  <c r="J33" i="9"/>
  <c r="E13" i="25"/>
  <c r="F17" i="13"/>
  <c r="G13" i="16" s="1"/>
  <c r="G8"/>
  <c r="H9" i="9"/>
  <c r="M31" i="10"/>
  <c r="C22" i="15"/>
  <c r="N35" i="1"/>
  <c r="M20" i="2"/>
  <c r="M11" i="3"/>
  <c r="M21" i="2"/>
  <c r="M12" i="3"/>
  <c r="K45" i="29"/>
  <c r="H26" i="2" s="1" a="1"/>
  <c r="E45" i="29"/>
  <c r="H44"/>
  <c r="Q44" i="1" s="1"/>
  <c r="P14" i="22" s="1"/>
  <c r="F45" i="29"/>
  <c r="M18" i="4"/>
  <c r="L17" i="5" s="1"/>
  <c r="K19" i="2"/>
  <c r="K11"/>
  <c r="E54" i="23"/>
  <c r="J53"/>
  <c r="M27" i="27"/>
  <c r="J7" i="25" s="1"/>
  <c r="J9" s="1"/>
  <c r="M32" i="27"/>
  <c r="M44"/>
  <c r="J12" i="25" s="1"/>
  <c r="M42" i="27"/>
  <c r="J11" i="25" s="1"/>
  <c r="K15" i="6"/>
  <c r="I14" i="12" s="1"/>
  <c r="K24" i="9"/>
  <c r="P10" i="29"/>
  <c r="H62" i="27"/>
  <c r="K24" i="2" s="1"/>
  <c r="H52" i="27"/>
  <c r="I51" s="1"/>
  <c r="R30" i="6"/>
  <c r="L10"/>
  <c r="L12" s="1"/>
  <c r="L9"/>
  <c r="U9" i="10"/>
  <c r="K26" i="11" s="1"/>
  <c r="I83" i="27"/>
  <c r="L29" i="2" s="1"/>
  <c r="I75" i="27"/>
  <c r="G14" i="16"/>
  <c r="N8" i="4"/>
  <c r="J50" i="27"/>
  <c r="O6" i="2"/>
  <c r="N8"/>
  <c r="O12" i="1"/>
  <c r="O11" i="4" s="1"/>
  <c r="N10" i="5" s="1"/>
  <c r="M7" i="12"/>
  <c r="M8" s="1"/>
  <c r="N16" i="2"/>
  <c r="O14" i="1"/>
  <c r="O13" i="4" s="1"/>
  <c r="N12" i="5" s="1"/>
  <c r="N14" i="2"/>
  <c r="O13" i="1"/>
  <c r="O12" i="4" s="1"/>
  <c r="N11" i="5" s="1"/>
  <c r="O49" i="1"/>
  <c r="O51" s="1"/>
  <c r="O11"/>
  <c r="O10" i="4" s="1"/>
  <c r="N9" i="5" s="1"/>
  <c r="N5" i="2"/>
  <c r="N6" i="3"/>
  <c r="O9" i="1"/>
  <c r="N92" i="9"/>
  <c r="N115" s="1"/>
  <c r="K58" i="27"/>
  <c r="K59" s="1"/>
  <c r="K60" s="1"/>
  <c r="O35" i="4"/>
  <c r="H106" i="29"/>
  <c r="N13" i="3"/>
  <c r="M13" i="29"/>
  <c r="M14" s="1"/>
  <c r="M15" s="1"/>
  <c r="Q14" i="22"/>
  <c r="Q26" s="1"/>
  <c r="R9" i="8"/>
  <c r="Q56" i="6"/>
  <c r="I23" i="5"/>
  <c r="R37" i="6"/>
  <c r="R81" s="1"/>
  <c r="Q81"/>
  <c r="Q84" s="1"/>
  <c r="J25" i="4"/>
  <c r="K22"/>
  <c r="N21" i="8"/>
  <c r="J20" i="5"/>
  <c r="Q38" i="6"/>
  <c r="L44" i="29"/>
  <c r="H99" s="1"/>
  <c r="J29" i="11"/>
  <c r="J6" i="7"/>
  <c r="J9" s="1"/>
  <c r="P9" i="8"/>
  <c r="J54" i="25"/>
  <c r="Q18" i="1" s="1"/>
  <c r="P87" i="6"/>
  <c r="P15" i="2" s="1"/>
  <c r="P85" i="6"/>
  <c r="P9" i="2" s="1"/>
  <c r="P86" i="6"/>
  <c r="P17" i="2" s="1"/>
  <c r="R45" i="6"/>
  <c r="R56" s="1"/>
  <c r="R80"/>
  <c r="K16" i="5"/>
  <c r="L7"/>
  <c r="Q9" i="8"/>
  <c r="E26" i="13"/>
  <c r="F22"/>
  <c r="F24" s="1"/>
  <c r="M34" i="1"/>
  <c r="M17" i="4" s="1"/>
  <c r="M10" i="1"/>
  <c r="L7" i="3"/>
  <c r="L10" i="2"/>
  <c r="H9" i="12"/>
  <c r="H31" i="11" s="1"/>
  <c r="I7" i="9"/>
  <c r="H7" i="11"/>
  <c r="O6" i="6"/>
  <c r="O9" i="8"/>
  <c r="N14" i="22"/>
  <c r="M16" i="6"/>
  <c r="K16" i="12" s="1"/>
  <c r="M8" i="9"/>
  <c r="G7" i="15"/>
  <c r="G22" i="11"/>
  <c r="G11"/>
  <c r="J74" i="27"/>
  <c r="M7" i="2"/>
  <c r="R15" i="8"/>
  <c r="R17" s="1"/>
  <c r="S20" i="1"/>
  <c r="Q41" i="6"/>
  <c r="H43" i="29"/>
  <c r="P44" i="1" s="1"/>
  <c r="O14" i="22" s="1"/>
  <c r="O42" i="27" l="1"/>
  <c r="L11" i="25" s="1"/>
  <c r="K20" i="5"/>
  <c r="F90" i="25"/>
  <c r="E92"/>
  <c r="W9" i="10"/>
  <c r="L26" i="11" s="1"/>
  <c r="H14" i="9"/>
  <c r="H19" s="1"/>
  <c r="H26" s="1"/>
  <c r="N8" i="6"/>
  <c r="N9" s="1"/>
  <c r="M10"/>
  <c r="M12" s="1"/>
  <c r="M24" i="9" s="1"/>
  <c r="L22" i="4"/>
  <c r="R84" i="6"/>
  <c r="N36" i="1"/>
  <c r="N19" i="4" s="1"/>
  <c r="M18" i="5" s="1"/>
  <c r="L45" i="29"/>
  <c r="H100" s="1"/>
  <c r="H102" s="1"/>
  <c r="K29" i="11"/>
  <c r="J23" i="5"/>
  <c r="L54" i="25"/>
  <c r="R87" i="6"/>
  <c r="R15" i="2" s="1"/>
  <c r="R86" i="6"/>
  <c r="R17" i="2" s="1"/>
  <c r="R85" i="6"/>
  <c r="R9" i="2" s="1"/>
  <c r="L19"/>
  <c r="L11"/>
  <c r="K54" i="25"/>
  <c r="R18" i="1" s="1"/>
  <c r="Q86" i="6"/>
  <c r="Q17" i="2" s="1"/>
  <c r="Q87" i="6"/>
  <c r="Q15" i="2" s="1"/>
  <c r="Q85" i="6"/>
  <c r="Q9" i="2" s="1"/>
  <c r="L8" i="7"/>
  <c r="L14" i="3"/>
  <c r="R50" i="9"/>
  <c r="P9" i="22"/>
  <c r="M15" i="12"/>
  <c r="O14" i="6"/>
  <c r="L16" i="5"/>
  <c r="J27" i="4"/>
  <c r="G11" i="12" s="1"/>
  <c r="I12" i="9"/>
  <c r="K37" i="4"/>
  <c r="J36"/>
  <c r="J38" s="1"/>
  <c r="J39" s="1"/>
  <c r="I52" i="27"/>
  <c r="J51" s="1"/>
  <c r="I62"/>
  <c r="L24" i="2" s="1"/>
  <c r="G13" i="25" s="1"/>
  <c r="N20" i="2"/>
  <c r="N11" i="3"/>
  <c r="L15" i="6"/>
  <c r="J14" i="12" s="1"/>
  <c r="L24" i="9"/>
  <c r="K19" i="3"/>
  <c r="K33" i="9"/>
  <c r="K6" i="7"/>
  <c r="K9" s="1"/>
  <c r="Q15" i="8"/>
  <c r="Q17" s="1"/>
  <c r="N18" i="4"/>
  <c r="M17" i="5" s="1"/>
  <c r="H18" i="13"/>
  <c r="I12" i="16" s="1"/>
  <c r="H23" i="13"/>
  <c r="I15"/>
  <c r="H16"/>
  <c r="Y11" i="10"/>
  <c r="AA4"/>
  <c r="Y23"/>
  <c r="Y12"/>
  <c r="M19" i="4"/>
  <c r="L18" i="5" s="1"/>
  <c r="J83" i="27"/>
  <c r="M29" i="2" s="1"/>
  <c r="H15" i="25" s="1"/>
  <c r="J75" i="27"/>
  <c r="I9" i="9"/>
  <c r="M9" i="4"/>
  <c r="F9" i="16"/>
  <c r="F10" s="1"/>
  <c r="F16" s="1"/>
  <c r="E27" i="13"/>
  <c r="P6" i="6"/>
  <c r="I9" i="12"/>
  <c r="J7" i="9"/>
  <c r="I7" i="11"/>
  <c r="P6" i="2"/>
  <c r="O8"/>
  <c r="P9" i="1"/>
  <c r="P12"/>
  <c r="P11" i="4" s="1"/>
  <c r="O10" i="5" s="1"/>
  <c r="O14" i="2"/>
  <c r="P11" i="1"/>
  <c r="P10" i="4" s="1"/>
  <c r="O9" i="5" s="1"/>
  <c r="O16" i="2"/>
  <c r="P49" i="1"/>
  <c r="P51" s="1"/>
  <c r="P14"/>
  <c r="P13" i="4" s="1"/>
  <c r="O12" i="5" s="1"/>
  <c r="N7" i="12"/>
  <c r="N8" s="1"/>
  <c r="P13" i="1"/>
  <c r="P12" i="4" s="1"/>
  <c r="O11" i="5" s="1"/>
  <c r="L58" i="27"/>
  <c r="L59" s="1"/>
  <c r="L60" s="1"/>
  <c r="O92" i="9"/>
  <c r="O115" s="1"/>
  <c r="O6" i="3"/>
  <c r="O5" i="2"/>
  <c r="P35" i="4"/>
  <c r="I106" i="29"/>
  <c r="O13" i="3"/>
  <c r="N13" i="29"/>
  <c r="N14" s="1"/>
  <c r="N15" s="1"/>
  <c r="J14" i="25"/>
  <c r="O27" i="27"/>
  <c r="L7" i="25" s="1"/>
  <c r="L9" s="1"/>
  <c r="O32" i="27"/>
  <c r="G17" i="13"/>
  <c r="H13" i="16" s="1"/>
  <c r="H8"/>
  <c r="Q19" i="1"/>
  <c r="O7" i="6"/>
  <c r="O11" s="1"/>
  <c r="Q21" i="8"/>
  <c r="G15" i="25"/>
  <c r="H45"/>
  <c r="R82" i="6"/>
  <c r="Q82"/>
  <c r="H44" i="25"/>
  <c r="O35" i="1" s="1"/>
  <c r="K16" i="3"/>
  <c r="R38" i="6"/>
  <c r="K25" i="4"/>
  <c r="G22" i="13"/>
  <c r="G24" s="1"/>
  <c r="F26"/>
  <c r="M7" i="5"/>
  <c r="C32" i="15"/>
  <c r="D20"/>
  <c r="H7"/>
  <c r="P38" i="1"/>
  <c r="P20" i="4" s="1"/>
  <c r="O19" i="5" s="1"/>
  <c r="J46" i="25"/>
  <c r="P15" i="8"/>
  <c r="P17" s="1"/>
  <c r="N10" i="1"/>
  <c r="N34"/>
  <c r="N17" i="4" s="1"/>
  <c r="M7" i="3"/>
  <c r="M10" i="2"/>
  <c r="H11" i="11"/>
  <c r="J28"/>
  <c r="L8" i="3"/>
  <c r="N30" i="8"/>
  <c r="W19" i="10"/>
  <c r="O8" i="4"/>
  <c r="K50" i="27"/>
  <c r="N12" i="3"/>
  <c r="N21" i="2"/>
  <c r="K74" i="27"/>
  <c r="N7" i="2"/>
  <c r="E55" i="23"/>
  <c r="J54"/>
  <c r="P26" i="2"/>
  <c r="J26"/>
  <c r="Q26"/>
  <c r="N26"/>
  <c r="I26"/>
  <c r="H26"/>
  <c r="L26"/>
  <c r="M26"/>
  <c r="O26"/>
  <c r="K26"/>
  <c r="M34" i="10"/>
  <c r="G8" i="11"/>
  <c r="N27" i="27"/>
  <c r="K7" i="25" s="1"/>
  <c r="K9" s="1"/>
  <c r="N42" i="27"/>
  <c r="K11" i="25" s="1"/>
  <c r="N44" i="27"/>
  <c r="K12" i="25" s="1"/>
  <c r="N10" i="6"/>
  <c r="N12" s="1"/>
  <c r="E28" i="13"/>
  <c r="E8" i="15"/>
  <c r="E11" s="1"/>
  <c r="H14" i="16"/>
  <c r="N16" i="6"/>
  <c r="L16" i="12" s="1"/>
  <c r="N8" i="9"/>
  <c r="K8" i="5"/>
  <c r="K13" s="1"/>
  <c r="J13" i="12"/>
  <c r="L14" i="4"/>
  <c r="R41" i="6"/>
  <c r="O21" i="8"/>
  <c r="R21"/>
  <c r="F13" i="25"/>
  <c r="Y9" i="10" l="1"/>
  <c r="M26" i="11" s="1"/>
  <c r="L16" i="3"/>
  <c r="K23" i="5"/>
  <c r="M15" i="6"/>
  <c r="K14" i="12" s="1"/>
  <c r="H120" i="9"/>
  <c r="G90" i="25"/>
  <c r="F92"/>
  <c r="B8" i="17"/>
  <c r="C8" i="18" s="1"/>
  <c r="L25" i="4"/>
  <c r="K12" i="9" s="1"/>
  <c r="P21" i="8"/>
  <c r="AA19" i="10" s="1"/>
  <c r="L29" i="11"/>
  <c r="S18" i="1"/>
  <c r="R6" i="6" s="1"/>
  <c r="H24" i="22" a="1"/>
  <c r="M24" s="1"/>
  <c r="M26" s="1"/>
  <c r="I100" i="29"/>
  <c r="O18" i="4"/>
  <c r="N17" i="5" s="1"/>
  <c r="I44" i="25"/>
  <c r="P35" i="1" s="1"/>
  <c r="P18" i="4" s="1"/>
  <c r="O17" i="5" s="1"/>
  <c r="F28" i="13"/>
  <c r="F8" i="15"/>
  <c r="F11" s="1"/>
  <c r="G13" i="11"/>
  <c r="G10"/>
  <c r="N31" i="8"/>
  <c r="N41" s="1"/>
  <c r="M21" i="3"/>
  <c r="O31" i="8"/>
  <c r="O41" s="1"/>
  <c r="N21" i="3"/>
  <c r="K83" i="27"/>
  <c r="N29" i="2" s="1"/>
  <c r="I15" i="25" s="1"/>
  <c r="K75" i="27"/>
  <c r="N9" i="4"/>
  <c r="AC19" i="10"/>
  <c r="Q30" i="8"/>
  <c r="I11" i="11"/>
  <c r="N15" i="12"/>
  <c r="P14" i="6"/>
  <c r="I8" i="16"/>
  <c r="H17" i="13"/>
  <c r="I13" i="16" s="1"/>
  <c r="J9" i="12"/>
  <c r="J31" i="11" s="1"/>
  <c r="K7" i="9"/>
  <c r="J7" i="11"/>
  <c r="R26" i="8"/>
  <c r="AE19" i="10"/>
  <c r="R30" i="8"/>
  <c r="S30"/>
  <c r="S32" s="1"/>
  <c r="S36" s="1"/>
  <c r="E20" i="15"/>
  <c r="N15" i="6"/>
  <c r="L14" i="12" s="1"/>
  <c r="N24" i="9"/>
  <c r="P31" i="8"/>
  <c r="P41" s="1"/>
  <c r="O21" i="3"/>
  <c r="J31" i="8"/>
  <c r="I21" i="3"/>
  <c r="P21"/>
  <c r="Q31" i="8"/>
  <c r="Q41" s="1"/>
  <c r="O10" i="1"/>
  <c r="O34"/>
  <c r="O17" i="4" s="1"/>
  <c r="N7" i="3"/>
  <c r="N10" i="2"/>
  <c r="N22" i="4"/>
  <c r="M16" i="5"/>
  <c r="M20" s="1"/>
  <c r="K46" i="25"/>
  <c r="Q38" i="1"/>
  <c r="Q20" i="4" s="1"/>
  <c r="P19" i="5" s="1"/>
  <c r="G26" i="13"/>
  <c r="H22"/>
  <c r="H24" s="1"/>
  <c r="P30" i="8"/>
  <c r="O12" i="3"/>
  <c r="O21" i="2"/>
  <c r="L50" i="27"/>
  <c r="P8" i="4"/>
  <c r="M8" i="7"/>
  <c r="M14" i="3"/>
  <c r="I7" i="15"/>
  <c r="L19" i="3"/>
  <c r="L33" i="9"/>
  <c r="Q9" i="22"/>
  <c r="Q6" i="6"/>
  <c r="L31" i="8"/>
  <c r="K21" i="3"/>
  <c r="H21"/>
  <c r="I31" i="8"/>
  <c r="J21" i="3"/>
  <c r="K31" i="8"/>
  <c r="K28" i="11"/>
  <c r="M8" i="3"/>
  <c r="G9" i="16"/>
  <c r="G10" s="1"/>
  <c r="G16" s="1"/>
  <c r="F27" i="13"/>
  <c r="J12" i="9"/>
  <c r="L37" i="4"/>
  <c r="K36"/>
  <c r="K38" s="1"/>
  <c r="K39" s="1"/>
  <c r="K27"/>
  <c r="H11" i="12" s="1"/>
  <c r="P7" i="6"/>
  <c r="P11" s="1"/>
  <c r="R19" i="1"/>
  <c r="Q6" i="2"/>
  <c r="Q21" i="3" s="1"/>
  <c r="P8" i="2"/>
  <c r="P14"/>
  <c r="Q9" i="1"/>
  <c r="Q12"/>
  <c r="Q11" i="4" s="1"/>
  <c r="P10" i="5" s="1"/>
  <c r="P16" i="2"/>
  <c r="Q14" i="1"/>
  <c r="Q13" i="4" s="1"/>
  <c r="P12" i="5" s="1"/>
  <c r="Q13" i="1"/>
  <c r="Q12" i="4" s="1"/>
  <c r="P11" i="5" s="1"/>
  <c r="Q11" i="1"/>
  <c r="Q10" i="4" s="1"/>
  <c r="P9" i="5" s="1"/>
  <c r="O7" i="12"/>
  <c r="O8" s="1"/>
  <c r="M58" i="27"/>
  <c r="M59" s="1"/>
  <c r="M60" s="1"/>
  <c r="P92" i="9"/>
  <c r="P115" s="1"/>
  <c r="Q35" i="4"/>
  <c r="Q49" i="1"/>
  <c r="Q51" s="1"/>
  <c r="P6" i="3"/>
  <c r="P5" i="2"/>
  <c r="P13" i="3"/>
  <c r="O13" i="29"/>
  <c r="O14" s="1"/>
  <c r="O15" s="1"/>
  <c r="J106"/>
  <c r="K14" i="25"/>
  <c r="I31" i="11"/>
  <c r="L8" i="5"/>
  <c r="L13" s="1"/>
  <c r="K13" i="12"/>
  <c r="M14" i="4"/>
  <c r="AA12" i="10"/>
  <c r="AA23"/>
  <c r="AA11"/>
  <c r="AC4"/>
  <c r="I14" i="16"/>
  <c r="O36" i="1"/>
  <c r="M22" i="4"/>
  <c r="L20" i="5"/>
  <c r="O8" i="6"/>
  <c r="O30" i="8"/>
  <c r="O32" s="1"/>
  <c r="O36" s="1"/>
  <c r="Y19" i="10"/>
  <c r="L21" i="3"/>
  <c r="M31" i="8"/>
  <c r="R31"/>
  <c r="R41" s="1"/>
  <c r="E56" i="23"/>
  <c r="J55"/>
  <c r="N7" i="5"/>
  <c r="M19" i="2"/>
  <c r="M11"/>
  <c r="J62" i="27"/>
  <c r="M24" i="2" s="1"/>
  <c r="J52" i="27"/>
  <c r="K51" s="1"/>
  <c r="O16" i="6"/>
  <c r="M16" i="12" s="1"/>
  <c r="O8" i="9"/>
  <c r="O20" i="2"/>
  <c r="O11" i="3"/>
  <c r="L74" i="27"/>
  <c r="O7" i="2"/>
  <c r="J9" i="9"/>
  <c r="I16" i="13"/>
  <c r="I23"/>
  <c r="I18"/>
  <c r="J7" i="15" s="1"/>
  <c r="J15" i="13"/>
  <c r="L6" i="7"/>
  <c r="L9" s="1"/>
  <c r="I14" i="9"/>
  <c r="M29" i="11" l="1"/>
  <c r="R24" i="22"/>
  <c r="N24"/>
  <c r="N26" s="1"/>
  <c r="H90" i="25"/>
  <c r="G92"/>
  <c r="M37" i="4"/>
  <c r="L27"/>
  <c r="I11" i="12" s="1"/>
  <c r="L36" i="4"/>
  <c r="L38" s="1"/>
  <c r="L39" s="1"/>
  <c r="M25"/>
  <c r="M27" s="1"/>
  <c r="J11" i="12" s="1"/>
  <c r="H24" i="22"/>
  <c r="H26" s="1"/>
  <c r="P24"/>
  <c r="P26" s="1"/>
  <c r="N32" i="8"/>
  <c r="N36" s="1"/>
  <c r="Q24" i="22"/>
  <c r="K24"/>
  <c r="K26" s="1"/>
  <c r="L24"/>
  <c r="L26" s="1"/>
  <c r="O24"/>
  <c r="O26" s="1"/>
  <c r="I24"/>
  <c r="I26" s="1"/>
  <c r="J24"/>
  <c r="J26" s="1"/>
  <c r="L83" i="27"/>
  <c r="O29" i="2" s="1"/>
  <c r="J15" i="25" s="1"/>
  <c r="L75" i="27"/>
  <c r="M41" i="8"/>
  <c r="M32"/>
  <c r="M36" s="1"/>
  <c r="O15" i="12"/>
  <c r="Q14" i="6"/>
  <c r="L46" i="25"/>
  <c r="R38" i="1"/>
  <c r="R20" i="4" s="1"/>
  <c r="Q19" i="5" s="1"/>
  <c r="L28" i="11"/>
  <c r="N8" i="3"/>
  <c r="K9" i="9"/>
  <c r="K14" s="1"/>
  <c r="M8" i="5"/>
  <c r="M13" s="1"/>
  <c r="M23" s="1"/>
  <c r="N14" i="4"/>
  <c r="N25" s="1"/>
  <c r="L13" i="12"/>
  <c r="J23" i="13"/>
  <c r="J16"/>
  <c r="J17" s="1"/>
  <c r="K15"/>
  <c r="J18"/>
  <c r="K7" i="15" s="1"/>
  <c r="P34" i="1"/>
  <c r="P17" i="4" s="1"/>
  <c r="P10" i="1"/>
  <c r="O7" i="3"/>
  <c r="O10" i="2"/>
  <c r="M19" i="3"/>
  <c r="M33" i="9"/>
  <c r="H13" i="25"/>
  <c r="O19" i="4"/>
  <c r="N18" i="5" s="1"/>
  <c r="I45" i="25"/>
  <c r="P36" i="1" s="1"/>
  <c r="P19" i="4" s="1"/>
  <c r="O18" i="5" s="1"/>
  <c r="K52" i="27"/>
  <c r="L51" s="1"/>
  <c r="K62"/>
  <c r="N24" i="2" s="1"/>
  <c r="I13" i="25" s="1"/>
  <c r="AE4" i="10"/>
  <c r="AC23"/>
  <c r="AC12"/>
  <c r="AC11"/>
  <c r="P21" i="2"/>
  <c r="P12" i="3"/>
  <c r="P16" i="6"/>
  <c r="N16" i="12" s="1"/>
  <c r="P8" i="9"/>
  <c r="I41" i="8"/>
  <c r="I32"/>
  <c r="I36" s="1"/>
  <c r="N19" i="2"/>
  <c r="N11"/>
  <c r="J11" i="11"/>
  <c r="K9" i="12"/>
  <c r="K7" i="11"/>
  <c r="L7" i="9"/>
  <c r="J8" i="16"/>
  <c r="I17" i="13"/>
  <c r="J13" i="16" s="1"/>
  <c r="P20" i="2"/>
  <c r="P11" i="3"/>
  <c r="Q7" i="6"/>
  <c r="Q11" s="1"/>
  <c r="S19" i="1"/>
  <c r="L41" i="8"/>
  <c r="L32"/>
  <c r="L36" s="1"/>
  <c r="R9" i="22"/>
  <c r="O7" i="5"/>
  <c r="H9" i="16"/>
  <c r="H10" s="1"/>
  <c r="H16" s="1"/>
  <c r="G27" i="13"/>
  <c r="O9" i="4"/>
  <c r="J41" i="8"/>
  <c r="J32"/>
  <c r="J36" s="1"/>
  <c r="N8" i="7"/>
  <c r="N14" i="3"/>
  <c r="G28" i="13"/>
  <c r="G8" i="15"/>
  <c r="G11" s="1"/>
  <c r="M16" i="3"/>
  <c r="P32" i="8"/>
  <c r="P36" s="1"/>
  <c r="L23" i="5"/>
  <c r="R32" i="8"/>
  <c r="R36" s="1"/>
  <c r="P8" i="6"/>
  <c r="M6" i="7"/>
  <c r="M9" s="1"/>
  <c r="M74" i="27"/>
  <c r="P7" i="2"/>
  <c r="J14" i="16"/>
  <c r="J56" i="23"/>
  <c r="E57"/>
  <c r="O10" i="6"/>
  <c r="O12" s="1"/>
  <c r="O9"/>
  <c r="AA9" i="10"/>
  <c r="N26" i="11" s="1"/>
  <c r="Q8" i="4"/>
  <c r="M50" i="27"/>
  <c r="R6" i="2"/>
  <c r="Q8"/>
  <c r="Q16"/>
  <c r="R12" i="1"/>
  <c r="R11" i="4" s="1"/>
  <c r="Q10" i="5" s="1"/>
  <c r="P7" i="12"/>
  <c r="P8" s="1"/>
  <c r="R11" i="1"/>
  <c r="R10" i="4" s="1"/>
  <c r="Q9" i="5" s="1"/>
  <c r="R49" i="1"/>
  <c r="R51" s="1"/>
  <c r="R13"/>
  <c r="R12" i="4" s="1"/>
  <c r="Q11" i="5" s="1"/>
  <c r="R9" i="1"/>
  <c r="R14"/>
  <c r="R13" i="4" s="1"/>
  <c r="Q12" i="5" s="1"/>
  <c r="Q92" i="9"/>
  <c r="Q115" s="1"/>
  <c r="Q6" i="3"/>
  <c r="Q5" i="2"/>
  <c r="Q14"/>
  <c r="N58" i="27"/>
  <c r="N59" s="1"/>
  <c r="N60" s="1"/>
  <c r="R35" i="4"/>
  <c r="K106" i="29"/>
  <c r="Q13" i="3"/>
  <c r="P13" i="29"/>
  <c r="P14" s="1"/>
  <c r="P15" s="1"/>
  <c r="L14" i="25"/>
  <c r="K41" i="8"/>
  <c r="K32"/>
  <c r="K36" s="1"/>
  <c r="I22" i="13"/>
  <c r="I24" s="1"/>
  <c r="H26"/>
  <c r="N16" i="5"/>
  <c r="F20" i="15"/>
  <c r="J14" i="9"/>
  <c r="J12" i="16"/>
  <c r="Q32" i="8"/>
  <c r="Q36" s="1"/>
  <c r="J44" i="25"/>
  <c r="Q35" i="1" s="1"/>
  <c r="K44" i="25" s="1"/>
  <c r="I90" l="1"/>
  <c r="H92"/>
  <c r="N29" i="11"/>
  <c r="P15" i="12"/>
  <c r="S15" s="1"/>
  <c r="U15" s="1"/>
  <c r="R14" i="6"/>
  <c r="M36" i="4"/>
  <c r="M38" s="1"/>
  <c r="M39" s="1"/>
  <c r="N37"/>
  <c r="L12" i="9"/>
  <c r="N16" i="3"/>
  <c r="Q8" i="6"/>
  <c r="Q10" s="1"/>
  <c r="Q12" s="1"/>
  <c r="I9" i="16"/>
  <c r="I10" s="1"/>
  <c r="I16" s="1"/>
  <c r="H27" i="13"/>
  <c r="Q10" i="1"/>
  <c r="Q34"/>
  <c r="Q17" i="4" s="1"/>
  <c r="P7" i="3"/>
  <c r="P10" i="2"/>
  <c r="R7" i="6"/>
  <c r="Q18" i="4"/>
  <c r="P17" i="5" s="1"/>
  <c r="L9" i="9"/>
  <c r="N6" i="7"/>
  <c r="N9" s="1"/>
  <c r="J57" i="23"/>
  <c r="E58"/>
  <c r="L9" i="12"/>
  <c r="L31" i="11" s="1"/>
  <c r="L7"/>
  <c r="M7" i="9"/>
  <c r="I26" i="13"/>
  <c r="J22"/>
  <c r="J24" s="1"/>
  <c r="R35" i="1"/>
  <c r="R18" i="4" s="1"/>
  <c r="Q17" i="5" s="1"/>
  <c r="Q11" i="3"/>
  <c r="Q20" i="2"/>
  <c r="Q12" i="3"/>
  <c r="Q21" i="2"/>
  <c r="O15" i="6"/>
  <c r="M14" i="12" s="1"/>
  <c r="O24" i="9"/>
  <c r="G20" i="15"/>
  <c r="N8" i="5"/>
  <c r="N13" s="1"/>
  <c r="M13" i="12"/>
  <c r="O14" i="4"/>
  <c r="K31" i="11"/>
  <c r="N19" i="3"/>
  <c r="N33" i="9"/>
  <c r="M28" i="11"/>
  <c r="O8" i="3"/>
  <c r="L15" i="13"/>
  <c r="K23"/>
  <c r="K18"/>
  <c r="L7" i="15" s="1"/>
  <c r="K16" i="13"/>
  <c r="K17" s="1"/>
  <c r="N27" i="4"/>
  <c r="K11" i="12" s="1"/>
  <c r="O37" i="4"/>
  <c r="N36"/>
  <c r="M12" i="9"/>
  <c r="N20" i="5"/>
  <c r="J45" i="25"/>
  <c r="Q36" i="1" s="1"/>
  <c r="S38"/>
  <c r="S20" i="4" s="1"/>
  <c r="R19" i="5" s="1"/>
  <c r="R8" i="4"/>
  <c r="N50" i="27"/>
  <c r="N74"/>
  <c r="Q7" i="2"/>
  <c r="P10" i="6"/>
  <c r="P12" s="1"/>
  <c r="P9"/>
  <c r="AC9" i="10"/>
  <c r="O26" i="11" s="1"/>
  <c r="L62" i="27"/>
  <c r="O24" i="2" s="1"/>
  <c r="L52" i="27"/>
  <c r="M51" s="1"/>
  <c r="P22" i="4"/>
  <c r="O16" i="5"/>
  <c r="O20" s="1"/>
  <c r="P7"/>
  <c r="H28" i="13"/>
  <c r="H8" i="15"/>
  <c r="H11" s="1"/>
  <c r="P9" i="4"/>
  <c r="O8" i="7"/>
  <c r="O14" i="3"/>
  <c r="R8" i="2"/>
  <c r="R16"/>
  <c r="S9" i="1"/>
  <c r="S13"/>
  <c r="S12" i="4" s="1"/>
  <c r="R11" i="5" s="1"/>
  <c r="S14" i="1"/>
  <c r="S13" i="4" s="1"/>
  <c r="R12" i="5" s="1"/>
  <c r="R14" i="2"/>
  <c r="S11" i="1"/>
  <c r="S10" i="4" s="1"/>
  <c r="R9" i="5" s="1"/>
  <c r="S12" i="1"/>
  <c r="S11" i="4" s="1"/>
  <c r="R10" i="5" s="1"/>
  <c r="Q7" i="12"/>
  <c r="Q8" s="1"/>
  <c r="S8" s="1"/>
  <c r="U8" s="1"/>
  <c r="R21" i="3"/>
  <c r="S49" i="1"/>
  <c r="S51" s="1"/>
  <c r="R92" i="9"/>
  <c r="R115" s="1"/>
  <c r="O58" i="27"/>
  <c r="O59" s="1"/>
  <c r="O60" s="1"/>
  <c r="S35" i="4"/>
  <c r="R6" i="3"/>
  <c r="R5" i="2"/>
  <c r="Q13" i="29"/>
  <c r="Q14" s="1"/>
  <c r="Q15" s="1"/>
  <c r="L106"/>
  <c r="R13" i="3"/>
  <c r="M83" i="27"/>
  <c r="P29" i="2" s="1"/>
  <c r="K15" i="25" s="1"/>
  <c r="M75" i="27"/>
  <c r="Q16" i="6"/>
  <c r="O16" i="12" s="1"/>
  <c r="Q8" i="9"/>
  <c r="K11" i="11"/>
  <c r="AG4" i="10"/>
  <c r="AE12"/>
  <c r="AE23"/>
  <c r="AE11"/>
  <c r="O19" i="2"/>
  <c r="O11"/>
  <c r="O22" i="4"/>
  <c r="J90" i="25" l="1"/>
  <c r="I92"/>
  <c r="AE9" i="10"/>
  <c r="P26" i="11" s="1"/>
  <c r="Q9" i="6"/>
  <c r="N38" i="4"/>
  <c r="N39" s="1"/>
  <c r="L14" i="9"/>
  <c r="O16" i="3"/>
  <c r="O25" i="4"/>
  <c r="O27" s="1"/>
  <c r="L11" i="12" s="1"/>
  <c r="M62" i="27"/>
  <c r="P24" i="2" s="1"/>
  <c r="K13" i="25" s="1"/>
  <c r="M52" i="27"/>
  <c r="N51" s="1"/>
  <c r="Q19" i="4"/>
  <c r="P18" i="5" s="1"/>
  <c r="K45" i="25"/>
  <c r="R36" i="1" s="1"/>
  <c r="R19" i="4" s="1"/>
  <c r="Q18" i="5" s="1"/>
  <c r="O8"/>
  <c r="O13" s="1"/>
  <c r="O23" s="1"/>
  <c r="N13" i="12"/>
  <c r="P14" i="4"/>
  <c r="P25" s="1"/>
  <c r="E59" i="23"/>
  <c r="J58"/>
  <c r="P19" i="2"/>
  <c r="P11"/>
  <c r="O6" i="7"/>
  <c r="O9" s="1"/>
  <c r="J9" i="16"/>
  <c r="J10" s="1"/>
  <c r="J16" s="1"/>
  <c r="I27" i="13"/>
  <c r="Q9" i="4"/>
  <c r="AG12" i="10"/>
  <c r="AG11"/>
  <c r="AG23"/>
  <c r="R20" i="2"/>
  <c r="R11" i="3"/>
  <c r="S8" i="4"/>
  <c r="O50" i="27"/>
  <c r="H20" i="15"/>
  <c r="R10" i="1"/>
  <c r="R34"/>
  <c r="R17" i="4" s="1"/>
  <c r="Q7" i="3"/>
  <c r="Q10" i="2"/>
  <c r="M9" i="9"/>
  <c r="M14" s="1"/>
  <c r="N28" i="11"/>
  <c r="P8" i="3"/>
  <c r="L44" i="25"/>
  <c r="S35" i="1" s="1"/>
  <c r="S18" i="4" s="1"/>
  <c r="R17" i="5" s="1"/>
  <c r="O29" i="11"/>
  <c r="Q15" i="6"/>
  <c r="O14" i="12" s="1"/>
  <c r="Q24" i="9"/>
  <c r="O33"/>
  <c r="O19" i="3"/>
  <c r="J13" i="25"/>
  <c r="Q7" i="5"/>
  <c r="M9" i="12"/>
  <c r="M31" i="11" s="1"/>
  <c r="M7"/>
  <c r="N7" i="9"/>
  <c r="P8" i="7"/>
  <c r="P14" i="3"/>
  <c r="R7" i="2"/>
  <c r="O74" i="27"/>
  <c r="P15" i="6"/>
  <c r="N14" i="12" s="1"/>
  <c r="P24" i="9"/>
  <c r="R11" i="6"/>
  <c r="R8"/>
  <c r="R12" i="3"/>
  <c r="R21" i="2"/>
  <c r="I28" i="13"/>
  <c r="I8" i="15"/>
  <c r="I11" s="1"/>
  <c r="N83" i="27"/>
  <c r="Q29" i="2" s="1"/>
  <c r="N75" i="27"/>
  <c r="L23" i="13"/>
  <c r="L16"/>
  <c r="L17" s="1"/>
  <c r="L18"/>
  <c r="M7" i="15" s="1"/>
  <c r="J26" i="13"/>
  <c r="J27" s="1"/>
  <c r="K22"/>
  <c r="K24" s="1"/>
  <c r="L11" i="11"/>
  <c r="P16" i="5"/>
  <c r="N23"/>
  <c r="K90" i="25" l="1"/>
  <c r="J92"/>
  <c r="P37" i="4"/>
  <c r="N12" i="9"/>
  <c r="P20" i="5"/>
  <c r="O36" i="4"/>
  <c r="O38" s="1"/>
  <c r="O39" s="1"/>
  <c r="N52" i="27"/>
  <c r="O51" s="1"/>
  <c r="N62"/>
  <c r="Q24" i="2" s="1"/>
  <c r="L22" i="13"/>
  <c r="L24" s="1"/>
  <c r="K26"/>
  <c r="K27" s="1"/>
  <c r="I20" i="15"/>
  <c r="Q8" i="7"/>
  <c r="Q14" i="3"/>
  <c r="L15" i="25"/>
  <c r="S10" i="1"/>
  <c r="S34"/>
  <c r="S17" i="4" s="1"/>
  <c r="R7" i="3"/>
  <c r="R10" i="2"/>
  <c r="O28" i="11"/>
  <c r="Q8" i="3"/>
  <c r="P8" i="5"/>
  <c r="P13" s="1"/>
  <c r="Q14" i="4"/>
  <c r="O13" i="12"/>
  <c r="P6" i="7"/>
  <c r="P9" s="1"/>
  <c r="R16" i="6"/>
  <c r="P16" i="12" s="1"/>
  <c r="S16" s="1"/>
  <c r="U16" s="1"/>
  <c r="R8" i="9"/>
  <c r="O83" i="27"/>
  <c r="R29" i="2" s="1"/>
  <c r="O75" i="27"/>
  <c r="N9" i="9"/>
  <c r="Q19" i="2"/>
  <c r="Q11"/>
  <c r="P27" i="4"/>
  <c r="M11" i="12" s="1"/>
  <c r="Q37" i="4"/>
  <c r="O12" i="9"/>
  <c r="P36" i="4"/>
  <c r="P38" s="1"/>
  <c r="P39" s="1"/>
  <c r="J28" i="13"/>
  <c r="J8" i="15"/>
  <c r="J11" s="1"/>
  <c r="R10" i="6"/>
  <c r="R12" s="1"/>
  <c r="AG9" i="10"/>
  <c r="Q26" i="11" s="1"/>
  <c r="R9" i="6"/>
  <c r="R9" i="4"/>
  <c r="R7" i="5"/>
  <c r="N9" i="12"/>
  <c r="N31" i="11" s="1"/>
  <c r="O7" i="9"/>
  <c r="N7" i="11"/>
  <c r="J59" i="23"/>
  <c r="E60"/>
  <c r="P33" i="9"/>
  <c r="P19" i="3"/>
  <c r="P29" i="11"/>
  <c r="L45" i="25"/>
  <c r="S36" i="1" s="1"/>
  <c r="S19" i="4" s="1"/>
  <c r="R18" i="5" s="1"/>
  <c r="Q22" i="4"/>
  <c r="P16" i="3"/>
  <c r="M11" i="11"/>
  <c r="R22" i="4"/>
  <c r="Q16" i="5"/>
  <c r="Q20" s="1"/>
  <c r="L90" i="25" l="1"/>
  <c r="L92" s="1"/>
  <c r="K92"/>
  <c r="P23" i="5"/>
  <c r="N14" i="9"/>
  <c r="Q25" i="4"/>
  <c r="R37" s="1"/>
  <c r="Q16" i="3"/>
  <c r="O62" i="27"/>
  <c r="R24" i="2" s="1"/>
  <c r="O52" i="27"/>
  <c r="R15" i="6"/>
  <c r="P14" i="12" s="1"/>
  <c r="S14" s="1"/>
  <c r="U14" s="1"/>
  <c r="R24" i="9"/>
  <c r="Q33"/>
  <c r="Q19" i="3"/>
  <c r="L13" i="25"/>
  <c r="O9" i="9"/>
  <c r="O14" s="1"/>
  <c r="S9" i="4"/>
  <c r="L26" i="13"/>
  <c r="L27" s="1"/>
  <c r="N11" i="11"/>
  <c r="Q8" i="5"/>
  <c r="Q13" s="1"/>
  <c r="Q23" s="1"/>
  <c r="P13" i="12"/>
  <c r="R14" i="4"/>
  <c r="R25" s="1"/>
  <c r="J20" i="15"/>
  <c r="Q6" i="7"/>
  <c r="Q9" s="1"/>
  <c r="P28" i="11"/>
  <c r="R8" i="3"/>
  <c r="R19" i="2"/>
  <c r="R11"/>
  <c r="E61" i="23"/>
  <c r="J60"/>
  <c r="K28" i="13"/>
  <c r="K8" i="15"/>
  <c r="K11" s="1"/>
  <c r="R8" i="7"/>
  <c r="R14" i="3"/>
  <c r="O9" i="12"/>
  <c r="O31" i="11" s="1"/>
  <c r="O7"/>
  <c r="P7" i="9"/>
  <c r="S22" i="4"/>
  <c r="R16" i="5"/>
  <c r="R20" s="1"/>
  <c r="P12" i="9" l="1"/>
  <c r="Q36" i="4"/>
  <c r="Q38" s="1"/>
  <c r="Q39" s="1"/>
  <c r="Q27"/>
  <c r="N11" i="12" s="1"/>
  <c r="E62" i="23"/>
  <c r="J61"/>
  <c r="O11" i="11"/>
  <c r="K20" i="15"/>
  <c r="R27" i="4"/>
  <c r="O11" i="12" s="1"/>
  <c r="Q12" i="9"/>
  <c r="S37" i="4"/>
  <c r="R36"/>
  <c r="R38" s="1"/>
  <c r="R39" s="1"/>
  <c r="R8" i="5"/>
  <c r="R13" s="1"/>
  <c r="R23" s="1"/>
  <c r="Q13" i="12"/>
  <c r="S13" s="1"/>
  <c r="U13" s="1"/>
  <c r="S14" i="4"/>
  <c r="S25" s="1"/>
  <c r="R19" i="3"/>
  <c r="R33" i="9"/>
  <c r="P9"/>
  <c r="P14" s="1"/>
  <c r="L28" i="13"/>
  <c r="M8" i="15" s="1"/>
  <c r="M11" s="1"/>
  <c r="L8"/>
  <c r="L11" s="1"/>
  <c r="R6" i="7"/>
  <c r="R9" s="1"/>
  <c r="P9" i="12"/>
  <c r="P31" i="11" s="1"/>
  <c r="Q7" i="9"/>
  <c r="P7" i="11"/>
  <c r="R16" i="3"/>
  <c r="Q9" i="12" l="1"/>
  <c r="R7" i="9"/>
  <c r="Q7" i="11"/>
  <c r="S27" i="4"/>
  <c r="P11" i="12" s="1"/>
  <c r="S11" s="1"/>
  <c r="U11" s="1"/>
  <c r="R12" i="9"/>
  <c r="S36" i="4"/>
  <c r="S38" s="1"/>
  <c r="S39" s="1"/>
  <c r="Q9" i="9"/>
  <c r="Q14" s="1"/>
  <c r="L20" i="15"/>
  <c r="J62" i="23"/>
  <c r="E63"/>
  <c r="P11" i="11"/>
  <c r="M20" i="15"/>
  <c r="Q31" i="11" l="1"/>
  <c r="S9" i="12"/>
  <c r="U9" s="1"/>
  <c r="R9" i="9"/>
  <c r="R14" s="1"/>
  <c r="E64" i="23"/>
  <c r="J63"/>
  <c r="Q11" i="11"/>
  <c r="E65" i="23" l="1"/>
  <c r="J64"/>
  <c r="J65" l="1"/>
  <c r="E66"/>
  <c r="E67" l="1"/>
  <c r="J66"/>
  <c r="J67" l="1"/>
  <c r="E68"/>
  <c r="J68" l="1"/>
  <c r="E69"/>
  <c r="E70" l="1"/>
  <c r="J69"/>
  <c r="E71" l="1"/>
  <c r="J70"/>
  <c r="E72" l="1"/>
  <c r="J71"/>
  <c r="E73" l="1"/>
  <c r="J72"/>
  <c r="J73" l="1"/>
  <c r="E74"/>
  <c r="E75" l="1"/>
  <c r="J74"/>
  <c r="E76" l="1"/>
  <c r="J75"/>
  <c r="E77" l="1"/>
  <c r="J76"/>
  <c r="E78" l="1"/>
  <c r="J77"/>
  <c r="J78" l="1"/>
  <c r="E79"/>
  <c r="J79" l="1"/>
  <c r="E80"/>
  <c r="J80" l="1"/>
  <c r="E81"/>
  <c r="E82" l="1"/>
  <c r="J81"/>
  <c r="J82" l="1"/>
  <c r="E83"/>
  <c r="E84" l="1"/>
  <c r="J83"/>
  <c r="J84" l="1"/>
  <c r="E85"/>
  <c r="E86" l="1"/>
  <c r="J85"/>
  <c r="J86" l="1"/>
  <c r="E87"/>
  <c r="E88" l="1"/>
  <c r="J87"/>
  <c r="E89" l="1"/>
  <c r="J88"/>
  <c r="E90" l="1"/>
  <c r="J89"/>
  <c r="E91" l="1"/>
  <c r="J90"/>
  <c r="E92" l="1"/>
  <c r="J91"/>
  <c r="E93" l="1"/>
  <c r="J92"/>
  <c r="E94" l="1"/>
  <c r="J93"/>
  <c r="J94" l="1"/>
  <c r="E95"/>
  <c r="J95" l="1"/>
  <c r="E96"/>
  <c r="E97" l="1"/>
  <c r="J96"/>
  <c r="J97" l="1"/>
  <c r="E98"/>
  <c r="B108" l="1"/>
  <c r="B106"/>
  <c r="J98"/>
  <c r="E9"/>
  <c r="F108" l="1"/>
  <c r="G108"/>
  <c r="F106"/>
  <c r="G106"/>
  <c r="C7" i="22"/>
  <c r="F107" i="23"/>
  <c r="G107"/>
  <c r="D7" i="22" l="1"/>
  <c r="C8"/>
  <c r="C21" s="1"/>
  <c r="C30" s="1"/>
  <c r="B15" i="11" s="1"/>
  <c r="B16" s="1"/>
  <c r="B18" s="1"/>
  <c r="E7" i="22" l="1"/>
  <c r="D8"/>
  <c r="D21" s="1"/>
  <c r="D30" s="1"/>
  <c r="C15" i="11" s="1"/>
  <c r="C16" s="1"/>
  <c r="C18" s="1"/>
  <c r="F7" i="22" l="1"/>
  <c r="E8"/>
  <c r="E21" s="1"/>
  <c r="E30" s="1"/>
  <c r="D15" i="11" s="1"/>
  <c r="D16" s="1"/>
  <c r="D18" s="1"/>
  <c r="G7" i="22" l="1"/>
  <c r="F8"/>
  <c r="F21" s="1"/>
  <c r="F30" s="1"/>
  <c r="E15" i="11" s="1"/>
  <c r="E16" s="1"/>
  <c r="E18" s="1"/>
  <c r="H7" i="22" l="1"/>
  <c r="G8"/>
  <c r="G21" s="1"/>
  <c r="G30" s="1"/>
  <c r="F15" i="11" s="1"/>
  <c r="F16" s="1"/>
  <c r="F18" s="1"/>
  <c r="H8" i="22" l="1"/>
  <c r="I7"/>
  <c r="J7" l="1"/>
  <c r="I8"/>
  <c r="J8" l="1"/>
  <c r="K7"/>
  <c r="L7" l="1"/>
  <c r="K8"/>
  <c r="L8" l="1"/>
  <c r="M7"/>
  <c r="N7" l="1"/>
  <c r="M8"/>
  <c r="O7" l="1"/>
  <c r="N8"/>
  <c r="P7" l="1"/>
  <c r="O8"/>
  <c r="P8" l="1"/>
  <c r="Q7"/>
  <c r="R7" l="1"/>
  <c r="R8" s="1"/>
  <c r="Q8"/>
  <c r="M13" i="10" l="1"/>
  <c r="I23" i="1"/>
  <c r="I52" i="9"/>
  <c r="H52"/>
  <c r="O13" i="10" l="1"/>
  <c r="J23" i="1"/>
  <c r="K23" l="1"/>
  <c r="Q13" i="10"/>
  <c r="K52" i="9"/>
  <c r="J52"/>
  <c r="L23" i="1" l="1"/>
  <c r="S13" i="10"/>
  <c r="L52" i="9"/>
  <c r="M23" i="1" l="1"/>
  <c r="U13" i="10"/>
  <c r="M52" i="9"/>
  <c r="N23" i="1" l="1"/>
  <c r="W13" i="10"/>
  <c r="N52" i="9"/>
  <c r="O23" i="1" l="1"/>
  <c r="Y13" i="10"/>
  <c r="O52" i="9"/>
  <c r="P23" i="1" l="1"/>
  <c r="AA13" i="10"/>
  <c r="Q23" i="1" l="1"/>
  <c r="AC13" i="10"/>
  <c r="Q52" i="9"/>
  <c r="P52"/>
  <c r="R23" i="1" l="1"/>
  <c r="AE13" i="10"/>
  <c r="R52" i="9"/>
  <c r="S23" i="1" l="1"/>
  <c r="AG13" i="10"/>
  <c r="H45" i="9"/>
  <c r="H46" l="1"/>
  <c r="F33" i="12"/>
  <c r="M41" i="9" l="1"/>
  <c r="K41"/>
  <c r="J41"/>
  <c r="Q41"/>
  <c r="O41"/>
  <c r="R41"/>
  <c r="L41"/>
  <c r="N41"/>
  <c r="P41"/>
  <c r="I41"/>
  <c r="H41"/>
  <c r="O28" i="22"/>
  <c r="C10" i="19"/>
  <c r="C13" s="1"/>
  <c r="C14"/>
  <c r="C11" l="1"/>
  <c r="D10"/>
  <c r="D13" s="1"/>
  <c r="D14" l="1"/>
  <c r="D11"/>
  <c r="E10"/>
  <c r="E13" s="1"/>
  <c r="E14"/>
  <c r="E11"/>
  <c r="F10"/>
  <c r="F13"/>
  <c r="F14"/>
  <c r="F11"/>
  <c r="L10" l="1"/>
  <c r="K10"/>
  <c r="L11" l="1"/>
  <c r="L13"/>
  <c r="K11"/>
  <c r="K13"/>
  <c r="L14"/>
  <c r="K14"/>
  <c r="G10"/>
  <c r="G13"/>
  <c r="G14"/>
  <c r="G11"/>
  <c r="H10"/>
  <c r="H11"/>
  <c r="H13"/>
  <c r="H14"/>
  <c r="I10"/>
  <c r="I13" s="1"/>
  <c r="I14"/>
  <c r="I11"/>
  <c r="J10"/>
  <c r="J13" s="1"/>
  <c r="J14"/>
  <c r="J11"/>
  <c r="H25" i="2" a="1"/>
  <c r="H25"/>
  <c r="H27"/>
  <c r="H30"/>
  <c r="G34" i="31"/>
  <c r="G35"/>
  <c r="G39"/>
  <c r="G40"/>
  <c r="G42"/>
  <c r="H32" i="2"/>
  <c r="H34"/>
  <c r="I65" i="1"/>
  <c r="J64"/>
  <c r="I67"/>
  <c r="H27" i="31"/>
  <c r="H28"/>
  <c r="H38"/>
  <c r="H41"/>
  <c r="I34" i="7"/>
  <c r="I17" i="9"/>
  <c r="I19"/>
  <c r="I26"/>
  <c r="H31"/>
  <c r="H34"/>
  <c r="I7" i="1"/>
  <c r="H54" i="9"/>
  <c r="H62"/>
  <c r="I31" i="1"/>
  <c r="H13" i="22"/>
  <c r="H11"/>
  <c r="H21"/>
  <c r="H16"/>
  <c r="H19"/>
  <c r="H23" a="1"/>
  <c r="H23"/>
  <c r="H25"/>
  <c r="H28"/>
  <c r="H18"/>
  <c r="H30"/>
  <c r="B80" i="25"/>
  <c r="B14" i="17"/>
  <c r="C9" i="18"/>
  <c r="B12"/>
  <c r="M7" i="10"/>
  <c r="I37" i="1"/>
  <c r="I29" i="4"/>
  <c r="I31"/>
  <c r="M8" i="10"/>
  <c r="M15"/>
  <c r="C23" i="15"/>
  <c r="C25"/>
  <c r="B40" i="17"/>
  <c r="B41"/>
  <c r="B43"/>
  <c r="B39"/>
  <c r="B45"/>
  <c r="D22" i="15"/>
  <c r="R25" i="2"/>
  <c r="R27"/>
  <c r="R30"/>
  <c r="B21" i="31"/>
  <c r="C29" i="18"/>
  <c r="C28"/>
  <c r="B32"/>
  <c r="I120" i="9"/>
  <c r="Q25" i="2"/>
  <c r="K73" i="25"/>
  <c r="K91"/>
  <c r="K93"/>
  <c r="I45" i="9"/>
  <c r="I46"/>
  <c r="K75" i="25"/>
  <c r="L73"/>
  <c r="L91"/>
  <c r="L93"/>
  <c r="Q20" i="3"/>
  <c r="Q22"/>
  <c r="Q24"/>
  <c r="I7" i="8"/>
  <c r="I20"/>
  <c r="M18" i="10"/>
  <c r="M24"/>
  <c r="M26"/>
  <c r="M21"/>
  <c r="M28"/>
  <c r="N18"/>
  <c r="C14" i="15"/>
  <c r="N19" i="10"/>
  <c r="C15" i="15"/>
  <c r="C16"/>
  <c r="B11" i="31"/>
  <c r="D11"/>
  <c r="F11"/>
  <c r="A76" i="29"/>
  <c r="F78"/>
  <c r="C12" i="31"/>
  <c r="D32" i="15"/>
  <c r="C33"/>
  <c r="C35"/>
  <c r="I35" i="8"/>
  <c r="I37"/>
  <c r="H36" i="9"/>
  <c r="R31"/>
  <c r="Q33" i="31"/>
  <c r="Q34"/>
  <c r="Q35"/>
  <c r="Q39"/>
  <c r="Q27" i="2"/>
  <c r="Q30"/>
  <c r="B20" i="31"/>
  <c r="P33"/>
  <c r="P34"/>
  <c r="P35"/>
  <c r="P39"/>
  <c r="I32" i="4"/>
  <c r="F12" i="12"/>
  <c r="T12"/>
  <c r="I34" i="22"/>
  <c r="I36"/>
  <c r="H17" i="7"/>
  <c r="H18"/>
  <c r="H21"/>
  <c r="H23"/>
  <c r="H25"/>
  <c r="H10"/>
  <c r="H12"/>
  <c r="H31"/>
  <c r="F10" i="12"/>
  <c r="T10"/>
  <c r="L75" i="25"/>
  <c r="R20" i="3"/>
  <c r="R22"/>
  <c r="R24"/>
  <c r="Q31" i="9"/>
  <c r="P40" i="31"/>
  <c r="B56" i="17"/>
  <c r="G15" i="11"/>
  <c r="G16"/>
  <c r="H20" i="3"/>
  <c r="H22"/>
  <c r="O31" i="10"/>
  <c r="H8" i="11"/>
  <c r="H6"/>
  <c r="H13"/>
  <c r="I11" i="8"/>
  <c r="I35" i="7"/>
  <c r="I32" i="9"/>
  <c r="E79" i="29"/>
  <c r="F92"/>
  <c r="H38" i="9"/>
  <c r="H84"/>
  <c r="H86"/>
  <c r="H90"/>
  <c r="H94"/>
  <c r="H117"/>
  <c r="O32" i="10"/>
  <c r="O34"/>
  <c r="I36" i="7"/>
  <c r="B73" i="25"/>
  <c r="C21" i="16"/>
  <c r="C27"/>
  <c r="B75" i="25"/>
  <c r="B76"/>
  <c r="B77"/>
  <c r="Q10" i="7"/>
  <c r="Q12"/>
  <c r="H56" i="9"/>
  <c r="H58"/>
  <c r="G92" i="29"/>
  <c r="B91" i="25"/>
  <c r="B93"/>
  <c r="B95"/>
  <c r="Q40" i="31"/>
  <c r="C18" i="15"/>
  <c r="H24" i="3"/>
  <c r="H26"/>
  <c r="H28"/>
  <c r="R10" i="7"/>
  <c r="R12"/>
  <c r="G25" i="11"/>
  <c r="H29" i="31"/>
  <c r="G18" i="11"/>
  <c r="I15" i="1"/>
  <c r="I27"/>
  <c r="H78" i="9"/>
  <c r="H80"/>
  <c r="H82"/>
  <c r="C27" i="15"/>
  <c r="C28"/>
  <c r="I22" i="8"/>
  <c r="I25"/>
  <c r="I26"/>
  <c r="I27"/>
  <c r="N21" i="10"/>
  <c r="C94" i="25"/>
  <c r="H10" i="11"/>
  <c r="I92" i="29"/>
  <c r="N26" i="10"/>
  <c r="F20" i="11"/>
  <c r="R23" i="22"/>
  <c r="Q23"/>
  <c r="C8" i="17"/>
  <c r="D8" i="18"/>
  <c r="C9" i="17"/>
  <c r="H24" i="11"/>
  <c r="H22"/>
  <c r="F32" i="12"/>
  <c r="N25" i="10"/>
  <c r="N20"/>
  <c r="M29"/>
  <c r="M41"/>
  <c r="I40" i="1"/>
  <c r="I55"/>
  <c r="I69"/>
  <c r="I70"/>
  <c r="I16" i="7"/>
  <c r="H65" i="9"/>
  <c r="C30" i="15"/>
  <c r="H96" i="9"/>
  <c r="H97"/>
  <c r="H108"/>
  <c r="H38" i="7"/>
  <c r="H30"/>
  <c r="H26" i="5"/>
  <c r="H28"/>
  <c r="N24" i="10"/>
  <c r="H130" i="9"/>
  <c r="H121"/>
  <c r="I72" i="1"/>
  <c r="I88" i="9"/>
  <c r="H127"/>
  <c r="H61"/>
  <c r="I25" i="2"/>
  <c r="I31" i="9"/>
  <c r="I34"/>
  <c r="J7" i="1"/>
  <c r="I54" i="9"/>
  <c r="I78"/>
  <c r="I62"/>
  <c r="J31" i="1"/>
  <c r="I13" i="22"/>
  <c r="I11"/>
  <c r="I21"/>
  <c r="I16"/>
  <c r="I19"/>
  <c r="I23"/>
  <c r="I25"/>
  <c r="I28"/>
  <c r="I18"/>
  <c r="I30"/>
  <c r="H15" i="11"/>
  <c r="H16"/>
  <c r="H18"/>
  <c r="I27" i="2"/>
  <c r="I30"/>
  <c r="H34" i="31"/>
  <c r="H35"/>
  <c r="H39"/>
  <c r="H40"/>
  <c r="H42"/>
  <c r="J34" i="7"/>
  <c r="J17" i="9"/>
  <c r="J19"/>
  <c r="J26"/>
  <c r="D8" i="17"/>
  <c r="I32" i="2"/>
  <c r="I34"/>
  <c r="J65" i="1"/>
  <c r="J67"/>
  <c r="I27" i="31"/>
  <c r="I28"/>
  <c r="I38"/>
  <c r="I41"/>
  <c r="I79" i="29"/>
  <c r="D79"/>
  <c r="F79"/>
  <c r="E80"/>
  <c r="F93"/>
  <c r="G93"/>
  <c r="I93"/>
  <c r="J25" i="2"/>
  <c r="J27"/>
  <c r="J30"/>
  <c r="I34" i="31"/>
  <c r="I35"/>
  <c r="I39"/>
  <c r="I40"/>
  <c r="I42"/>
  <c r="K34" i="7"/>
  <c r="K17" i="9"/>
  <c r="K19"/>
  <c r="K26"/>
  <c r="E8" i="17"/>
  <c r="K64" i="1"/>
  <c r="J32" i="2"/>
  <c r="J34"/>
  <c r="K65" i="1"/>
  <c r="K67"/>
  <c r="J27" i="31"/>
  <c r="I29"/>
  <c r="J28"/>
  <c r="J38"/>
  <c r="J41"/>
  <c r="J31" i="9"/>
  <c r="J35" i="7"/>
  <c r="J32" i="9"/>
  <c r="J34"/>
  <c r="J45"/>
  <c r="J46"/>
  <c r="K7" i="1"/>
  <c r="J54" i="9"/>
  <c r="J62"/>
  <c r="K31" i="1"/>
  <c r="I80" i="29"/>
  <c r="D80"/>
  <c r="F80"/>
  <c r="E81"/>
  <c r="F94"/>
  <c r="G94"/>
  <c r="I94"/>
  <c r="K25" i="2"/>
  <c r="K27"/>
  <c r="K30"/>
  <c r="J34" i="31"/>
  <c r="J35"/>
  <c r="J39"/>
  <c r="J40"/>
  <c r="J42"/>
  <c r="L34" i="7"/>
  <c r="L17" i="9"/>
  <c r="L19"/>
  <c r="L26"/>
  <c r="F8" i="17"/>
  <c r="L64" i="1"/>
  <c r="K32" i="2"/>
  <c r="K34"/>
  <c r="L65" i="1"/>
  <c r="L67"/>
  <c r="K27" i="31"/>
  <c r="J29"/>
  <c r="K28"/>
  <c r="K38"/>
  <c r="K41"/>
  <c r="K31" i="9"/>
  <c r="K35" i="7"/>
  <c r="K32" i="9"/>
  <c r="K34"/>
  <c r="K45"/>
  <c r="K46"/>
  <c r="L7" i="1"/>
  <c r="K54" i="9"/>
  <c r="K62"/>
  <c r="L31" i="1"/>
  <c r="I81" i="29"/>
  <c r="D81"/>
  <c r="F81"/>
  <c r="E82"/>
  <c r="F95"/>
  <c r="G95"/>
  <c r="I95"/>
  <c r="L25" i="2"/>
  <c r="L27"/>
  <c r="L30"/>
  <c r="K34" i="31"/>
  <c r="K35"/>
  <c r="K39"/>
  <c r="K40"/>
  <c r="K42"/>
  <c r="M64" i="1"/>
  <c r="L32" i="2"/>
  <c r="L34"/>
  <c r="M65" i="1"/>
  <c r="M67"/>
  <c r="L27" i="31"/>
  <c r="K29"/>
  <c r="L28"/>
  <c r="L38"/>
  <c r="L41"/>
  <c r="L31" i="9"/>
  <c r="L35" i="7"/>
  <c r="L32" i="9"/>
  <c r="L34"/>
  <c r="L45"/>
  <c r="L46"/>
  <c r="M7" i="1"/>
  <c r="L54" i="9"/>
  <c r="L62"/>
  <c r="M31" i="1"/>
  <c r="I82" i="29"/>
  <c r="D82"/>
  <c r="F82"/>
  <c r="E83"/>
  <c r="F96"/>
  <c r="G96"/>
  <c r="I96"/>
  <c r="M25" i="2"/>
  <c r="M27"/>
  <c r="M30"/>
  <c r="B16" i="31"/>
  <c r="L33"/>
  <c r="L34"/>
  <c r="L35"/>
  <c r="L39"/>
  <c r="L40"/>
  <c r="L42"/>
  <c r="M32" i="2"/>
  <c r="N37" i="1"/>
  <c r="N29" i="4"/>
  <c r="M17" i="7"/>
  <c r="M37" i="1"/>
  <c r="M29" i="4"/>
  <c r="L17" i="7"/>
  <c r="M16"/>
  <c r="M18"/>
  <c r="M21"/>
  <c r="M23"/>
  <c r="M25"/>
  <c r="M10"/>
  <c r="M12"/>
  <c r="M31"/>
  <c r="M34"/>
  <c r="M17" i="9"/>
  <c r="M19"/>
  <c r="M26"/>
  <c r="G8" i="17"/>
  <c r="N34" i="7"/>
  <c r="N17" i="9"/>
  <c r="N19"/>
  <c r="N26"/>
  <c r="H8" i="17"/>
  <c r="N64" i="1"/>
  <c r="M34" i="2"/>
  <c r="N65" i="1"/>
  <c r="N67"/>
  <c r="M27" i="31"/>
  <c r="L29"/>
  <c r="M28"/>
  <c r="M38"/>
  <c r="M41"/>
  <c r="M31" i="9"/>
  <c r="M35" i="7"/>
  <c r="M32" i="9"/>
  <c r="M34"/>
  <c r="M45"/>
  <c r="M46"/>
  <c r="N7" i="1"/>
  <c r="M54" i="9"/>
  <c r="M62"/>
  <c r="N31" i="1"/>
  <c r="I83" i="29"/>
  <c r="D83"/>
  <c r="F83"/>
  <c r="E84"/>
  <c r="F97"/>
  <c r="G97"/>
  <c r="I97"/>
  <c r="N25" i="2"/>
  <c r="N27"/>
  <c r="N30"/>
  <c r="B17" i="31"/>
  <c r="M33"/>
  <c r="M34"/>
  <c r="M35"/>
  <c r="M39"/>
  <c r="M40"/>
  <c r="M42"/>
  <c r="O34" i="7"/>
  <c r="O17" i="9"/>
  <c r="O19"/>
  <c r="O26"/>
  <c r="I8" i="17"/>
  <c r="O64" i="1"/>
  <c r="N32" i="2"/>
  <c r="N34"/>
  <c r="O65" i="1"/>
  <c r="O67"/>
  <c r="N27" i="31"/>
  <c r="M29"/>
  <c r="N28"/>
  <c r="N38"/>
  <c r="N41"/>
  <c r="N31" i="9"/>
  <c r="N35" i="7"/>
  <c r="N32" i="9"/>
  <c r="N34"/>
  <c r="N45"/>
  <c r="N46"/>
  <c r="O7" i="1"/>
  <c r="N54" i="9"/>
  <c r="N62"/>
  <c r="O31" i="1"/>
  <c r="I84" i="29"/>
  <c r="D84"/>
  <c r="F84"/>
  <c r="E85"/>
  <c r="F98"/>
  <c r="G98"/>
  <c r="I98"/>
  <c r="O25" i="2"/>
  <c r="O27"/>
  <c r="O30"/>
  <c r="B18" i="31"/>
  <c r="N33"/>
  <c r="N34"/>
  <c r="N35"/>
  <c r="N39"/>
  <c r="N40"/>
  <c r="N42"/>
  <c r="P34" i="7"/>
  <c r="P17" i="9"/>
  <c r="P19"/>
  <c r="P26"/>
  <c r="J8" i="17"/>
  <c r="P64" i="1"/>
  <c r="O32" i="2"/>
  <c r="O34"/>
  <c r="P65" i="1"/>
  <c r="P67"/>
  <c r="O27" i="31"/>
  <c r="N29"/>
  <c r="O28"/>
  <c r="O38"/>
  <c r="O41"/>
  <c r="O31" i="9"/>
  <c r="O35" i="7"/>
  <c r="O32" i="9"/>
  <c r="O34"/>
  <c r="O45"/>
  <c r="O46"/>
  <c r="P7" i="1"/>
  <c r="O54" i="9"/>
  <c r="O62"/>
  <c r="P31" i="1"/>
  <c r="I85" i="29"/>
  <c r="D85"/>
  <c r="F85"/>
  <c r="E86"/>
  <c r="F99"/>
  <c r="G99"/>
  <c r="I99"/>
  <c r="P25" i="2"/>
  <c r="P27"/>
  <c r="P30"/>
  <c r="B19" i="31"/>
  <c r="O33"/>
  <c r="O34"/>
  <c r="O35"/>
  <c r="O39"/>
  <c r="O40"/>
  <c r="O42"/>
  <c r="Q34" i="7"/>
  <c r="Q17" i="9"/>
  <c r="Q19"/>
  <c r="Q26"/>
  <c r="K8" i="17"/>
  <c r="B18"/>
  <c r="N23" i="22"/>
  <c r="K23"/>
  <c r="P23"/>
  <c r="M23"/>
  <c r="L23"/>
  <c r="O23"/>
  <c r="J23"/>
  <c r="G78" i="29"/>
  <c r="H78"/>
  <c r="J78" i="9"/>
  <c r="J88"/>
  <c r="J72" i="1"/>
  <c r="C76" i="25"/>
  <c r="I61" i="9"/>
  <c r="G81" i="29"/>
  <c r="H81"/>
  <c r="C14" i="31"/>
  <c r="L88" i="9"/>
  <c r="L72" i="1"/>
  <c r="E76" i="25"/>
  <c r="K61" i="9"/>
  <c r="L78"/>
  <c r="M26" i="3"/>
  <c r="G83" i="29"/>
  <c r="H83"/>
  <c r="N61" i="9"/>
  <c r="H76" i="25"/>
  <c r="O72" i="1"/>
  <c r="O88" i="9"/>
  <c r="O78"/>
  <c r="G102" i="29"/>
  <c r="B12" i="31"/>
  <c r="B13"/>
  <c r="B14"/>
  <c r="B15"/>
  <c r="B22"/>
  <c r="J7" i="8"/>
  <c r="J11"/>
  <c r="O24" i="10"/>
  <c r="O26"/>
  <c r="J20" i="8"/>
  <c r="O18" i="10"/>
  <c r="O21"/>
  <c r="O28"/>
  <c r="O29"/>
  <c r="P20"/>
  <c r="P25"/>
  <c r="C18" i="31"/>
  <c r="C19"/>
  <c r="C41" i="17"/>
  <c r="I121" i="9"/>
  <c r="D27" i="15"/>
  <c r="G80" i="29"/>
  <c r="K78" i="9"/>
  <c r="J61"/>
  <c r="K88"/>
  <c r="K72" i="1"/>
  <c r="D76" i="25"/>
  <c r="C16" i="31"/>
  <c r="M72" i="1"/>
  <c r="L61" i="9"/>
  <c r="F76" i="25"/>
  <c r="M88" i="9"/>
  <c r="M78"/>
  <c r="N88"/>
  <c r="N72" i="1"/>
  <c r="N78" i="9"/>
  <c r="M61"/>
  <c r="G76" i="25"/>
  <c r="G79" i="29"/>
  <c r="J13" i="22"/>
  <c r="J16"/>
  <c r="J18"/>
  <c r="J11"/>
  <c r="J21"/>
  <c r="J19"/>
  <c r="J25"/>
  <c r="J28"/>
  <c r="J30"/>
  <c r="D41" i="17"/>
  <c r="J121" i="9"/>
  <c r="I15" i="11"/>
  <c r="E27" i="15"/>
  <c r="K13" i="22"/>
  <c r="K16"/>
  <c r="K18"/>
  <c r="K11"/>
  <c r="K21"/>
  <c r="K19"/>
  <c r="K25"/>
  <c r="K28"/>
  <c r="K30"/>
  <c r="K121" i="9"/>
  <c r="J15" i="11"/>
  <c r="F27" i="15"/>
  <c r="E41" i="17"/>
  <c r="L13" i="22"/>
  <c r="L25"/>
  <c r="L28"/>
  <c r="L11"/>
  <c r="L21"/>
  <c r="L16"/>
  <c r="L19"/>
  <c r="L18"/>
  <c r="L30"/>
  <c r="F41" i="17"/>
  <c r="K15" i="11"/>
  <c r="G27" i="15"/>
  <c r="L121" i="9"/>
  <c r="M13" i="22"/>
  <c r="M16"/>
  <c r="M18"/>
  <c r="M25"/>
  <c r="M28"/>
  <c r="M11"/>
  <c r="M21"/>
  <c r="M19"/>
  <c r="M30"/>
  <c r="L15" i="11"/>
  <c r="G41" i="17"/>
  <c r="M121" i="9"/>
  <c r="H27" i="15"/>
  <c r="G80" i="25"/>
  <c r="G14" i="17"/>
  <c r="H9" i="18"/>
  <c r="H8"/>
  <c r="G17"/>
  <c r="N13" i="22"/>
  <c r="N11"/>
  <c r="N21"/>
  <c r="N16"/>
  <c r="N19"/>
  <c r="N25"/>
  <c r="N28"/>
  <c r="N18"/>
  <c r="N30"/>
  <c r="H80" i="25"/>
  <c r="H14" i="17"/>
  <c r="I9" i="18"/>
  <c r="O13" i="22"/>
  <c r="O11"/>
  <c r="O21"/>
  <c r="O16"/>
  <c r="O19"/>
  <c r="O18"/>
  <c r="O30"/>
  <c r="I80" i="25"/>
  <c r="I14" i="17"/>
  <c r="J9" i="18"/>
  <c r="J22" i="15"/>
  <c r="AA7" i="10"/>
  <c r="P37" i="1"/>
  <c r="P29" i="4"/>
  <c r="P31"/>
  <c r="AA8" i="10"/>
  <c r="AA15"/>
  <c r="J23" i="15"/>
  <c r="J25"/>
  <c r="I40" i="17"/>
  <c r="I41"/>
  <c r="I43"/>
  <c r="I39"/>
  <c r="I45"/>
  <c r="J28" i="18"/>
  <c r="I39"/>
  <c r="H39"/>
  <c r="G39"/>
  <c r="P31" i="9"/>
  <c r="P35" i="7"/>
  <c r="P32" i="9"/>
  <c r="P34"/>
  <c r="Q64" i="1"/>
  <c r="P45" i="9"/>
  <c r="P46"/>
  <c r="Q7" i="1"/>
  <c r="P54" i="9"/>
  <c r="P62"/>
  <c r="Q31" i="1"/>
  <c r="P13" i="22"/>
  <c r="P11"/>
  <c r="P21"/>
  <c r="P16"/>
  <c r="P19"/>
  <c r="P25"/>
  <c r="P28"/>
  <c r="P18"/>
  <c r="P30"/>
  <c r="J80" i="25"/>
  <c r="J14" i="17"/>
  <c r="K9" i="18"/>
  <c r="Q35" i="7"/>
  <c r="Q32" i="9"/>
  <c r="Q34"/>
  <c r="P32" i="2"/>
  <c r="P34"/>
  <c r="Q65" i="1"/>
  <c r="R64"/>
  <c r="Q45" i="9"/>
  <c r="Q46"/>
  <c r="R7" i="1"/>
  <c r="Q54" i="9"/>
  <c r="Q62"/>
  <c r="R31" i="1"/>
  <c r="Q13" i="22"/>
  <c r="Q11"/>
  <c r="Q21"/>
  <c r="Q16"/>
  <c r="Q19"/>
  <c r="Q25"/>
  <c r="Q28"/>
  <c r="Q18"/>
  <c r="Q30"/>
  <c r="K80" i="25"/>
  <c r="K14" i="17"/>
  <c r="L9" i="18"/>
  <c r="Q67" i="1"/>
  <c r="P27" i="31"/>
  <c r="O29"/>
  <c r="P28"/>
  <c r="P38"/>
  <c r="P41"/>
  <c r="P42"/>
  <c r="R34" i="7"/>
  <c r="R17" i="9"/>
  <c r="M22" i="15"/>
  <c r="R19" i="9"/>
  <c r="R26"/>
  <c r="R35" i="7"/>
  <c r="R32" i="9"/>
  <c r="R34"/>
  <c r="Q32" i="2"/>
  <c r="Q34"/>
  <c r="R65" i="1"/>
  <c r="S64"/>
  <c r="R45" i="9"/>
  <c r="R46"/>
  <c r="S7" i="1"/>
  <c r="AG7" i="10"/>
  <c r="R67" i="1"/>
  <c r="Q27" i="31"/>
  <c r="P29"/>
  <c r="Q28"/>
  <c r="Q38"/>
  <c r="Q41"/>
  <c r="Q42"/>
  <c r="R32" i="2"/>
  <c r="S37" i="1"/>
  <c r="S29" i="4"/>
  <c r="S31"/>
  <c r="AG8" i="10"/>
  <c r="AG15"/>
  <c r="M23" i="15"/>
  <c r="M25"/>
  <c r="L40" i="17"/>
  <c r="R54" i="9"/>
  <c r="R62"/>
  <c r="S31" i="1"/>
  <c r="R13" i="22"/>
  <c r="R11"/>
  <c r="R21"/>
  <c r="R16"/>
  <c r="R19"/>
  <c r="R25"/>
  <c r="R28"/>
  <c r="R18"/>
  <c r="R30"/>
  <c r="L41" i="17"/>
  <c r="L43"/>
  <c r="L39"/>
  <c r="L45"/>
  <c r="M28" i="18"/>
  <c r="L80" i="25"/>
  <c r="L14" i="17"/>
  <c r="M9" i="18"/>
  <c r="M29"/>
  <c r="L42"/>
  <c r="K42"/>
  <c r="J42"/>
  <c r="I42"/>
  <c r="H42"/>
  <c r="G42"/>
  <c r="I8"/>
  <c r="H18"/>
  <c r="G18"/>
  <c r="L8"/>
  <c r="K21"/>
  <c r="J21"/>
  <c r="I21"/>
  <c r="H21"/>
  <c r="G21"/>
  <c r="L22" i="15"/>
  <c r="AE7" i="10"/>
  <c r="R37" i="1"/>
  <c r="R29" i="4"/>
  <c r="R31"/>
  <c r="AE8" i="10"/>
  <c r="AE15"/>
  <c r="L23" i="15"/>
  <c r="L25"/>
  <c r="K40" i="17"/>
  <c r="K41"/>
  <c r="K43"/>
  <c r="K39"/>
  <c r="K45"/>
  <c r="L28" i="18"/>
  <c r="K41"/>
  <c r="J41"/>
  <c r="I41"/>
  <c r="H41"/>
  <c r="G41"/>
  <c r="H22" i="15"/>
  <c r="W7" i="10"/>
  <c r="N31" i="4"/>
  <c r="W8" i="10"/>
  <c r="W15"/>
  <c r="H23" i="15"/>
  <c r="H25"/>
  <c r="G40" i="17"/>
  <c r="G43"/>
  <c r="G39"/>
  <c r="G45"/>
  <c r="H28" i="18"/>
  <c r="G37"/>
  <c r="J8"/>
  <c r="I19"/>
  <c r="H19"/>
  <c r="G19"/>
  <c r="K8"/>
  <c r="J20"/>
  <c r="I20"/>
  <c r="H20"/>
  <c r="G20"/>
  <c r="H29"/>
  <c r="L8" i="17"/>
  <c r="M8" i="18"/>
  <c r="L22"/>
  <c r="K22"/>
  <c r="J22"/>
  <c r="I22"/>
  <c r="H22"/>
  <c r="G22"/>
  <c r="I22" i="15"/>
  <c r="Y7" i="10"/>
  <c r="O37" i="1"/>
  <c r="O29" i="4"/>
  <c r="O31"/>
  <c r="Y8" i="10"/>
  <c r="Y15"/>
  <c r="I23" i="15"/>
  <c r="I25"/>
  <c r="H40" i="17"/>
  <c r="H41"/>
  <c r="H43"/>
  <c r="H39"/>
  <c r="H45"/>
  <c r="I28" i="18"/>
  <c r="H38"/>
  <c r="G38"/>
  <c r="K22" i="15"/>
  <c r="AC7" i="10"/>
  <c r="Q37" i="1"/>
  <c r="Q29" i="4"/>
  <c r="Q31"/>
  <c r="AC8" i="10"/>
  <c r="AC15"/>
  <c r="K23" i="15"/>
  <c r="K25"/>
  <c r="J40" i="17"/>
  <c r="J41"/>
  <c r="J43"/>
  <c r="J39"/>
  <c r="J45"/>
  <c r="K28" i="18"/>
  <c r="J40"/>
  <c r="I40"/>
  <c r="H40"/>
  <c r="G40"/>
  <c r="E8"/>
  <c r="D9" i="17"/>
  <c r="E80" i="25"/>
  <c r="E14" i="17"/>
  <c r="F9" i="18"/>
  <c r="F80" i="25"/>
  <c r="F14" i="17"/>
  <c r="G9" i="18"/>
  <c r="F37"/>
  <c r="E37"/>
  <c r="F19"/>
  <c r="E19"/>
  <c r="F20"/>
  <c r="E20"/>
  <c r="F22" i="15"/>
  <c r="S7" i="10"/>
  <c r="L37" i="1"/>
  <c r="L29" i="4"/>
  <c r="L31"/>
  <c r="S8" i="10"/>
  <c r="S15"/>
  <c r="F23" i="15"/>
  <c r="F25"/>
  <c r="E40" i="17"/>
  <c r="E43"/>
  <c r="E39"/>
  <c r="E45"/>
  <c r="F28" i="18"/>
  <c r="E35"/>
  <c r="F40"/>
  <c r="E40"/>
  <c r="F22"/>
  <c r="E22"/>
  <c r="F17"/>
  <c r="E17"/>
  <c r="G8"/>
  <c r="F16"/>
  <c r="E16"/>
  <c r="F41"/>
  <c r="E41"/>
  <c r="F29"/>
  <c r="F39"/>
  <c r="E39"/>
  <c r="F18"/>
  <c r="E18"/>
  <c r="F42"/>
  <c r="E42"/>
  <c r="G22" i="15"/>
  <c r="U7" i="10"/>
  <c r="M31" i="4"/>
  <c r="U8" i="10"/>
  <c r="U15"/>
  <c r="G23" i="15"/>
  <c r="G25"/>
  <c r="F40" i="17"/>
  <c r="F43"/>
  <c r="F39"/>
  <c r="F45"/>
  <c r="G28" i="18"/>
  <c r="F36"/>
  <c r="E36"/>
  <c r="F21"/>
  <c r="E21"/>
  <c r="F8"/>
  <c r="E15"/>
  <c r="F38"/>
  <c r="E38"/>
  <c r="O25" i="11"/>
  <c r="I29" i="18"/>
  <c r="D80" i="25"/>
  <c r="D14" i="17"/>
  <c r="E9" i="18"/>
  <c r="D40"/>
  <c r="D22"/>
  <c r="D17"/>
  <c r="E29"/>
  <c r="E22" i="15"/>
  <c r="Q7" i="10"/>
  <c r="K37" i="1"/>
  <c r="K29" i="4"/>
  <c r="K31"/>
  <c r="Q8" i="10"/>
  <c r="Q15"/>
  <c r="E23" i="15"/>
  <c r="E25"/>
  <c r="D40" i="17"/>
  <c r="D43"/>
  <c r="D39"/>
  <c r="D45"/>
  <c r="E28" i="18"/>
  <c r="D34"/>
  <c r="D39"/>
  <c r="D16"/>
  <c r="D42"/>
  <c r="D41"/>
  <c r="D36"/>
  <c r="D21"/>
  <c r="D20"/>
  <c r="D14"/>
  <c r="D37"/>
  <c r="D19"/>
  <c r="D18"/>
  <c r="D15"/>
  <c r="D38"/>
  <c r="D35"/>
  <c r="G29"/>
  <c r="K29"/>
  <c r="J29"/>
  <c r="K26" i="3"/>
  <c r="R88" i="9"/>
  <c r="R78"/>
  <c r="Q61"/>
  <c r="R72" i="1"/>
  <c r="Q24" i="10"/>
  <c r="Q26"/>
  <c r="K7" i="8"/>
  <c r="K20"/>
  <c r="Q18" i="10"/>
  <c r="Q21"/>
  <c r="Q28"/>
  <c r="Q41"/>
  <c r="S32"/>
  <c r="P72" i="1"/>
  <c r="P88" i="9"/>
  <c r="P78"/>
  <c r="O61"/>
  <c r="I76" i="25"/>
  <c r="N25" i="11"/>
  <c r="F9" i="17"/>
  <c r="E9"/>
  <c r="R61" i="9"/>
  <c r="S72" i="1"/>
  <c r="Q25" i="11"/>
  <c r="L29" i="18"/>
  <c r="I102" i="29"/>
  <c r="D12" i="31"/>
  <c r="C13"/>
  <c r="D13"/>
  <c r="D14"/>
  <c r="C15"/>
  <c r="D15"/>
  <c r="D16"/>
  <c r="C17"/>
  <c r="D17"/>
  <c r="D18"/>
  <c r="D19"/>
  <c r="C20"/>
  <c r="D20"/>
  <c r="C21"/>
  <c r="D21"/>
  <c r="D22"/>
  <c r="K36" i="7"/>
  <c r="H80" i="29"/>
  <c r="G82"/>
  <c r="H82"/>
  <c r="L26" i="3"/>
  <c r="N16" i="7"/>
  <c r="M36"/>
  <c r="P26" i="10"/>
  <c r="J36" i="7"/>
  <c r="Q36"/>
  <c r="G9" i="17"/>
  <c r="Y32" i="10"/>
  <c r="W24"/>
  <c r="W26"/>
  <c r="N7" i="8"/>
  <c r="N20"/>
  <c r="W18" i="10"/>
  <c r="W21"/>
  <c r="W28"/>
  <c r="W41"/>
  <c r="I27" i="15"/>
  <c r="N121" i="9"/>
  <c r="M15" i="11"/>
  <c r="O15"/>
  <c r="P121" i="9"/>
  <c r="K27" i="15"/>
  <c r="Q88" i="9"/>
  <c r="Q78"/>
  <c r="Q72" i="1"/>
  <c r="P61" i="9"/>
  <c r="J76" i="25"/>
  <c r="K25" i="11"/>
  <c r="L27" i="15"/>
  <c r="Q121" i="9"/>
  <c r="P15" i="11"/>
  <c r="I9" i="17"/>
  <c r="J25" i="11"/>
  <c r="J26" i="3"/>
  <c r="AE24" i="10"/>
  <c r="AE26"/>
  <c r="R7" i="8"/>
  <c r="R20"/>
  <c r="AE18" i="10"/>
  <c r="AE21"/>
  <c r="AE28"/>
  <c r="AE41"/>
  <c r="AG32"/>
  <c r="C20" i="15"/>
  <c r="AA32" i="10"/>
  <c r="Y24"/>
  <c r="Y26"/>
  <c r="O7" i="8"/>
  <c r="O20"/>
  <c r="Y18" i="10"/>
  <c r="Y21"/>
  <c r="Y28"/>
  <c r="Y41"/>
  <c r="C80" i="25"/>
  <c r="C14" i="17"/>
  <c r="D9" i="18"/>
  <c r="C18"/>
  <c r="B18"/>
  <c r="C17"/>
  <c r="B17"/>
  <c r="C35"/>
  <c r="B35"/>
  <c r="C14"/>
  <c r="B14"/>
  <c r="C40"/>
  <c r="B40"/>
  <c r="C19"/>
  <c r="B19"/>
  <c r="C39"/>
  <c r="B39"/>
  <c r="C20"/>
  <c r="B20"/>
  <c r="C37"/>
  <c r="B37"/>
  <c r="C34"/>
  <c r="B34"/>
  <c r="C21"/>
  <c r="B21"/>
  <c r="C36"/>
  <c r="B36"/>
  <c r="C16"/>
  <c r="B16"/>
  <c r="C41"/>
  <c r="B41"/>
  <c r="C38"/>
  <c r="B38"/>
  <c r="C15"/>
  <c r="B15"/>
  <c r="F102" i="29"/>
  <c r="L36" i="7"/>
  <c r="P24" i="10"/>
  <c r="P19"/>
  <c r="D15" i="15"/>
  <c r="D21" i="16"/>
  <c r="AC24" i="10"/>
  <c r="AC26"/>
  <c r="Q7" i="8"/>
  <c r="Q20"/>
  <c r="AC18" i="10"/>
  <c r="AC21"/>
  <c r="AC28"/>
  <c r="AC41"/>
  <c r="AE32"/>
  <c r="L9" i="17"/>
  <c r="B10"/>
  <c r="I25" i="11"/>
  <c r="AC32" i="10"/>
  <c r="AA24"/>
  <c r="AA26"/>
  <c r="P7" i="8"/>
  <c r="P20"/>
  <c r="AA18" i="10"/>
  <c r="AA21"/>
  <c r="AA28"/>
  <c r="AA41"/>
  <c r="N26" i="3"/>
  <c r="O121" i="9"/>
  <c r="J27" i="15"/>
  <c r="N15" i="11"/>
  <c r="L25"/>
  <c r="R26" i="10"/>
  <c r="G84" i="29"/>
  <c r="H84"/>
  <c r="P26" i="3"/>
  <c r="AD26" i="10"/>
  <c r="S24"/>
  <c r="S26"/>
  <c r="L7" i="8"/>
  <c r="L20"/>
  <c r="S18" i="10"/>
  <c r="S21"/>
  <c r="S28"/>
  <c r="T24"/>
  <c r="Q29" i="31"/>
  <c r="Z26" i="10"/>
  <c r="X24"/>
  <c r="R121" i="9"/>
  <c r="M27" i="15"/>
  <c r="Q15" i="11"/>
  <c r="R22" i="8"/>
  <c r="S7"/>
  <c r="S11"/>
  <c r="U24" i="10"/>
  <c r="U26"/>
  <c r="M7" i="8"/>
  <c r="M20"/>
  <c r="U18" i="10"/>
  <c r="U21"/>
  <c r="U28"/>
  <c r="V26"/>
  <c r="R20"/>
  <c r="R25"/>
  <c r="Q29"/>
  <c r="R19"/>
  <c r="E15" i="15"/>
  <c r="E21" i="16"/>
  <c r="D27"/>
  <c r="P18" i="10"/>
  <c r="D14" i="15"/>
  <c r="D20" i="16"/>
  <c r="D22"/>
  <c r="D23"/>
  <c r="E35"/>
  <c r="E36"/>
  <c r="AA31" i="10"/>
  <c r="AA34"/>
  <c r="U31"/>
  <c r="K8" i="11"/>
  <c r="S31" i="10"/>
  <c r="J8" i="11"/>
  <c r="K10"/>
  <c r="K6"/>
  <c r="K13"/>
  <c r="K16"/>
  <c r="R34" i="2"/>
  <c r="S65" i="1"/>
  <c r="S67"/>
  <c r="AG24" i="10"/>
  <c r="AG26"/>
  <c r="S20" i="8"/>
  <c r="AG18" i="10"/>
  <c r="AG21"/>
  <c r="AG28"/>
  <c r="AH24"/>
  <c r="V20"/>
  <c r="U29"/>
  <c r="V25"/>
  <c r="J21" i="7"/>
  <c r="J23"/>
  <c r="J10"/>
  <c r="J12"/>
  <c r="J30"/>
  <c r="J37" i="1"/>
  <c r="J29" i="4"/>
  <c r="I17" i="7"/>
  <c r="J16"/>
  <c r="AG31" i="10"/>
  <c r="Q8" i="11"/>
  <c r="AE31" i="10"/>
  <c r="P8" i="11"/>
  <c r="Q10"/>
  <c r="C20" i="16"/>
  <c r="C22"/>
  <c r="C23"/>
  <c r="C26"/>
  <c r="C28"/>
  <c r="C35"/>
  <c r="C36"/>
  <c r="C12"/>
  <c r="C16"/>
  <c r="C39"/>
  <c r="C40"/>
  <c r="C42"/>
  <c r="D35"/>
  <c r="D36"/>
  <c r="V18" i="10"/>
  <c r="G14" i="15"/>
  <c r="V19" i="10"/>
  <c r="G15" i="15"/>
  <c r="G16"/>
  <c r="G18"/>
  <c r="X18" i="10"/>
  <c r="H14" i="15"/>
  <c r="H20" i="16"/>
  <c r="X19" i="10"/>
  <c r="H15" i="15"/>
  <c r="H21" i="16"/>
  <c r="H22"/>
  <c r="T18" i="10"/>
  <c r="F14" i="15"/>
  <c r="G20" i="16"/>
  <c r="T19" i="10"/>
  <c r="F15" i="15"/>
  <c r="G21" i="16"/>
  <c r="G22"/>
  <c r="H23"/>
  <c r="H26"/>
  <c r="H27"/>
  <c r="H28"/>
  <c r="G23"/>
  <c r="H35"/>
  <c r="H36"/>
  <c r="H39"/>
  <c r="H40"/>
  <c r="AA29" i="10"/>
  <c r="AB25"/>
  <c r="AB20"/>
  <c r="H16" i="15"/>
  <c r="H18"/>
  <c r="Z18" i="10"/>
  <c r="I14" i="15"/>
  <c r="I20" i="16"/>
  <c r="Z19" i="10"/>
  <c r="I15" i="15"/>
  <c r="I21" i="16"/>
  <c r="I22"/>
  <c r="I23"/>
  <c r="I26"/>
  <c r="I27"/>
  <c r="I28"/>
  <c r="I35"/>
  <c r="I36"/>
  <c r="I39"/>
  <c r="I40"/>
  <c r="I42"/>
  <c r="AF20" i="10"/>
  <c r="AF25"/>
  <c r="AE29"/>
  <c r="Y31"/>
  <c r="Y34"/>
  <c r="Q6" i="11"/>
  <c r="Q13"/>
  <c r="Q16"/>
  <c r="Q18"/>
  <c r="Q24"/>
  <c r="Q22"/>
  <c r="J35" i="8"/>
  <c r="J37"/>
  <c r="I36" i="9"/>
  <c r="Q120"/>
  <c r="R120"/>
  <c r="R123"/>
  <c r="Q123"/>
  <c r="R32" i="4"/>
  <c r="O12" i="12"/>
  <c r="G26" i="16"/>
  <c r="G27"/>
  <c r="G28"/>
  <c r="R18" i="10"/>
  <c r="E14" i="15"/>
  <c r="F20" i="16"/>
  <c r="F21"/>
  <c r="F22"/>
  <c r="F23"/>
  <c r="G35"/>
  <c r="G36"/>
  <c r="G39"/>
  <c r="G40"/>
  <c r="G42"/>
  <c r="O35" i="8"/>
  <c r="O37"/>
  <c r="N36" i="9"/>
  <c r="N38"/>
  <c r="N84"/>
  <c r="N86"/>
  <c r="N90"/>
  <c r="N96"/>
  <c r="N94"/>
  <c r="N97"/>
  <c r="P35" i="8"/>
  <c r="P37"/>
  <c r="O36" i="9"/>
  <c r="O38"/>
  <c r="J33" i="15"/>
  <c r="O84" i="9"/>
  <c r="O86"/>
  <c r="O90"/>
  <c r="O96"/>
  <c r="O94"/>
  <c r="O97"/>
  <c r="O6" i="11"/>
  <c r="O24"/>
  <c r="O22"/>
  <c r="AC31" i="10"/>
  <c r="O8" i="11"/>
  <c r="O13"/>
  <c r="O16"/>
  <c r="O18"/>
  <c r="N35" i="8"/>
  <c r="N37"/>
  <c r="M36" i="9"/>
  <c r="M38"/>
  <c r="M84"/>
  <c r="M86"/>
  <c r="M90"/>
  <c r="M96"/>
  <c r="M94"/>
  <c r="M97"/>
  <c r="N6" i="11"/>
  <c r="N8"/>
  <c r="N13"/>
  <c r="N16"/>
  <c r="N18"/>
  <c r="N22"/>
  <c r="N24"/>
  <c r="J6"/>
  <c r="J24"/>
  <c r="J13"/>
  <c r="J16"/>
  <c r="J18"/>
  <c r="J22"/>
  <c r="AH25" i="10"/>
  <c r="AG29"/>
  <c r="AH20"/>
  <c r="L35" i="8"/>
  <c r="L37"/>
  <c r="K36" i="9"/>
  <c r="K38"/>
  <c r="K84"/>
  <c r="K86"/>
  <c r="K90"/>
  <c r="K94"/>
  <c r="K97"/>
  <c r="K96"/>
  <c r="K35" i="8"/>
  <c r="K37"/>
  <c r="J36" i="9"/>
  <c r="J38"/>
  <c r="E33" i="15"/>
  <c r="J84" i="9"/>
  <c r="J86"/>
  <c r="J90"/>
  <c r="J96"/>
  <c r="J94"/>
  <c r="J97"/>
  <c r="O7" i="10"/>
  <c r="J31" i="4"/>
  <c r="O8" i="10"/>
  <c r="O15"/>
  <c r="Q32"/>
  <c r="O41"/>
  <c r="M6" i="11"/>
  <c r="M8"/>
  <c r="M13"/>
  <c r="M16"/>
  <c r="M18"/>
  <c r="M22"/>
  <c r="M24"/>
  <c r="O21" i="7"/>
  <c r="O10"/>
  <c r="O12"/>
  <c r="O30"/>
  <c r="O23"/>
  <c r="P17"/>
  <c r="Q16"/>
  <c r="P10"/>
  <c r="P12"/>
  <c r="Q21"/>
  <c r="Q23"/>
  <c r="Q30"/>
  <c r="R40" i="1"/>
  <c r="R55"/>
  <c r="F13" i="31"/>
  <c r="H79" i="29"/>
  <c r="M38" i="7"/>
  <c r="N36"/>
  <c r="O36"/>
  <c r="P36"/>
  <c r="H9" i="17"/>
  <c r="P25" i="11"/>
  <c r="R24" i="10"/>
  <c r="P11" i="8"/>
  <c r="AD24" i="10"/>
  <c r="Z24"/>
  <c r="R11" i="8"/>
  <c r="AF24" i="10"/>
  <c r="V24"/>
  <c r="E16" i="15"/>
  <c r="E18"/>
  <c r="S29" i="10"/>
  <c r="T25"/>
  <c r="T20"/>
  <c r="D26" i="16"/>
  <c r="D28"/>
  <c r="D39"/>
  <c r="D40"/>
  <c r="D42"/>
  <c r="S34" i="10"/>
  <c r="S22" i="8"/>
  <c r="K11"/>
  <c r="AH26" i="10"/>
  <c r="J17" i="7"/>
  <c r="J18"/>
  <c r="J25"/>
  <c r="J38"/>
  <c r="AE34" i="10"/>
  <c r="M15" i="1"/>
  <c r="M27"/>
  <c r="X20" i="10"/>
  <c r="W29"/>
  <c r="X25"/>
  <c r="H42" i="16"/>
  <c r="Z20" i="10"/>
  <c r="Y29"/>
  <c r="Z25"/>
  <c r="AB19"/>
  <c r="J15" i="15"/>
  <c r="J21" i="16"/>
  <c r="AB18" i="10"/>
  <c r="J14" i="15"/>
  <c r="J16"/>
  <c r="J18"/>
  <c r="AC29" i="10"/>
  <c r="AD20"/>
  <c r="AD25"/>
  <c r="I38" i="9"/>
  <c r="I84"/>
  <c r="I86"/>
  <c r="I90"/>
  <c r="I96"/>
  <c r="I94"/>
  <c r="I97"/>
  <c r="AF18" i="10"/>
  <c r="L14" i="15"/>
  <c r="AF19" i="10"/>
  <c r="L15" i="15"/>
  <c r="L16"/>
  <c r="L18"/>
  <c r="O10" i="11"/>
  <c r="P6"/>
  <c r="P13"/>
  <c r="P16"/>
  <c r="P18"/>
  <c r="P24"/>
  <c r="P22"/>
  <c r="N32" i="4"/>
  <c r="K12" i="12"/>
  <c r="W31" i="10"/>
  <c r="L8" i="11"/>
  <c r="M10"/>
  <c r="O17" i="7"/>
  <c r="P16"/>
  <c r="P18"/>
  <c r="P21"/>
  <c r="P23"/>
  <c r="P25"/>
  <c r="P31"/>
  <c r="N20" i="11"/>
  <c r="N10" i="12"/>
  <c r="C73" i="25"/>
  <c r="C75"/>
  <c r="C77"/>
  <c r="F20" i="31"/>
  <c r="I86" i="29"/>
  <c r="D86"/>
  <c r="G85"/>
  <c r="H85"/>
  <c r="K9" i="17"/>
  <c r="J9"/>
  <c r="R36" i="7"/>
  <c r="M25" i="11"/>
  <c r="L11" i="8"/>
  <c r="N11"/>
  <c r="AF26" i="10"/>
  <c r="E27" i="16"/>
  <c r="Q35" i="8"/>
  <c r="Q37"/>
  <c r="P36" i="9"/>
  <c r="K24" i="11"/>
  <c r="K18"/>
  <c r="K22"/>
  <c r="R35" i="8"/>
  <c r="R37"/>
  <c r="Q36" i="9"/>
  <c r="Q38"/>
  <c r="L33" i="15"/>
  <c r="F27" i="16"/>
  <c r="I16" i="15"/>
  <c r="I18"/>
  <c r="O120" i="9"/>
  <c r="P120"/>
  <c r="P123"/>
  <c r="O123"/>
  <c r="F26" i="16"/>
  <c r="F28"/>
  <c r="E20"/>
  <c r="E22"/>
  <c r="E23"/>
  <c r="F35"/>
  <c r="F36"/>
  <c r="F39"/>
  <c r="F40"/>
  <c r="F42"/>
  <c r="AC34" i="10"/>
  <c r="H33" i="15"/>
  <c r="K17" i="7"/>
  <c r="L16"/>
  <c r="Q31" i="10"/>
  <c r="I8" i="11"/>
  <c r="J10"/>
  <c r="W32" i="10"/>
  <c r="W34"/>
  <c r="N40" i="1"/>
  <c r="N55"/>
  <c r="Q17" i="7"/>
  <c r="R16"/>
  <c r="F14" i="31"/>
  <c r="B21" i="17"/>
  <c r="B22"/>
  <c r="B27"/>
  <c r="B17" i="19"/>
  <c r="B18"/>
  <c r="B19"/>
  <c r="I6" i="11"/>
  <c r="I13"/>
  <c r="I16"/>
  <c r="I18"/>
  <c r="I24"/>
  <c r="I22"/>
  <c r="R26" i="3"/>
  <c r="R28"/>
  <c r="L10" i="11"/>
  <c r="J15" i="1"/>
  <c r="J27"/>
  <c r="K10" i="7"/>
  <c r="K12"/>
  <c r="D16" i="15"/>
  <c r="D18"/>
  <c r="Q40" i="1"/>
  <c r="Q55"/>
  <c r="P38" i="9"/>
  <c r="K33" i="15"/>
  <c r="Q84" i="9"/>
  <c r="Q86"/>
  <c r="Q90"/>
  <c r="Q94"/>
  <c r="Q97"/>
  <c r="Q96"/>
  <c r="S35" i="8"/>
  <c r="S37"/>
  <c r="R36" i="9"/>
  <c r="R38"/>
  <c r="R56"/>
  <c r="R58"/>
  <c r="I21" i="7"/>
  <c r="I23"/>
  <c r="I10"/>
  <c r="I12"/>
  <c r="I30"/>
  <c r="K16"/>
  <c r="K18"/>
  <c r="K21"/>
  <c r="K23"/>
  <c r="K25"/>
  <c r="K31"/>
  <c r="I10" i="12"/>
  <c r="I20" i="11"/>
  <c r="L18" i="7"/>
  <c r="L21"/>
  <c r="L23"/>
  <c r="L25"/>
  <c r="L10"/>
  <c r="L12"/>
  <c r="L31"/>
  <c r="J20" i="11"/>
  <c r="J10" i="12"/>
  <c r="AD18" i="10"/>
  <c r="K14" i="15"/>
  <c r="AD19" i="10"/>
  <c r="K15" i="15"/>
  <c r="K16"/>
  <c r="K18"/>
  <c r="I117" i="9"/>
  <c r="L20" i="3"/>
  <c r="L22"/>
  <c r="L24"/>
  <c r="L28"/>
  <c r="O22" i="8"/>
  <c r="O25"/>
  <c r="O26"/>
  <c r="O27"/>
  <c r="C42" i="18"/>
  <c r="B42"/>
  <c r="B54" i="17"/>
  <c r="L22" i="8"/>
  <c r="L26"/>
  <c r="M35"/>
  <c r="M37"/>
  <c r="L36" i="9"/>
  <c r="L15" i="1"/>
  <c r="L27"/>
  <c r="L40"/>
  <c r="L55"/>
  <c r="N26" i="5"/>
  <c r="N28"/>
  <c r="J20" i="3"/>
  <c r="J22"/>
  <c r="J24"/>
  <c r="J28"/>
  <c r="P26" i="5"/>
  <c r="P28"/>
  <c r="F16" i="15"/>
  <c r="F18"/>
  <c r="E26" i="16"/>
  <c r="E28"/>
  <c r="E39"/>
  <c r="E40"/>
  <c r="P84" i="9"/>
  <c r="P86"/>
  <c r="P90"/>
  <c r="P94"/>
  <c r="P97"/>
  <c r="P96"/>
  <c r="R84"/>
  <c r="R86"/>
  <c r="R90"/>
  <c r="R96"/>
  <c r="R94"/>
  <c r="R97"/>
  <c r="J20" i="16"/>
  <c r="J22"/>
  <c r="J23"/>
  <c r="J26"/>
  <c r="J27"/>
  <c r="J28"/>
  <c r="J35"/>
  <c r="J36"/>
  <c r="J39"/>
  <c r="J40"/>
  <c r="J42"/>
  <c r="L38" i="9"/>
  <c r="L84"/>
  <c r="L86"/>
  <c r="L90"/>
  <c r="L94"/>
  <c r="L97"/>
  <c r="L96"/>
  <c r="P117"/>
  <c r="N21" i="7"/>
  <c r="N23"/>
  <c r="N10"/>
  <c r="N12"/>
  <c r="N30"/>
  <c r="L38"/>
  <c r="J22" i="8"/>
  <c r="J25"/>
  <c r="J26"/>
  <c r="J27"/>
  <c r="R117" i="9"/>
  <c r="G37" i="15"/>
  <c r="D23"/>
  <c r="D25"/>
  <c r="D28"/>
  <c r="D30"/>
  <c r="R69" i="1"/>
  <c r="R15"/>
  <c r="R27"/>
  <c r="R70"/>
  <c r="R25" i="8"/>
  <c r="R27"/>
  <c r="R124" i="9"/>
  <c r="Q124"/>
  <c r="P124"/>
  <c r="O124"/>
  <c r="N124"/>
  <c r="M124"/>
  <c r="L124"/>
  <c r="K124"/>
  <c r="J124"/>
  <c r="I124"/>
  <c r="H124"/>
  <c r="N22" i="8"/>
  <c r="N26"/>
  <c r="L32" i="4"/>
  <c r="I12" i="12"/>
  <c r="C13" i="18"/>
  <c r="B13"/>
  <c r="B19" i="17"/>
  <c r="B28" s="1"/>
  <c r="B33" s="1"/>
  <c r="E33" s="1"/>
  <c r="C22" i="18"/>
  <c r="B22"/>
  <c r="B25" i="17"/>
  <c r="M11" i="8"/>
  <c r="AB24" i="10"/>
  <c r="M40" i="1"/>
  <c r="M55"/>
  <c r="J37" i="15"/>
  <c r="I10" i="11"/>
  <c r="N17" i="7"/>
  <c r="O16"/>
  <c r="O18"/>
  <c r="O25"/>
  <c r="O38"/>
  <c r="AH18" i="10"/>
  <c r="M14" i="15"/>
  <c r="AH19" i="10"/>
  <c r="M15" i="15"/>
  <c r="M16"/>
  <c r="M37"/>
  <c r="I73" i="25"/>
  <c r="I75"/>
  <c r="I77"/>
  <c r="P40" i="1"/>
  <c r="P55"/>
  <c r="P69"/>
  <c r="P15"/>
  <c r="P27"/>
  <c r="P70"/>
  <c r="L25" i="8"/>
  <c r="L27"/>
  <c r="D33" i="15"/>
  <c r="D35"/>
  <c r="D37"/>
  <c r="D39"/>
  <c r="N117" i="9"/>
  <c r="C39" i="17"/>
  <c r="K38" i="7"/>
  <c r="P22" i="8"/>
  <c r="P25"/>
  <c r="P26"/>
  <c r="P27"/>
  <c r="J80" i="9"/>
  <c r="J82"/>
  <c r="AD21" i="10"/>
  <c r="C40" i="17"/>
  <c r="C43"/>
  <c r="C45"/>
  <c r="D28" i="18"/>
  <c r="L117" i="9"/>
  <c r="S32" i="4"/>
  <c r="P12" i="12"/>
  <c r="S40" i="1"/>
  <c r="S55"/>
  <c r="J28" i="15"/>
  <c r="J30"/>
  <c r="Q18" i="7"/>
  <c r="Q25"/>
  <c r="Q31"/>
  <c r="O10" i="12"/>
  <c r="O20" i="11"/>
  <c r="D73" i="25"/>
  <c r="D75"/>
  <c r="D77"/>
  <c r="L76"/>
  <c r="L77"/>
  <c r="K26" i="5"/>
  <c r="K28"/>
  <c r="K20" i="3"/>
  <c r="K22"/>
  <c r="K24"/>
  <c r="K28"/>
  <c r="M26" i="5"/>
  <c r="M28"/>
  <c r="P21" i="10"/>
  <c r="R80" i="9"/>
  <c r="R82"/>
  <c r="N25" i="8"/>
  <c r="N27"/>
  <c r="S41" i="10"/>
  <c r="U32"/>
  <c r="N10" i="11"/>
  <c r="Q11" i="8"/>
  <c r="T26" i="10"/>
  <c r="N69" i="1"/>
  <c r="N15"/>
  <c r="N27"/>
  <c r="N70"/>
  <c r="Q38" i="7"/>
  <c r="F19" i="31"/>
  <c r="AH21" i="10"/>
  <c r="L6" i="11"/>
  <c r="L24"/>
  <c r="L22"/>
  <c r="L13"/>
  <c r="L16"/>
  <c r="L18"/>
  <c r="AB21" i="10"/>
  <c r="Q80" i="9"/>
  <c r="Q82"/>
  <c r="M33" i="15"/>
  <c r="I18" i="7"/>
  <c r="I25"/>
  <c r="I38"/>
  <c r="Q26" i="5"/>
  <c r="Q28"/>
  <c r="G73" i="25"/>
  <c r="G75"/>
  <c r="G77"/>
  <c r="J26" i="5"/>
  <c r="J28"/>
  <c r="F86" i="29"/>
  <c r="I87"/>
  <c r="D87"/>
  <c r="F87"/>
  <c r="I88"/>
  <c r="D88"/>
  <c r="F88"/>
  <c r="E88"/>
  <c r="K28" i="15"/>
  <c r="K30"/>
  <c r="O117" i="9"/>
  <c r="F33" i="15"/>
  <c r="U41" i="10"/>
  <c r="R26" i="5"/>
  <c r="R28"/>
  <c r="K22" i="8"/>
  <c r="K26"/>
  <c r="O34" i="22"/>
  <c r="O36"/>
  <c r="H28" i="15"/>
  <c r="H30"/>
  <c r="K40" i="1"/>
  <c r="K55"/>
  <c r="K69"/>
  <c r="K15"/>
  <c r="K27"/>
  <c r="K70"/>
  <c r="O11" i="8"/>
  <c r="I28" i="15"/>
  <c r="I30"/>
  <c r="O31" i="7"/>
  <c r="M20" i="11"/>
  <c r="M10" i="12"/>
  <c r="N18" i="7"/>
  <c r="N25"/>
  <c r="N38"/>
  <c r="O56" i="9"/>
  <c r="O58"/>
  <c r="K37" i="15"/>
  <c r="N31" i="7"/>
  <c r="L20" i="11"/>
  <c r="L10" i="12"/>
  <c r="AG34" i="10"/>
  <c r="I26" i="5"/>
  <c r="I28"/>
  <c r="B32" i="17"/>
  <c r="E32"/>
  <c r="G33" i="15"/>
  <c r="N56" i="9"/>
  <c r="N58"/>
  <c r="I20" i="3"/>
  <c r="I22"/>
  <c r="I24"/>
  <c r="I26"/>
  <c r="I28"/>
  <c r="I31" i="7"/>
  <c r="G10" i="12"/>
  <c r="J31" i="7"/>
  <c r="H10" i="12"/>
  <c r="K10"/>
  <c r="R17" i="7"/>
  <c r="R18"/>
  <c r="R21"/>
  <c r="R23"/>
  <c r="R25"/>
  <c r="R31"/>
  <c r="P10" i="12"/>
  <c r="S10"/>
  <c r="U10"/>
  <c r="K34" i="22"/>
  <c r="K36"/>
  <c r="B24" i="17"/>
  <c r="J34" i="22"/>
  <c r="J36"/>
  <c r="L34"/>
  <c r="L36"/>
  <c r="M34"/>
  <c r="M36"/>
  <c r="N34"/>
  <c r="N36"/>
  <c r="P34"/>
  <c r="P36"/>
  <c r="Q34"/>
  <c r="Q36"/>
  <c r="R34"/>
  <c r="R36"/>
  <c r="C36"/>
  <c r="J32" i="4"/>
  <c r="G12" i="12"/>
  <c r="K32" i="4"/>
  <c r="H12" i="12"/>
  <c r="M32" i="4"/>
  <c r="J12" i="12"/>
  <c r="O32" i="4"/>
  <c r="L12" i="12"/>
  <c r="P32" i="4"/>
  <c r="M12" i="12"/>
  <c r="Q32" i="4"/>
  <c r="N12" i="12"/>
  <c r="S12"/>
  <c r="U12"/>
  <c r="O26" i="3"/>
  <c r="U34" i="10"/>
  <c r="H25" i="11"/>
  <c r="P38" i="7"/>
  <c r="F16" i="31"/>
  <c r="F18"/>
  <c r="T21" i="10"/>
  <c r="R30" i="7"/>
  <c r="M18" i="15"/>
  <c r="R38" i="7"/>
  <c r="G20" i="11"/>
  <c r="H86" i="29"/>
  <c r="E87"/>
  <c r="J40" i="1"/>
  <c r="J55"/>
  <c r="J69"/>
  <c r="J70"/>
  <c r="C37" i="15"/>
  <c r="C39"/>
  <c r="AF21" i="10"/>
  <c r="P20" i="11"/>
  <c r="B50" i="17"/>
  <c r="B51"/>
  <c r="M120" i="9"/>
  <c r="N120"/>
  <c r="N123"/>
  <c r="M123"/>
  <c r="K117"/>
  <c r="Q22" i="8"/>
  <c r="Q25"/>
  <c r="Q26"/>
  <c r="Q27"/>
  <c r="I80" i="9"/>
  <c r="I82"/>
  <c r="E42" i="16"/>
  <c r="P10" i="11"/>
  <c r="D91" i="25"/>
  <c r="D93"/>
  <c r="C91"/>
  <c r="C93"/>
  <c r="C95"/>
  <c r="D94"/>
  <c r="D95"/>
  <c r="E94"/>
  <c r="F73"/>
  <c r="F91"/>
  <c r="F93"/>
  <c r="E73"/>
  <c r="E91"/>
  <c r="E93"/>
  <c r="E95"/>
  <c r="F94"/>
  <c r="F95"/>
  <c r="G94"/>
  <c r="K25" i="8"/>
  <c r="K27"/>
  <c r="K56" i="9"/>
  <c r="K58"/>
  <c r="Q69" i="1"/>
  <c r="Q15"/>
  <c r="Q27"/>
  <c r="Q70"/>
  <c r="H37" i="15"/>
  <c r="K120" i="9"/>
  <c r="L120"/>
  <c r="L123"/>
  <c r="K123"/>
  <c r="G28" i="15"/>
  <c r="G30"/>
  <c r="H73" i="25"/>
  <c r="H91"/>
  <c r="H93"/>
  <c r="G91"/>
  <c r="G93"/>
  <c r="G95"/>
  <c r="H94"/>
  <c r="H95"/>
  <c r="I94"/>
  <c r="AB26" i="10"/>
  <c r="L28" i="15"/>
  <c r="L30"/>
  <c r="I37"/>
  <c r="H75" i="25"/>
  <c r="H77"/>
  <c r="P20" i="3"/>
  <c r="P22"/>
  <c r="P24"/>
  <c r="P28"/>
  <c r="K32" i="15"/>
  <c r="K35"/>
  <c r="K39"/>
  <c r="O26" i="5"/>
  <c r="O28"/>
  <c r="J120" i="9"/>
  <c r="J123"/>
  <c r="I123"/>
  <c r="H123"/>
  <c r="H125"/>
  <c r="H128"/>
  <c r="H132"/>
  <c r="H136"/>
  <c r="E32" i="15"/>
  <c r="E35"/>
  <c r="E37"/>
  <c r="E39"/>
  <c r="O20" i="3"/>
  <c r="O22"/>
  <c r="O24"/>
  <c r="O28"/>
  <c r="E28" i="15"/>
  <c r="E30"/>
  <c r="N20" i="3"/>
  <c r="N22"/>
  <c r="N24"/>
  <c r="N28"/>
  <c r="G32" i="15"/>
  <c r="G35"/>
  <c r="G39"/>
  <c r="K20" i="11"/>
  <c r="K80" i="9"/>
  <c r="K82"/>
  <c r="P56"/>
  <c r="P58"/>
  <c r="S69" i="1"/>
  <c r="S15"/>
  <c r="S27"/>
  <c r="S70"/>
  <c r="P80" i="9"/>
  <c r="P82"/>
  <c r="O40" i="1"/>
  <c r="O55"/>
  <c r="O69"/>
  <c r="O15"/>
  <c r="O27"/>
  <c r="O70"/>
  <c r="I56" i="9"/>
  <c r="I58"/>
  <c r="C22" i="31"/>
  <c r="AG41" i="10"/>
  <c r="X26"/>
  <c r="M30" i="7"/>
  <c r="I33" i="15"/>
  <c r="F12" i="31"/>
  <c r="F15"/>
  <c r="F17"/>
  <c r="F21"/>
  <c r="F22"/>
  <c r="K30" i="7"/>
  <c r="L30"/>
  <c r="E75" i="25"/>
  <c r="E77"/>
  <c r="L69" i="1"/>
  <c r="L70"/>
  <c r="Q26" i="3"/>
  <c r="Q28"/>
  <c r="F32" i="15"/>
  <c r="F35"/>
  <c r="F37"/>
  <c r="F39"/>
  <c r="H20" i="11"/>
  <c r="J73" i="25"/>
  <c r="J91"/>
  <c r="J93"/>
  <c r="I91"/>
  <c r="I93"/>
  <c r="I95"/>
  <c r="J94"/>
  <c r="J95"/>
  <c r="K94"/>
  <c r="K95"/>
  <c r="L94"/>
  <c r="L95"/>
  <c r="M56" i="9"/>
  <c r="M58"/>
  <c r="O80"/>
  <c r="O82"/>
  <c r="M80"/>
  <c r="M82"/>
  <c r="M22" i="8"/>
  <c r="M25"/>
  <c r="M26"/>
  <c r="M27"/>
  <c r="V21" i="10"/>
  <c r="D29" i="18"/>
  <c r="C33"/>
  <c r="B33"/>
  <c r="B48" i="17"/>
  <c r="B59"/>
  <c r="B64"/>
  <c r="E64"/>
  <c r="B53"/>
  <c r="M69" i="1"/>
  <c r="M70"/>
  <c r="K76" i="25"/>
  <c r="K77"/>
  <c r="L80" i="9"/>
  <c r="L82"/>
  <c r="M117"/>
  <c r="L56"/>
  <c r="L58"/>
  <c r="J56"/>
  <c r="J58"/>
  <c r="N80"/>
  <c r="N82"/>
  <c r="F75" i="25"/>
  <c r="F77"/>
  <c r="P30" i="7"/>
  <c r="L26" i="5"/>
  <c r="L28"/>
  <c r="Q56" i="9"/>
  <c r="Q58"/>
  <c r="X21" i="10"/>
  <c r="M20" i="3"/>
  <c r="M22"/>
  <c r="M24"/>
  <c r="M28"/>
  <c r="J117" i="9"/>
  <c r="J75" i="25"/>
  <c r="J77"/>
  <c r="L37" i="15"/>
  <c r="M28"/>
  <c r="M30"/>
  <c r="M32"/>
  <c r="M35"/>
  <c r="M39"/>
  <c r="B47" i="17"/>
  <c r="B58"/>
  <c r="B63"/>
  <c r="E63"/>
  <c r="Q34" i="10"/>
  <c r="F28" i="15"/>
  <c r="F30"/>
  <c r="R21" i="10"/>
  <c r="L32" i="15"/>
  <c r="L35"/>
  <c r="L39"/>
  <c r="I32"/>
  <c r="I35"/>
  <c r="I39"/>
  <c r="H32"/>
  <c r="H35"/>
  <c r="H39"/>
  <c r="Z21" i="10"/>
  <c r="Q117" i="9"/>
  <c r="J32" i="15"/>
  <c r="J35"/>
  <c r="J39"/>
  <c r="S25" i="8"/>
  <c r="S27"/>
</calcChain>
</file>

<file path=xl/comments1.xml><?xml version="1.0" encoding="utf-8"?>
<comments xmlns="http://schemas.openxmlformats.org/spreadsheetml/2006/main">
  <authors>
    <author>Óscar Eduardo MEDINA ARANGO</author>
  </authors>
  <commentList>
    <comment ref="B30" authorId="0">
      <text>
        <r>
          <rPr>
            <sz val="8"/>
            <color indexed="81"/>
            <rFont val="Tahoma"/>
            <family val="2"/>
          </rPr>
          <t>Cambiar por Cifra Último Año</t>
        </r>
      </text>
    </comment>
  </commentList>
</comments>
</file>

<file path=xl/comments2.xml><?xml version="1.0" encoding="utf-8"?>
<comments xmlns="http://schemas.openxmlformats.org/spreadsheetml/2006/main">
  <authors>
    <author>Alejandro.Furque</author>
  </authors>
  <commentList>
    <comment ref="B6" authorId="0">
      <text>
        <r>
          <rPr>
            <b/>
            <sz val="9"/>
            <color indexed="81"/>
            <rFont val="Tahoma"/>
            <family val="2"/>
          </rPr>
          <t>Alejandro.Furque:</t>
        </r>
        <r>
          <rPr>
            <sz val="9"/>
            <color indexed="81"/>
            <rFont val="Tahoma"/>
            <family val="2"/>
          </rPr>
          <t xml:space="preserve">
FCL B19</t>
        </r>
      </text>
    </comment>
    <comment ref="B8" authorId="0">
      <text>
        <r>
          <rPr>
            <b/>
            <sz val="9"/>
            <color indexed="81"/>
            <rFont val="Tahoma"/>
            <family val="2"/>
          </rPr>
          <t>Alejandro.Furque:</t>
        </r>
        <r>
          <rPr>
            <sz val="9"/>
            <color indexed="81"/>
            <rFont val="Tahoma"/>
            <family val="2"/>
          </rPr>
          <t xml:space="preserve">
FCL B25</t>
        </r>
      </text>
    </comment>
  </commentList>
</comments>
</file>

<file path=xl/comments3.xml><?xml version="1.0" encoding="utf-8"?>
<comments xmlns="http://schemas.openxmlformats.org/spreadsheetml/2006/main">
  <authors>
    <author>Daniel</author>
  </authors>
  <commentList>
    <comment ref="A43" authorId="0">
      <text>
        <r>
          <rPr>
            <b/>
            <sz val="9"/>
            <color indexed="81"/>
            <rFont val="Tahoma"/>
            <family val="2"/>
          </rPr>
          <t>Daniel:</t>
        </r>
        <r>
          <rPr>
            <sz val="9"/>
            <color indexed="81"/>
            <rFont val="Tahoma"/>
            <family val="2"/>
          </rPr>
          <t xml:space="preserve">
Promedio del comportamiento de los últimso 4 años
</t>
        </r>
      </text>
    </comment>
  </commentList>
</comments>
</file>

<file path=xl/comments4.xml><?xml version="1.0" encoding="utf-8"?>
<comments xmlns="http://schemas.openxmlformats.org/spreadsheetml/2006/main">
  <authors>
    <author>Aswath Damodaran</author>
  </authors>
  <commentList>
    <comment ref="C3" authorId="0">
      <text>
        <r>
          <rPr>
            <b/>
            <sz val="9"/>
            <color indexed="81"/>
            <rFont val="Geneva"/>
          </rPr>
          <t>Aswath Damodaran:</t>
        </r>
        <r>
          <rPr>
            <sz val="9"/>
            <color indexed="81"/>
            <rFont val="Geneva"/>
          </rPr>
          <t xml:space="preserve">
ST: Short term (Treasury bill)
LT: Long term (Treasury bond)</t>
        </r>
      </text>
    </comment>
    <comment ref="C4" authorId="0">
      <text>
        <r>
          <rPr>
            <b/>
            <sz val="9"/>
            <color indexed="81"/>
            <rFont val="Geneva"/>
          </rPr>
          <t>Aswath Damodaran:</t>
        </r>
        <r>
          <rPr>
            <sz val="9"/>
            <color indexed="81"/>
            <rFont val="Geneva"/>
          </rPr>
          <t xml:space="preserve">
The risk premium will be computed from this year to the current year.</t>
        </r>
      </text>
    </comment>
  </commentList>
</comments>
</file>

<file path=xl/comments5.xml><?xml version="1.0" encoding="utf-8"?>
<comments xmlns="http://schemas.openxmlformats.org/spreadsheetml/2006/main">
  <authors>
    <author>Alejandro.Furque</author>
  </authors>
  <commentList>
    <comment ref="C84" authorId="0">
      <text>
        <r>
          <rPr>
            <b/>
            <sz val="9"/>
            <color indexed="81"/>
            <rFont val="Tahoma"/>
            <family val="2"/>
          </rPr>
          <t>Alejandro.Furque:</t>
        </r>
        <r>
          <rPr>
            <sz val="9"/>
            <color indexed="81"/>
            <rFont val="Tahoma"/>
            <family val="2"/>
          </rPr>
          <t xml:space="preserve">
De acuerdo con la nota 11 a los EEFF</t>
        </r>
      </text>
    </comment>
  </commentList>
</comments>
</file>

<file path=xl/comments6.xml><?xml version="1.0" encoding="utf-8"?>
<comments xmlns="http://schemas.openxmlformats.org/spreadsheetml/2006/main">
  <authors>
    <author>A satisfied Microsoft Office user</author>
  </authors>
  <commentList>
    <comment ref="C20" authorId="0">
      <text>
        <r>
          <rPr>
            <sz val="8"/>
            <color indexed="81"/>
            <rFont val="Tahoma"/>
            <family val="2"/>
          </rPr>
          <t>Actualizar con valor del año anterior.</t>
        </r>
      </text>
    </comment>
    <comment ref="C23" authorId="0">
      <text>
        <r>
          <rPr>
            <sz val="8"/>
            <color indexed="81"/>
            <rFont val="Tahoma"/>
            <family val="2"/>
          </rPr>
          <t>Actualizar con valor del año anterior.</t>
        </r>
      </text>
    </comment>
    <comment ref="D23" authorId="0">
      <text>
        <r>
          <rPr>
            <sz val="8"/>
            <color indexed="81"/>
            <rFont val="Tahoma"/>
            <family val="2"/>
          </rPr>
          <t>Actualizar con valor del año anterior.</t>
        </r>
      </text>
    </comment>
    <comment ref="E23" authorId="0">
      <text>
        <r>
          <rPr>
            <sz val="8"/>
            <color indexed="81"/>
            <rFont val="Tahoma"/>
            <family val="2"/>
          </rPr>
          <t>Actualizar con valor del año anterior.</t>
        </r>
      </text>
    </comment>
    <comment ref="F23" authorId="0">
      <text>
        <r>
          <rPr>
            <sz val="8"/>
            <color indexed="81"/>
            <rFont val="Tahoma"/>
            <family val="2"/>
          </rPr>
          <t>Actualizar con valor del año anterior.</t>
        </r>
      </text>
    </comment>
    <comment ref="G23" authorId="0">
      <text>
        <r>
          <rPr>
            <sz val="8"/>
            <color indexed="81"/>
            <rFont val="Tahoma"/>
            <family val="2"/>
          </rPr>
          <t>Actualizar con valor del año anterior.</t>
        </r>
      </text>
    </comment>
    <comment ref="H23" authorId="0">
      <text>
        <r>
          <rPr>
            <sz val="8"/>
            <color indexed="81"/>
            <rFont val="Tahoma"/>
            <family val="2"/>
          </rPr>
          <t>Actualizar con valor del año anterior.</t>
        </r>
      </text>
    </comment>
    <comment ref="I23" authorId="0">
      <text>
        <r>
          <rPr>
            <sz val="8"/>
            <color indexed="81"/>
            <rFont val="Tahoma"/>
            <family val="2"/>
          </rPr>
          <t>Actualizar con valor del año anterior.</t>
        </r>
      </text>
    </comment>
    <comment ref="J23" authorId="0">
      <text>
        <r>
          <rPr>
            <sz val="8"/>
            <color indexed="81"/>
            <rFont val="Tahoma"/>
            <family val="2"/>
          </rPr>
          <t>Actualizar con valor del año anterior.</t>
        </r>
      </text>
    </comment>
    <comment ref="K23" authorId="0">
      <text>
        <r>
          <rPr>
            <sz val="8"/>
            <color indexed="81"/>
            <rFont val="Tahoma"/>
            <family val="2"/>
          </rPr>
          <t>Actualizar con valor del año anterior.</t>
        </r>
      </text>
    </comment>
    <comment ref="L23" authorId="0">
      <text>
        <r>
          <rPr>
            <sz val="8"/>
            <color indexed="81"/>
            <rFont val="Tahoma"/>
            <family val="2"/>
          </rPr>
          <t>Actualizar con valor del año anterior.</t>
        </r>
      </text>
    </comment>
    <comment ref="M23" authorId="0">
      <text>
        <r>
          <rPr>
            <sz val="8"/>
            <color indexed="81"/>
            <rFont val="Tahoma"/>
            <family val="2"/>
          </rPr>
          <t>Actualizar con valor del año anterior.</t>
        </r>
      </text>
    </comment>
  </commentList>
</comments>
</file>

<file path=xl/comments7.xml><?xml version="1.0" encoding="utf-8"?>
<comments xmlns="http://schemas.openxmlformats.org/spreadsheetml/2006/main">
  <authors>
    <author>A satisfied Microsoft Office user</author>
  </authors>
  <commentList>
    <comment ref="B15" authorId="0">
      <text>
        <r>
          <rPr>
            <sz val="8"/>
            <color indexed="81"/>
            <rFont val="Tahoma"/>
            <family val="2"/>
          </rPr>
          <t>Oscar Eduardo Medina Arango:
Cambiar por Dato Año Anterior.</t>
        </r>
      </text>
    </comment>
    <comment ref="B22" authorId="0">
      <text>
        <r>
          <rPr>
            <sz val="8"/>
            <color indexed="81"/>
            <rFont val="Tahoma"/>
            <family val="2"/>
          </rPr>
          <t>Oscar Eduardo Medina Arango:
Cambiar por Año Anterior.</t>
        </r>
      </text>
    </comment>
    <comment ref="B28" authorId="0">
      <text>
        <r>
          <rPr>
            <sz val="8"/>
            <color indexed="81"/>
            <rFont val="Tahoma"/>
            <family val="2"/>
          </rPr>
          <t>Oscar Eduardo Medina Arango:
Cambiar por Año Anterior.</t>
        </r>
      </text>
    </comment>
  </commentList>
</comments>
</file>

<file path=xl/comments8.xml><?xml version="1.0" encoding="utf-8"?>
<comments xmlns="http://schemas.openxmlformats.org/spreadsheetml/2006/main">
  <authors>
    <author>A satisfied Microsoft Office user</author>
  </authors>
  <commentList>
    <comment ref="B8" authorId="0">
      <text>
        <r>
          <rPr>
            <sz val="8"/>
            <color indexed="81"/>
            <rFont val="Tahoma"/>
            <family val="2"/>
          </rPr>
          <t>Cambiar cifra por año anterior.</t>
        </r>
      </text>
    </comment>
    <comment ref="B9" authorId="0">
      <text>
        <r>
          <rPr>
            <sz val="8"/>
            <color indexed="81"/>
            <rFont val="Tahoma"/>
            <family val="2"/>
          </rPr>
          <t>Cambiar cifra por año anterior.</t>
        </r>
      </text>
    </comment>
    <comment ref="B10" authorId="0">
      <text>
        <r>
          <rPr>
            <sz val="8"/>
            <color indexed="81"/>
            <rFont val="Tahoma"/>
            <family val="2"/>
          </rPr>
          <t>Cambiar cifra por año anterior.</t>
        </r>
      </text>
    </comment>
  </commentList>
</comments>
</file>

<file path=xl/comments9.xml><?xml version="1.0" encoding="utf-8"?>
<comments xmlns="http://schemas.openxmlformats.org/spreadsheetml/2006/main">
  <authors>
    <author>A satisfied Microsoft Office user</author>
  </authors>
  <commentList>
    <comment ref="C12" authorId="0">
      <text>
        <r>
          <rPr>
            <sz val="8"/>
            <color indexed="81"/>
            <rFont val="Tahoma"/>
            <family val="2"/>
          </rPr>
          <t xml:space="preserve">Cambiar por Cifra Año Anterior.
</t>
        </r>
      </text>
    </comment>
    <comment ref="C20" authorId="0">
      <text>
        <r>
          <rPr>
            <sz val="8"/>
            <color indexed="81"/>
            <rFont val="Tahoma"/>
            <family val="2"/>
          </rPr>
          <t>Cambiar cifra por año anterior.</t>
        </r>
      </text>
    </comment>
    <comment ref="C21" authorId="0">
      <text>
        <r>
          <rPr>
            <sz val="8"/>
            <color indexed="81"/>
            <rFont val="Tahoma"/>
            <family val="2"/>
          </rPr>
          <t>Cambiar cifra por año anterior.</t>
        </r>
      </text>
    </comment>
    <comment ref="C26" authorId="0">
      <text>
        <r>
          <rPr>
            <sz val="8"/>
            <color indexed="81"/>
            <rFont val="Tahoma"/>
            <family val="2"/>
          </rPr>
          <t xml:space="preserve">Cambiar cifra por año anteior.
</t>
        </r>
      </text>
    </comment>
    <comment ref="C27" authorId="0">
      <text>
        <r>
          <rPr>
            <sz val="8"/>
            <color indexed="81"/>
            <rFont val="Tahoma"/>
            <family val="2"/>
          </rPr>
          <t xml:space="preserve">Cambiar cifra por año anteior.
</t>
        </r>
      </text>
    </comment>
    <comment ref="C34" authorId="0">
      <text>
        <r>
          <rPr>
            <sz val="8"/>
            <color indexed="81"/>
            <rFont val="Tahoma"/>
            <family val="2"/>
          </rPr>
          <t>Cambiar Cifra por Año Anterior.</t>
        </r>
      </text>
    </comment>
    <comment ref="C35" authorId="0">
      <text>
        <r>
          <rPr>
            <sz val="8"/>
            <color indexed="81"/>
            <rFont val="Tahoma"/>
            <family val="2"/>
          </rPr>
          <t>Cambiar Cifra por Año anterior.</t>
        </r>
      </text>
    </comment>
  </commentList>
</comments>
</file>

<file path=xl/sharedStrings.xml><?xml version="1.0" encoding="utf-8"?>
<sst xmlns="http://schemas.openxmlformats.org/spreadsheetml/2006/main" count="1781" uniqueCount="1198">
  <si>
    <t>Balance General</t>
  </si>
  <si>
    <t>ACTIVOS</t>
  </si>
  <si>
    <t>Activo Corriente</t>
  </si>
  <si>
    <t>Efectivo</t>
  </si>
  <si>
    <t>Deudores Comerciales</t>
  </si>
  <si>
    <t>Inventarios</t>
  </si>
  <si>
    <t>Total Activos Corrientes</t>
  </si>
  <si>
    <t>Activo No Corriente</t>
  </si>
  <si>
    <t>Propiedad Planta y Eq.</t>
  </si>
  <si>
    <t>Depreciación Acumulada</t>
  </si>
  <si>
    <t>Total Activo No Corriente</t>
  </si>
  <si>
    <t>TOTAL ACTIVOS</t>
  </si>
  <si>
    <t>PASIVOS</t>
  </si>
  <si>
    <t>Pasivo Corriente</t>
  </si>
  <si>
    <t>Obligaciones Moneda Nacional</t>
  </si>
  <si>
    <t>Obligaciones Moneda Extranjera</t>
  </si>
  <si>
    <t>Proveedores</t>
  </si>
  <si>
    <t>Cuentas y Gastos por Pagar</t>
  </si>
  <si>
    <t>Cesantías Consolidadas</t>
  </si>
  <si>
    <t>Impuesto Sobre la Renta</t>
  </si>
  <si>
    <t>Total Pasivo Corriente</t>
  </si>
  <si>
    <t>Pasivos Largo Plazo</t>
  </si>
  <si>
    <t>Pensiones de Jubilación</t>
  </si>
  <si>
    <t>Total Pasivos a Largo Plazo</t>
  </si>
  <si>
    <t>TOTAL PASIVOS</t>
  </si>
  <si>
    <t>PATRIMONIO</t>
  </si>
  <si>
    <t>TOTAL PATRIMONIO</t>
  </si>
  <si>
    <t>TOTAL PASIVO + PATRIMONIO</t>
  </si>
  <si>
    <t>Estado de Resultados</t>
  </si>
  <si>
    <t>Ventas Netas</t>
  </si>
  <si>
    <t>Gasto Mercancía Vendida</t>
  </si>
  <si>
    <t>Utilidad Bruta</t>
  </si>
  <si>
    <t>GastosOperacionales:</t>
  </si>
  <si>
    <t>de Ventas</t>
  </si>
  <si>
    <t>de Administración</t>
  </si>
  <si>
    <t>Utilidad Operacional</t>
  </si>
  <si>
    <t>Financieros:</t>
  </si>
  <si>
    <t>Intereses Recibidos</t>
  </si>
  <si>
    <t>Intereses Pagados</t>
  </si>
  <si>
    <t>Diferencia en Cambio</t>
  </si>
  <si>
    <t>Total Financieros</t>
  </si>
  <si>
    <t>Otros Ingresos</t>
  </si>
  <si>
    <t>Otros Egresos</t>
  </si>
  <si>
    <t>Utilidad Antes de Impuestos</t>
  </si>
  <si>
    <t>Impuesto de Renta</t>
  </si>
  <si>
    <t>Utilidad Neta</t>
  </si>
  <si>
    <t>Estado de Resultados en Porcentaje</t>
  </si>
  <si>
    <t>Capital de Trabajo Operacional</t>
  </si>
  <si>
    <t>ACTIVOS CORRIENTES</t>
  </si>
  <si>
    <t>TOTAL ACTIVOS CORRIENTES</t>
  </si>
  <si>
    <t>PASIVOS OPERACIONALES</t>
  </si>
  <si>
    <t>TOTAL PASIVOS OPERACIONALES</t>
  </si>
  <si>
    <t>SIN IMPUESTOS</t>
  </si>
  <si>
    <t>CAPITAL DE TRABAJO OPERACIONAL</t>
  </si>
  <si>
    <t>Porcentaje Sobre Ventas</t>
  </si>
  <si>
    <t>VARIACIÓN ANUAL</t>
  </si>
  <si>
    <t>Incremento en Ventas</t>
  </si>
  <si>
    <t>Variación Neta:</t>
  </si>
  <si>
    <t>Por Variación en Ventas</t>
  </si>
  <si>
    <t>Por Cambio en Estructura</t>
  </si>
  <si>
    <t>Capital de Trabajo Operacional en Porcentaje</t>
  </si>
  <si>
    <t>ACTIVOS OPERACIONAL</t>
  </si>
  <si>
    <t>TOTAL ACTIVOS OPERACIONALES</t>
  </si>
  <si>
    <t>Inversión en Capital Fijo Operacional</t>
  </si>
  <si>
    <t>Propiedad, Planta y Equipo Bruto</t>
  </si>
  <si>
    <t>Total Neto</t>
  </si>
  <si>
    <t>Variación Neta</t>
  </si>
  <si>
    <t>+ Depreciación</t>
  </si>
  <si>
    <t>Inversión Bruta</t>
  </si>
  <si>
    <t>Propiedad, Planta y Equipo/Ventas</t>
  </si>
  <si>
    <t>Inversión Bruta/Ventas</t>
  </si>
  <si>
    <t>Depreciación/PPyEq. Bruto</t>
  </si>
  <si>
    <t>Cálculo de Impuestos</t>
  </si>
  <si>
    <t>Utilidad Operacional del ER</t>
  </si>
  <si>
    <t>+ Otros Ingresos Operacionales</t>
  </si>
  <si>
    <t>- Otros Egresos Operacionales</t>
  </si>
  <si>
    <t>RENOAI</t>
  </si>
  <si>
    <t>- Neto Financieros</t>
  </si>
  <si>
    <t>Utilidad en Venta de Inversiones</t>
  </si>
  <si>
    <t>BASE GRAVABLE</t>
  </si>
  <si>
    <t>RECONCILIACIÓN IMPUESTOS</t>
  </si>
  <si>
    <t>Impuestos por Pagar:</t>
  </si>
  <si>
    <t xml:space="preserve">   Saldo Inicial</t>
  </si>
  <si>
    <t xml:space="preserve">   Saldo Final</t>
  </si>
  <si>
    <t xml:space="preserve">  Variación</t>
  </si>
  <si>
    <t>Provisión de Impuestos:</t>
  </si>
  <si>
    <t xml:space="preserve">   Corriente</t>
  </si>
  <si>
    <t xml:space="preserve">   Diferida</t>
  </si>
  <si>
    <t xml:space="preserve">  Total Impuestos</t>
  </si>
  <si>
    <t>EGRESO POR IMPUESTOS</t>
  </si>
  <si>
    <t>Tasa Nominal</t>
  </si>
  <si>
    <t>TASA EFECTIVA DE TRIBUTACIÓN</t>
  </si>
  <si>
    <t>Causación</t>
  </si>
  <si>
    <t>Caja</t>
  </si>
  <si>
    <t>COMPOSICIÓN DEL IMPUESTO</t>
  </si>
  <si>
    <t>Impuesto Operacional</t>
  </si>
  <si>
    <t>Impuesto Egresos Financieros</t>
  </si>
  <si>
    <t>Total Impuestos</t>
  </si>
  <si>
    <t>Movimiento Pasivo Financiero</t>
  </si>
  <si>
    <t>Total Pasivo Largo Plazo</t>
  </si>
  <si>
    <t>Total Pasivos Financieros</t>
  </si>
  <si>
    <t>Composición Pasivos Financieros</t>
  </si>
  <si>
    <t>Movimiento Moneda Extranjera</t>
  </si>
  <si>
    <t>Variación en Cuantía</t>
  </si>
  <si>
    <t>Movimiento Neto Pasivos Financieros</t>
  </si>
  <si>
    <t>Movimiento en Moneda Nacional</t>
  </si>
  <si>
    <t>Movimiento en Moneda Extranjera</t>
  </si>
  <si>
    <t>Movimiento Bruto Pasivos Financieros</t>
  </si>
  <si>
    <t>Diferencia en Cambio a:</t>
  </si>
  <si>
    <t>Activos Fijos</t>
  </si>
  <si>
    <t>Tasas de Interés Antes de Impuestos</t>
  </si>
  <si>
    <t>Moneda Nacional</t>
  </si>
  <si>
    <t>Moneda Extranjera</t>
  </si>
  <si>
    <t>Devaluación</t>
  </si>
  <si>
    <t>Flujo de Caja Libre</t>
  </si>
  <si>
    <t>FLUJO DE CAJA LIBRE OPERACIONAL</t>
  </si>
  <si>
    <t>1. GENERACIÓN FONDOS OPERACIONALES:</t>
  </si>
  <si>
    <t>RENOAI (sin Ajustes)</t>
  </si>
  <si>
    <t>Depreciaciones y Amortizaciones</t>
  </si>
  <si>
    <t>Sub-Total Fondos Operacionales</t>
  </si>
  <si>
    <t>2. MOVIMIENTO DE KWOp.</t>
  </si>
  <si>
    <t>Sin Pasivo por Impuesto de Renta</t>
  </si>
  <si>
    <t>Flujo de Caja Operacional</t>
  </si>
  <si>
    <t>3. EGRESO POR IMPUESTO OPERACIONAL</t>
  </si>
  <si>
    <t>Impuesto Operacional Pagado</t>
  </si>
  <si>
    <t>Flujo de Caja Antes de Inversión en</t>
  </si>
  <si>
    <t xml:space="preserve">   Activos Fijos</t>
  </si>
  <si>
    <t>4. INVERSIÓN EN ACTIVOS FIJOS NETOS</t>
  </si>
  <si>
    <t>FLUJO DE CAJA FINANCIERO</t>
  </si>
  <si>
    <t>1. PASIVOS FINANCIEROS</t>
  </si>
  <si>
    <t>Egresos por Gastos Financieros</t>
  </si>
  <si>
    <t>Ahorro en Impuestos por Gastos Fcieros.</t>
  </si>
  <si>
    <t>Neto Gastos Financieros</t>
  </si>
  <si>
    <t>Variación Principal de Obligaciones</t>
  </si>
  <si>
    <t>Movimiento Pasivo Neto Financiero</t>
  </si>
  <si>
    <t>2. INVERSIONES TEMPORALES</t>
  </si>
  <si>
    <t>Inversiones Temporales</t>
  </si>
  <si>
    <t>3. PATRIMONIO</t>
  </si>
  <si>
    <t>Variación Capital y Superávit</t>
  </si>
  <si>
    <t>Pago de Dividendos</t>
  </si>
  <si>
    <t>Neto Patrimonio</t>
  </si>
  <si>
    <t>4. INVERSIONES EN SOCIEDADES</t>
  </si>
  <si>
    <t>Inversiones en Moneda Nacional</t>
  </si>
  <si>
    <t>Inversión Neta</t>
  </si>
  <si>
    <t>Análisis de Valor</t>
  </si>
  <si>
    <t>Capital Operacional Invertido</t>
  </si>
  <si>
    <t>Activos Fijos Operacionales</t>
  </si>
  <si>
    <t>Valorizaciones</t>
  </si>
  <si>
    <t>Total Capital Operacional</t>
  </si>
  <si>
    <t>Financiero</t>
  </si>
  <si>
    <t>Pasivo en Moneda Nacional</t>
  </si>
  <si>
    <t>Pasivo en Moneda Extranjera</t>
  </si>
  <si>
    <t>Sub-Total Financiero</t>
  </si>
  <si>
    <t>Accionistas</t>
  </si>
  <si>
    <t>Patrimonio</t>
  </si>
  <si>
    <t>Sub-Total Accionistas</t>
  </si>
  <si>
    <t>Total Capital Financiero</t>
  </si>
  <si>
    <t>Crecimiento Capital Financiero</t>
  </si>
  <si>
    <t>RENODI</t>
  </si>
  <si>
    <t>Capital Operacional Invertido Inicial</t>
  </si>
  <si>
    <t>Rentabilidad del Capital Invertido</t>
  </si>
  <si>
    <t>Creación de Valor</t>
  </si>
  <si>
    <t>Capital Invertido Inicial</t>
  </si>
  <si>
    <t>Crecimiento del RENODI</t>
  </si>
  <si>
    <t>Crecimiento del RENOAI</t>
  </si>
  <si>
    <t>WACC</t>
  </si>
  <si>
    <t>Spread de Rentabilidad</t>
  </si>
  <si>
    <t>Valor Económico Agregado</t>
  </si>
  <si>
    <t>Tasa de Impuestos en Efectivo</t>
  </si>
  <si>
    <t>Rentabilidad Antes de Impuestos</t>
  </si>
  <si>
    <t>Rotación del Capital Invertido</t>
  </si>
  <si>
    <t>Rotación del Capital de Trabajo</t>
  </si>
  <si>
    <t>Rotación del Capital Fijo</t>
  </si>
  <si>
    <t>Gasto Mercancía Vendida/Ventas</t>
  </si>
  <si>
    <t>Gastos/Ventas</t>
  </si>
  <si>
    <t>Margen Operacional</t>
  </si>
  <si>
    <t>Generadores de Valor</t>
  </si>
  <si>
    <t>Promedios</t>
  </si>
  <si>
    <t>Desviación</t>
  </si>
  <si>
    <t>Coef. Var.</t>
  </si>
  <si>
    <t>Inflación</t>
  </si>
  <si>
    <t>Crecimiento Nominal</t>
  </si>
  <si>
    <t>Crecimiento Real</t>
  </si>
  <si>
    <t>RENOAI/Ventas</t>
  </si>
  <si>
    <t>Capital de Trabajo Bruto/Ventas</t>
  </si>
  <si>
    <t>Capital de Trabajo Neto/Ventas</t>
  </si>
  <si>
    <t>Propiedad, Planta y Eq./Ventas</t>
  </si>
  <si>
    <t>Depreciación/P.P. y Eq Final</t>
  </si>
  <si>
    <t>Pasivo MN/Capital Invertido</t>
  </si>
  <si>
    <t>Pasivo MEx./Capital Invertido</t>
  </si>
  <si>
    <t>Patrimonio/Capital Invertido</t>
  </si>
  <si>
    <t>DTF</t>
  </si>
  <si>
    <t>Spread DFT</t>
  </si>
  <si>
    <t>Costo Pasivo MN después Im.</t>
  </si>
  <si>
    <t>Spread Moneda Extranjera</t>
  </si>
  <si>
    <t>Costo Pasivo MEx. después Im.</t>
  </si>
  <si>
    <t>Spread para Accionistas</t>
  </si>
  <si>
    <t>Retorno Esperado Patrimonio</t>
  </si>
  <si>
    <t>Crecimiento Utilidades Netas</t>
  </si>
  <si>
    <t>Crecimiento Dividendos</t>
  </si>
  <si>
    <t>Proyección de Cifras</t>
  </si>
  <si>
    <t>% Sensibilidad</t>
  </si>
  <si>
    <t>Ventas</t>
  </si>
  <si>
    <t>Impuestos</t>
  </si>
  <si>
    <t>Capital de Trabajo Op. Neto</t>
  </si>
  <si>
    <t>Inversión Incremental en Activos Fijos:</t>
  </si>
  <si>
    <t xml:space="preserve">  Saldo Inicial</t>
  </si>
  <si>
    <t xml:space="preserve">  Inversión Bruta</t>
  </si>
  <si>
    <t xml:space="preserve">  Saldo Final</t>
  </si>
  <si>
    <t xml:space="preserve">  Depreciación Anual</t>
  </si>
  <si>
    <t xml:space="preserve">  Inversión Incremental Efectiva</t>
  </si>
  <si>
    <t xml:space="preserve">  Depreciación Acumulada</t>
  </si>
  <si>
    <t>Proyección WACC</t>
  </si>
  <si>
    <t>Tasa de Impuestos</t>
  </si>
  <si>
    <t>Costo Moneda Nacional:</t>
  </si>
  <si>
    <t>Spread Moneda Nacional (DTF + xx%)</t>
  </si>
  <si>
    <t>Puntos por encima Inf% para DTF</t>
  </si>
  <si>
    <t>Costo Efectivo Pasivo MN</t>
  </si>
  <si>
    <t>Costo Moneda Extranjera:</t>
  </si>
  <si>
    <t>Inflación Externa</t>
  </si>
  <si>
    <t>Costo Moneda Extranjera</t>
  </si>
  <si>
    <t>Costo Pasivo MEx. antes de Imp.</t>
  </si>
  <si>
    <t>Retorno Esperado Accionistas:</t>
  </si>
  <si>
    <t>Puntos Reales sobre Inflación</t>
  </si>
  <si>
    <t>Retorno Efectivo Esperado</t>
  </si>
  <si>
    <t>WACC Período Proyección:</t>
  </si>
  <si>
    <t>Inversión</t>
  </si>
  <si>
    <t>Rendimiento de la Inversión</t>
  </si>
  <si>
    <t>Recuperación de Inversión</t>
  </si>
  <si>
    <t>Flujo Neto Esperado</t>
  </si>
  <si>
    <t>WACC Período de Proyección</t>
  </si>
  <si>
    <t>Análisis de Valor Proyectado</t>
  </si>
  <si>
    <t>Capital Operacional Invertido Final</t>
  </si>
  <si>
    <t>Pasivo Moneda Nacional</t>
  </si>
  <si>
    <t>Pasivo Moneda Extranjera</t>
  </si>
  <si>
    <t>Total Financiero</t>
  </si>
  <si>
    <t>Tasa Crecimiento Capital Invertido</t>
  </si>
  <si>
    <t>Egresos Financieros Netos</t>
  </si>
  <si>
    <t>Utilidad Neta Proyectada</t>
  </si>
  <si>
    <t>Incremento de Capital Requerido</t>
  </si>
  <si>
    <t>Dividendos Máximos a Repartir</t>
  </si>
  <si>
    <t>Proyección FCL</t>
  </si>
  <si>
    <t>1. Generación Fondos Operacionales</t>
  </si>
  <si>
    <t>+ Depreciación y Amortizaciones</t>
  </si>
  <si>
    <t>2.  Inversion en Capital de Trabajo</t>
  </si>
  <si>
    <t>3.  Impuestos Operacionales</t>
  </si>
  <si>
    <t>4.  Inversión en Capital Fijo</t>
  </si>
  <si>
    <t>Egresos por Gastos Financieros MN</t>
  </si>
  <si>
    <t>Egresos por Gastos Financieros MEx.</t>
  </si>
  <si>
    <t xml:space="preserve">    En Moneda Nacional</t>
  </si>
  <si>
    <t xml:space="preserve">    En Moneda Extranjera</t>
  </si>
  <si>
    <t>Política de Dividendos</t>
  </si>
  <si>
    <t>Valoraciones</t>
  </si>
  <si>
    <t>VALORACIÓN PATRIMONIAL</t>
  </si>
  <si>
    <t>FCL</t>
  </si>
  <si>
    <t>Crecimiento del FCL</t>
  </si>
  <si>
    <t>Crecimiento Ponderado FCL</t>
  </si>
  <si>
    <t>WACC cada Período</t>
  </si>
  <si>
    <t>WACC Ponderado</t>
  </si>
  <si>
    <t>Tasa de Crecimiento</t>
  </si>
  <si>
    <t>VPN del FCL @ WACC  Ponderado</t>
  </si>
  <si>
    <t>VPN del FCL @ WACC  c/Período</t>
  </si>
  <si>
    <t>Valor Terminal (WACC Ponderado)</t>
  </si>
  <si>
    <t>VPN del Valor Terminal @ WACC Ponderado</t>
  </si>
  <si>
    <t>Valor Terminal (WACC c/Período)</t>
  </si>
  <si>
    <t>VPN del Valor Terminal @ WACC c/Período</t>
  </si>
  <si>
    <t>Valor de la Operación @ WACC Ponderado</t>
  </si>
  <si>
    <t>Valor de la Operación @ WACC c/Período</t>
  </si>
  <si>
    <t>-  Pasivos Financieros</t>
  </si>
  <si>
    <t>Valor de la Empresa @ WACC Ponderado</t>
  </si>
  <si>
    <t>Valor de la Empresa @ WACC c/Período</t>
  </si>
  <si>
    <t>VALORACIÓN POR EVA</t>
  </si>
  <si>
    <t>Costo de Capital</t>
  </si>
  <si>
    <t>EVA del Año</t>
  </si>
  <si>
    <t>VPN del EVA @ WACC  Ponderado</t>
  </si>
  <si>
    <t>VPN del EVA @ WACC  c/Período</t>
  </si>
  <si>
    <t>Capital Inicial Invertido</t>
  </si>
  <si>
    <t>Porcentaje Cambio Estructura</t>
  </si>
  <si>
    <t>Tabla Comparación</t>
  </si>
  <si>
    <t>NPV of FCF</t>
  </si>
  <si>
    <t>PV of Terminal Value</t>
  </si>
  <si>
    <t>Total Value of Co.</t>
  </si>
  <si>
    <t>% of FCF</t>
  </si>
  <si>
    <t>% of TValue</t>
  </si>
  <si>
    <t>g = 0%</t>
  </si>
  <si>
    <t>Análisis de Riesgo</t>
  </si>
  <si>
    <t>Pi</t>
  </si>
  <si>
    <t>Valor
Cía.</t>
  </si>
  <si>
    <t>Best</t>
  </si>
  <si>
    <t>Base</t>
  </si>
  <si>
    <t>Worst</t>
  </si>
  <si>
    <t>FCL Esperado</t>
  </si>
  <si>
    <t>VPN Esperado</t>
  </si>
  <si>
    <t>Desviación Estándar</t>
  </si>
  <si>
    <t>VPN Desviación</t>
  </si>
  <si>
    <t>z</t>
  </si>
  <si>
    <t>Probabilidad NPV &lt; 0</t>
  </si>
  <si>
    <t>Sensibilidad WACC</t>
  </si>
  <si>
    <t>g</t>
  </si>
  <si>
    <t>Valoración/Vr. Libros</t>
  </si>
  <si>
    <t>Veces EBITDA</t>
  </si>
  <si>
    <t>Vr. Acción/UPA</t>
  </si>
  <si>
    <t>Inversiones Negociables</t>
  </si>
  <si>
    <t>Gastos Pagados x Anticipado</t>
  </si>
  <si>
    <t>Otros Activos</t>
  </si>
  <si>
    <t>Mill COP</t>
  </si>
  <si>
    <t>Derechos en Fideicomiso</t>
  </si>
  <si>
    <t>Pasivos Estimados</t>
  </si>
  <si>
    <t>Cuentas por Pagar</t>
  </si>
  <si>
    <t>Bonos en Circulación</t>
  </si>
  <si>
    <t>Obligaciones Laborales</t>
  </si>
  <si>
    <t>INDICADORES</t>
  </si>
  <si>
    <t>PERIODOS ANALIZADOS</t>
  </si>
  <si>
    <t>Liquidez</t>
  </si>
  <si>
    <t>Razón Corriente</t>
  </si>
  <si>
    <t>Prueba Ácida</t>
  </si>
  <si>
    <t>Capital de Trabajo Neto</t>
  </si>
  <si>
    <t>Crecimiento Sostenible</t>
  </si>
  <si>
    <t>N/A</t>
  </si>
  <si>
    <t>Actividad</t>
  </si>
  <si>
    <t>Rotación Inventarios (Veces)</t>
  </si>
  <si>
    <t>Días Inventarios</t>
  </si>
  <si>
    <t>Rotación Capital de Trabajo (Veces)</t>
  </si>
  <si>
    <t>Días  Capital de Trabajo</t>
  </si>
  <si>
    <t>Rotación Activos Fijos</t>
  </si>
  <si>
    <t>Rotación Activos Totales</t>
  </si>
  <si>
    <t>Rotación Activos Totales - Sin Valorizaciones</t>
  </si>
  <si>
    <t>Endeudamiento</t>
  </si>
  <si>
    <t>Nivel de Endeudamiento</t>
  </si>
  <si>
    <t>Concentración del Endeudamiento a Corto Plazo</t>
  </si>
  <si>
    <t>Cubrimiento de Intereses</t>
  </si>
  <si>
    <t>Apalancamiento a Corto Plazo</t>
  </si>
  <si>
    <t>Apalancamiento Total</t>
  </si>
  <si>
    <t>Apalancamiento Financiero Total</t>
  </si>
  <si>
    <t>Rentabilidad</t>
  </si>
  <si>
    <t>Margen Bruto</t>
  </si>
  <si>
    <t>Margen Neto</t>
  </si>
  <si>
    <t>ROI</t>
  </si>
  <si>
    <t>ROE</t>
  </si>
  <si>
    <t>ROI - sin Valorizaciones</t>
  </si>
  <si>
    <t>ROE - sin Valorizaciones</t>
  </si>
  <si>
    <t>Con base en EBITDA</t>
  </si>
  <si>
    <t>EBITDA</t>
  </si>
  <si>
    <t>EBITDA/Ventas</t>
  </si>
  <si>
    <t>EBITDA/Intereses</t>
  </si>
  <si>
    <t>EBITDA/Deuda Financiera</t>
  </si>
  <si>
    <t>5. OTROS MOVIMIENTOS</t>
  </si>
  <si>
    <t>depreciacion 2008</t>
  </si>
  <si>
    <t>activo fijo neto 2008</t>
  </si>
  <si>
    <t>depreciacion real</t>
  </si>
  <si>
    <t>Depreciaciones</t>
  </si>
  <si>
    <t>Amortizaciones</t>
  </si>
  <si>
    <t>Bonos</t>
  </si>
  <si>
    <t>Capital Pagado</t>
  </si>
  <si>
    <t>Superávit de Capital</t>
  </si>
  <si>
    <t>Reserva Legal</t>
  </si>
  <si>
    <t>Revalorizacion del Patrimonio</t>
  </si>
  <si>
    <t>Utilidades Retenidas</t>
  </si>
  <si>
    <t>Utilidad del Período</t>
  </si>
  <si>
    <t>capital y superavit 2008</t>
  </si>
  <si>
    <t>Patrimonio 2008</t>
  </si>
  <si>
    <t>Ingresos Financieros</t>
  </si>
  <si>
    <t>Control</t>
  </si>
  <si>
    <t>Endeudamiento Financiero</t>
  </si>
  <si>
    <t>Ciclo de Caja</t>
  </si>
  <si>
    <t>rf</t>
  </si>
  <si>
    <t>E(rm)</t>
  </si>
  <si>
    <t>Beta</t>
  </si>
  <si>
    <t>ko</t>
  </si>
  <si>
    <t>ENKA de Colombia S.A.</t>
  </si>
  <si>
    <t>CAPM</t>
  </si>
  <si>
    <t>Rf</t>
  </si>
  <si>
    <t>Rendimiento del Mercado</t>
  </si>
  <si>
    <t>Prima de Riesgo de Mercado</t>
  </si>
  <si>
    <t>Beta Desapalancada</t>
  </si>
  <si>
    <t>Riesgo País - EMBI</t>
  </si>
  <si>
    <t>Beta Apalancada</t>
  </si>
  <si>
    <t>Pasivo + Patrimonio</t>
  </si>
  <si>
    <t>% Pasivo</t>
  </si>
  <si>
    <t>% Patrimonio</t>
  </si>
  <si>
    <t>Ke</t>
  </si>
  <si>
    <t>Costo Deuda Despues de Imp</t>
  </si>
  <si>
    <t>Updated on</t>
  </si>
  <si>
    <t>Customixed Geometric risk premium estimator</t>
  </si>
  <si>
    <t>What is your riskfree rate?</t>
  </si>
  <si>
    <t>LT</t>
    <phoneticPr fontId="14" type="noConversion"/>
  </si>
  <si>
    <t>Estimates of risk premiums from 1928, over the last 40 years and over the last 10 years</t>
  </si>
  <si>
    <t>Enter your starting year</t>
  </si>
  <si>
    <t>are provided at the bottom of this table.</t>
  </si>
  <si>
    <t>Value of stocks in starting year:</t>
  </si>
  <si>
    <t>Value of T.Bills in starting year:</t>
    <phoneticPr fontId="14" type="noConversion"/>
  </si>
  <si>
    <t>Value of T.bonds in starting year:</t>
  </si>
  <si>
    <t>Estimate of risk premium based on your inputs:</t>
  </si>
  <si>
    <t>Annual Returns on Investments in</t>
  </si>
  <si>
    <t>Compounded Value of $ 100</t>
  </si>
  <si>
    <t>Year</t>
  </si>
  <si>
    <t>S&amp;P 500</t>
  </si>
  <si>
    <t>3-month T.Bill</t>
  </si>
  <si>
    <t>10-year T. Bond</t>
  </si>
  <si>
    <t>Stocks</t>
  </si>
  <si>
    <t>T.Bills</t>
  </si>
  <si>
    <t>T.Bonds</t>
  </si>
  <si>
    <t>Stocks - Bills</t>
  </si>
  <si>
    <t>Stocks - Bonds</t>
  </si>
  <si>
    <t>Historical risk premium</t>
  </si>
  <si>
    <t>Risk Premium</t>
  </si>
  <si>
    <t>Standard Error</t>
    <phoneticPr fontId="14" type="noConversion"/>
  </si>
  <si>
    <t>Arithmetic Average</t>
  </si>
  <si>
    <t>Stocks - T.Bills</t>
  </si>
  <si>
    <t>Stocks - T.Bonds</t>
  </si>
  <si>
    <t>1928-2013</t>
  </si>
  <si>
    <t>1964-2013</t>
  </si>
  <si>
    <t>2004-2013</t>
  </si>
  <si>
    <t>Geometric Average</t>
  </si>
  <si>
    <t>E(Rm)</t>
  </si>
  <si>
    <t>RF</t>
  </si>
  <si>
    <t xml:space="preserve">www.stern.nyu.edu/~adamodar/pc/datasets/histretSP.xls‎
</t>
  </si>
  <si>
    <t>US Treasury Bonds Rates</t>
  </si>
  <si>
    <t>Maturity</t>
  </si>
  <si>
    <t>Yield</t>
  </si>
  <si>
    <t>Yesterday</t>
  </si>
  <si>
    <t>Last Week</t>
  </si>
  <si>
    <t>Last Month</t>
  </si>
  <si>
    <t>3 Month</t>
  </si>
  <si>
    <t>6 Month</t>
  </si>
  <si>
    <t>2 Year</t>
  </si>
  <si>
    <t>0.29</t>
  </si>
  <si>
    <t>0.43</t>
  </si>
  <si>
    <t>3 Year</t>
  </si>
  <si>
    <t>0.63</t>
  </si>
  <si>
    <t>0.66</t>
  </si>
  <si>
    <t>0.67</t>
  </si>
  <si>
    <t>0.83</t>
  </si>
  <si>
    <t>5 Year</t>
  </si>
  <si>
    <t>10 Year</t>
  </si>
  <si>
    <t>30 Year</t>
  </si>
  <si>
    <t>Info tomada</t>
  </si>
  <si>
    <t>Betas by Sector</t>
  </si>
  <si>
    <r>
      <t>Data Used</t>
    </r>
    <r>
      <rPr>
        <sz val="12"/>
        <rFont val="Arial"/>
        <family val="2"/>
      </rPr>
      <t>: S&amp;P Capital IQ, Bloomberg and the Fed (US companies)</t>
    </r>
  </si>
  <si>
    <r>
      <t>Date of Analysis</t>
    </r>
    <r>
      <rPr>
        <sz val="12"/>
        <rFont val="Arial"/>
        <family val="2"/>
      </rPr>
      <t>: Data used is as of January 2014</t>
    </r>
  </si>
  <si>
    <t>Download as an excel file instead: http://www.stern.nyu.edu/~adamodar/pc/datasets/betas.xls</t>
  </si>
  <si>
    <t>can be obtained by clicking here</t>
  </si>
  <si>
    <t>on which companies are included in each industry</t>
  </si>
  <si>
    <t>Industry Name</t>
  </si>
  <si>
    <t>Number of firms</t>
  </si>
  <si>
    <t>D/E Ratio</t>
  </si>
  <si>
    <t>Tax rate</t>
  </si>
  <si>
    <t>Unlevered beta</t>
  </si>
  <si>
    <t>Cash/Firm value</t>
  </si>
  <si>
    <t>Unlevered beta corrected for cash</t>
  </si>
  <si>
    <t>Advertising</t>
  </si>
  <si>
    <t>1.03</t>
  </si>
  <si>
    <t>52.57%</t>
  </si>
  <si>
    <t>6.04%</t>
  </si>
  <si>
    <t>0.69</t>
  </si>
  <si>
    <t>5.91%</t>
  </si>
  <si>
    <t>0.73</t>
  </si>
  <si>
    <t>Aerospace/Defense</t>
  </si>
  <si>
    <t>1.01</t>
  </si>
  <si>
    <t>18.99%</t>
  </si>
  <si>
    <t>15.03%</t>
  </si>
  <si>
    <t>0.87</t>
  </si>
  <si>
    <t>6.24%</t>
  </si>
  <si>
    <t>0.92</t>
  </si>
  <si>
    <t>Air Transport</t>
  </si>
  <si>
    <t>0.94</t>
  </si>
  <si>
    <t>109.48%</t>
  </si>
  <si>
    <t>13.79%</t>
  </si>
  <si>
    <t>0.48</t>
  </si>
  <si>
    <t>6.92%</t>
  </si>
  <si>
    <t>0.52</t>
  </si>
  <si>
    <t>Apparel</t>
  </si>
  <si>
    <t>1.15</t>
  </si>
  <si>
    <t>21.33%</t>
  </si>
  <si>
    <t>10.29%</t>
  </si>
  <si>
    <t>0.96</t>
  </si>
  <si>
    <t>2.99%</t>
  </si>
  <si>
    <t>0.99</t>
  </si>
  <si>
    <t>Auto &amp; Truck</t>
  </si>
  <si>
    <t>1.28</t>
  </si>
  <si>
    <t>97.56%</t>
  </si>
  <si>
    <t>4.71%</t>
  </si>
  <si>
    <t>8.48%</t>
  </si>
  <si>
    <t>0.72</t>
  </si>
  <si>
    <t>Auto Parts</t>
  </si>
  <si>
    <t>1.46</t>
  </si>
  <si>
    <t>32.00%</t>
  </si>
  <si>
    <t>9.43%</t>
  </si>
  <si>
    <t>1.13</t>
  </si>
  <si>
    <t>8.04%</t>
  </si>
  <si>
    <t>1.23</t>
  </si>
  <si>
    <t>Bank</t>
  </si>
  <si>
    <t>84.19%</t>
  </si>
  <si>
    <t>22.17%</t>
  </si>
  <si>
    <t>10.94%</t>
  </si>
  <si>
    <t>0.49</t>
  </si>
  <si>
    <t>Banks (Regional)</t>
  </si>
  <si>
    <t>0.58</t>
  </si>
  <si>
    <t>72.00%</t>
  </si>
  <si>
    <t>18.00%</t>
  </si>
  <si>
    <t>0.37</t>
  </si>
  <si>
    <t>13.80%</t>
  </si>
  <si>
    <t>Beverage</t>
  </si>
  <si>
    <t>1.42</t>
  </si>
  <si>
    <t>22.16%</t>
  </si>
  <si>
    <t>3.95%</t>
  </si>
  <si>
    <t>1.17</t>
  </si>
  <si>
    <t>5.06%</t>
  </si>
  <si>
    <t>1.24</t>
  </si>
  <si>
    <t>Beverage (Alcoholic)</t>
  </si>
  <si>
    <t>1.14</t>
  </si>
  <si>
    <t>27.56%</t>
  </si>
  <si>
    <t>10.72%</t>
  </si>
  <si>
    <t>0.91</t>
  </si>
  <si>
    <t>1.38%</t>
  </si>
  <si>
    <t>0.93</t>
  </si>
  <si>
    <t>Biotechnology</t>
  </si>
  <si>
    <t>1.12</t>
  </si>
  <si>
    <t>9.15%</t>
  </si>
  <si>
    <t>1.13%</t>
  </si>
  <si>
    <t>1.02</t>
  </si>
  <si>
    <t>4.39%</t>
  </si>
  <si>
    <t>1.07</t>
  </si>
  <si>
    <t>Broadcasting</t>
  </si>
  <si>
    <t>1.53</t>
  </si>
  <si>
    <t>48.49%</t>
  </si>
  <si>
    <t>13.21%</t>
  </si>
  <si>
    <t>1.08</t>
  </si>
  <si>
    <t>2.31%</t>
  </si>
  <si>
    <t>1.10</t>
  </si>
  <si>
    <t>Brokerage &amp; Investment Banking</t>
  </si>
  <si>
    <t>1.11</t>
  </si>
  <si>
    <t>400.56%</t>
  </si>
  <si>
    <t>13.44%</t>
  </si>
  <si>
    <t>0.25</t>
  </si>
  <si>
    <t>24.39%</t>
  </si>
  <si>
    <t>0.33</t>
  </si>
  <si>
    <t>Building Materials</t>
  </si>
  <si>
    <t>1.27</t>
  </si>
  <si>
    <t>30.05%</t>
  </si>
  <si>
    <t>16.33%</t>
  </si>
  <si>
    <t>5.04%</t>
  </si>
  <si>
    <t>Business &amp; Consumer Services</t>
  </si>
  <si>
    <t>0.90</t>
  </si>
  <si>
    <t>29.23%</t>
  </si>
  <si>
    <t>13.41%</t>
  </si>
  <si>
    <t>4.33%</t>
  </si>
  <si>
    <t>0.75</t>
  </si>
  <si>
    <t>Cable TV</t>
  </si>
  <si>
    <t>0.97</t>
  </si>
  <si>
    <t>49.23%</t>
  </si>
  <si>
    <t>15.00%</t>
  </si>
  <si>
    <t>2.58%</t>
  </si>
  <si>
    <t>0.71</t>
  </si>
  <si>
    <t>Chemical (Basic)</t>
  </si>
  <si>
    <t>29.67%</t>
  </si>
  <si>
    <t>6.27%</t>
  </si>
  <si>
    <t>0.79</t>
  </si>
  <si>
    <t>7.19%</t>
  </si>
  <si>
    <t>0.85</t>
  </si>
  <si>
    <t>33.39%</t>
  </si>
  <si>
    <t>25.03%</t>
  </si>
  <si>
    <t>6.82%</t>
  </si>
  <si>
    <t>1.22</t>
  </si>
  <si>
    <t>Chemical (Specialty)</t>
  </si>
  <si>
    <t>16.30%</t>
  </si>
  <si>
    <t>12.74%</t>
  </si>
  <si>
    <t>0.89</t>
  </si>
  <si>
    <t>6.25%</t>
  </si>
  <si>
    <t>0.95</t>
  </si>
  <si>
    <t>Coal &amp; Related Energy</t>
  </si>
  <si>
    <t>86.63%</t>
  </si>
  <si>
    <t>2.44%</t>
  </si>
  <si>
    <t>5.86%</t>
  </si>
  <si>
    <t>Computer Services</t>
  </si>
  <si>
    <t>20.48%</t>
  </si>
  <si>
    <t>9.94%</t>
  </si>
  <si>
    <t>0.78</t>
  </si>
  <si>
    <t>5.48%</t>
  </si>
  <si>
    <t>0.82</t>
  </si>
  <si>
    <t>Computer Software</t>
  </si>
  <si>
    <t>8.68%</t>
  </si>
  <si>
    <t>6.16%</t>
  </si>
  <si>
    <t>5.50%</t>
  </si>
  <si>
    <t>1.04</t>
  </si>
  <si>
    <t>Computers/Peripherals</t>
  </si>
  <si>
    <t>8.83%</t>
  </si>
  <si>
    <t>5.66%</t>
  </si>
  <si>
    <t>1.06</t>
  </si>
  <si>
    <t>5.92%</t>
  </si>
  <si>
    <t>Construction</t>
  </si>
  <si>
    <t>30.47%</t>
  </si>
  <si>
    <t>9.82%</t>
  </si>
  <si>
    <t>1.89%</t>
  </si>
  <si>
    <t>0.77</t>
  </si>
  <si>
    <t>Diversified</t>
  </si>
  <si>
    <t>94.47%</t>
  </si>
  <si>
    <t>12.60%</t>
  </si>
  <si>
    <t>0.42</t>
  </si>
  <si>
    <t>2.27%</t>
  </si>
  <si>
    <t>Educational Services</t>
  </si>
  <si>
    <t>39.03%</t>
  </si>
  <si>
    <t>11.84%</t>
  </si>
  <si>
    <t>11.98%</t>
  </si>
  <si>
    <t>Electrical Equipment</t>
  </si>
  <si>
    <t>13.74%</t>
  </si>
  <si>
    <t>7.49%</t>
  </si>
  <si>
    <t>5.37%</t>
  </si>
  <si>
    <t>Electronics</t>
  </si>
  <si>
    <t>16.01%</t>
  </si>
  <si>
    <t>7.52%</t>
  </si>
  <si>
    <t>10.69%</t>
  </si>
  <si>
    <t>1.00</t>
  </si>
  <si>
    <t>Electronics (Consumer &amp; Office)</t>
  </si>
  <si>
    <t>1.37</t>
  </si>
  <si>
    <t>40.30%</t>
  </si>
  <si>
    <t>8.97%</t>
  </si>
  <si>
    <t>6.97%</t>
  </si>
  <si>
    <t>Engineering</t>
  </si>
  <si>
    <t>1.20</t>
  </si>
  <si>
    <t>22.72%</t>
  </si>
  <si>
    <t>14.86%</t>
  </si>
  <si>
    <t>11.21%</t>
  </si>
  <si>
    <t>Entertainment</t>
  </si>
  <si>
    <t>1.19</t>
  </si>
  <si>
    <t>25.98%</t>
  </si>
  <si>
    <t>4.85%</t>
  </si>
  <si>
    <t>4.05%</t>
  </si>
  <si>
    <t>Environmental &amp; Waste Services</t>
  </si>
  <si>
    <t>43.59%</t>
  </si>
  <si>
    <t>5.02%</t>
  </si>
  <si>
    <t>0.80</t>
  </si>
  <si>
    <t>1.42%</t>
  </si>
  <si>
    <t>0.81</t>
  </si>
  <si>
    <t>Farming/Agriculture</t>
  </si>
  <si>
    <t>41.12%</t>
  </si>
  <si>
    <t>9.01%</t>
  </si>
  <si>
    <t>7.63%</t>
  </si>
  <si>
    <t>Financial Svcs.</t>
  </si>
  <si>
    <t>102.12%</t>
  </si>
  <si>
    <t>18.37%</t>
  </si>
  <si>
    <t>0.54</t>
  </si>
  <si>
    <t>7.22%</t>
  </si>
  <si>
    <t>Financial Svcs. (Non-bank &amp; Insurance)</t>
  </si>
  <si>
    <t>1.05</t>
  </si>
  <si>
    <t>331.47%</t>
  </si>
  <si>
    <t>9.77%</t>
  </si>
  <si>
    <t>0.26</t>
  </si>
  <si>
    <t>7.85%</t>
  </si>
  <si>
    <t>Food Processing</t>
  </si>
  <si>
    <t>27.92%</t>
  </si>
  <si>
    <t>14.00%</t>
  </si>
  <si>
    <t>3.10%</t>
  </si>
  <si>
    <t>Food Wholesalers</t>
  </si>
  <si>
    <t>1.18</t>
  </si>
  <si>
    <t>16.79%</t>
  </si>
  <si>
    <t>1.71%</t>
  </si>
  <si>
    <t>Furn/Home Furnishings</t>
  </si>
  <si>
    <t>27.66%</t>
  </si>
  <si>
    <t>10.03%</t>
  </si>
  <si>
    <t>3.88%</t>
  </si>
  <si>
    <t>Healthcare Equipment</t>
  </si>
  <si>
    <t>17.26%</t>
  </si>
  <si>
    <t>5.80%</t>
  </si>
  <si>
    <t>5.20%</t>
  </si>
  <si>
    <t>Healthcare Facilities</t>
  </si>
  <si>
    <t>120.90%</t>
  </si>
  <si>
    <t>13.49%</t>
  </si>
  <si>
    <t>0.55</t>
  </si>
  <si>
    <t>1.22%</t>
  </si>
  <si>
    <t>0.56</t>
  </si>
  <si>
    <t>Healthcare Products</t>
  </si>
  <si>
    <t>19.80%</t>
  </si>
  <si>
    <t>8.76%</t>
  </si>
  <si>
    <t>4.28%</t>
  </si>
  <si>
    <t>Healthcare Services</t>
  </si>
  <si>
    <t>27.93%</t>
  </si>
  <si>
    <t>13.77%</t>
  </si>
  <si>
    <t>6.54%</t>
  </si>
  <si>
    <t>Heathcare Information and Technology</t>
  </si>
  <si>
    <t>14.52%</t>
  </si>
  <si>
    <t>6.09%</t>
  </si>
  <si>
    <t>4.88%</t>
  </si>
  <si>
    <t>Heavy Construction</t>
  </si>
  <si>
    <t>1.67</t>
  </si>
  <si>
    <t>56.30%</t>
  </si>
  <si>
    <t>19.40%</t>
  </si>
  <si>
    <t>5.54%</t>
  </si>
  <si>
    <t>Homebuilding</t>
  </si>
  <si>
    <t>1.71</t>
  </si>
  <si>
    <t>56.61%</t>
  </si>
  <si>
    <t>6.68%</t>
  </si>
  <si>
    <t>Hotel/Gaming</t>
  </si>
  <si>
    <t>52.33%</t>
  </si>
  <si>
    <t>10.48%</t>
  </si>
  <si>
    <t>3.84%</t>
  </si>
  <si>
    <t>Household Products</t>
  </si>
  <si>
    <t>19.33%</t>
  </si>
  <si>
    <t>9.51%</t>
  </si>
  <si>
    <t>0.86</t>
  </si>
  <si>
    <t>3.52%</t>
  </si>
  <si>
    <t>Information Services</t>
  </si>
  <si>
    <t>0.84</t>
  </si>
  <si>
    <t>10.63%</t>
  </si>
  <si>
    <t>17.05%</t>
  </si>
  <si>
    <t>Insurance (General)</t>
  </si>
  <si>
    <t>46.14%</t>
  </si>
  <si>
    <t>19.19%</t>
  </si>
  <si>
    <t>Insurance (Life)</t>
  </si>
  <si>
    <t>1.21</t>
  </si>
  <si>
    <t>66.67%</t>
  </si>
  <si>
    <t>17.82%</t>
  </si>
  <si>
    <t>10.41%</t>
  </si>
  <si>
    <t>Insurance (Prop/Cas.)</t>
  </si>
  <si>
    <t>0.76</t>
  </si>
  <si>
    <t>34.98%</t>
  </si>
  <si>
    <t>19.42%</t>
  </si>
  <si>
    <t>0.60</t>
  </si>
  <si>
    <t>5.47%</t>
  </si>
  <si>
    <t>Internet software and services</t>
  </si>
  <si>
    <t>4.16%</t>
  </si>
  <si>
    <t>4.59%</t>
  </si>
  <si>
    <t>3.98%</t>
  </si>
  <si>
    <t>Investment Co.</t>
  </si>
  <si>
    <t>104.40%</t>
  </si>
  <si>
    <t>6.62%</t>
  </si>
  <si>
    <t>0.41</t>
  </si>
  <si>
    <t>11.38%</t>
  </si>
  <si>
    <t>0.47</t>
  </si>
  <si>
    <t>Machinery</t>
  </si>
  <si>
    <t>17.50%</t>
  </si>
  <si>
    <t>13.02%</t>
  </si>
  <si>
    <t>5.90%</t>
  </si>
  <si>
    <t>Metals &amp; Mining</t>
  </si>
  <si>
    <t>1.26</t>
  </si>
  <si>
    <t>48.21%</t>
  </si>
  <si>
    <t>1.90%</t>
  </si>
  <si>
    <t>Office Equipment &amp; Services</t>
  </si>
  <si>
    <t>55.08%</t>
  </si>
  <si>
    <t>12.81%</t>
  </si>
  <si>
    <t>5.45%</t>
  </si>
  <si>
    <t>Oil/Gas (Integrated)</t>
  </si>
  <si>
    <t>8.54%</t>
  </si>
  <si>
    <t>20.55%</t>
  </si>
  <si>
    <t>3.09%</t>
  </si>
  <si>
    <t>Oil/Gas (Production and Exploration)</t>
  </si>
  <si>
    <t>156.15%</t>
  </si>
  <si>
    <t>6.29%</t>
  </si>
  <si>
    <t>0.50</t>
  </si>
  <si>
    <t>1.76%</t>
  </si>
  <si>
    <t>0.51</t>
  </si>
  <si>
    <t>Oil/Gas Distribution</t>
  </si>
  <si>
    <t>51.93%</t>
  </si>
  <si>
    <t>4.18%</t>
  </si>
  <si>
    <t>1.12%</t>
  </si>
  <si>
    <t>Oilfield Svcs/Equip.</t>
  </si>
  <si>
    <t>1.30</t>
  </si>
  <si>
    <t>20.29%</t>
  </si>
  <si>
    <t>10.73%</t>
  </si>
  <si>
    <t>5.69%</t>
  </si>
  <si>
    <t>Packaging &amp; Container</t>
  </si>
  <si>
    <t>49.19%</t>
  </si>
  <si>
    <t>21.28%</t>
  </si>
  <si>
    <t>3.31%</t>
  </si>
  <si>
    <t>Paper/Forest Products</t>
  </si>
  <si>
    <t>1.34</t>
  </si>
  <si>
    <t>51.99%</t>
  </si>
  <si>
    <t>8.20%</t>
  </si>
  <si>
    <t>3.12%</t>
  </si>
  <si>
    <t>Pharma &amp; Drugs</t>
  </si>
  <si>
    <t>13.87%</t>
  </si>
  <si>
    <t>4.30%</t>
  </si>
  <si>
    <t>5.15%</t>
  </si>
  <si>
    <t>Power</t>
  </si>
  <si>
    <t>0.68</t>
  </si>
  <si>
    <t>85.11%</t>
  </si>
  <si>
    <t>16.03%</t>
  </si>
  <si>
    <t>0.40</t>
  </si>
  <si>
    <t>2.05%</t>
  </si>
  <si>
    <t>Precious Metals</t>
  </si>
  <si>
    <t>1.33</t>
  </si>
  <si>
    <t>37.02%</t>
  </si>
  <si>
    <t>0.82%</t>
  </si>
  <si>
    <t>0.98</t>
  </si>
  <si>
    <t>10.57%</t>
  </si>
  <si>
    <t>1.09</t>
  </si>
  <si>
    <t>Publshing &amp; Newspapers</t>
  </si>
  <si>
    <t>36.82%</t>
  </si>
  <si>
    <t>13.92%</t>
  </si>
  <si>
    <t>6.06%</t>
  </si>
  <si>
    <t>R.E.I.T.</t>
  </si>
  <si>
    <t>569.79%</t>
  </si>
  <si>
    <t>2.48%</t>
  </si>
  <si>
    <t>0.12</t>
  </si>
  <si>
    <t>2.40%</t>
  </si>
  <si>
    <t>Railroad</t>
  </si>
  <si>
    <t>23.69%</t>
  </si>
  <si>
    <t>20.51%</t>
  </si>
  <si>
    <t>1.61%</t>
  </si>
  <si>
    <t>Real Estate (Development)</t>
  </si>
  <si>
    <t>24.90%</t>
  </si>
  <si>
    <t>3.00%</t>
  </si>
  <si>
    <t>Real Estate (General/Diversified)</t>
  </si>
  <si>
    <t>17.30%</t>
  </si>
  <si>
    <t>8.72%</t>
  </si>
  <si>
    <t>0.62</t>
  </si>
  <si>
    <t>0.69%</t>
  </si>
  <si>
    <t>Real Estate (Operations &amp; Services)</t>
  </si>
  <si>
    <t>1.40</t>
  </si>
  <si>
    <t>59.57%</t>
  </si>
  <si>
    <t>8.56%</t>
  </si>
  <si>
    <t>3.25%</t>
  </si>
  <si>
    <t>Recreation</t>
  </si>
  <si>
    <t>25.13%</t>
  </si>
  <si>
    <t>8.81%</t>
  </si>
  <si>
    <t>4.22%</t>
  </si>
  <si>
    <t>Reinsurance</t>
  </si>
  <si>
    <t>38.50%</t>
  </si>
  <si>
    <t>13.34%</t>
  </si>
  <si>
    <t>10.46%</t>
  </si>
  <si>
    <t>Restaurant</t>
  </si>
  <si>
    <t>27.57%</t>
  </si>
  <si>
    <t>15.17%</t>
  </si>
  <si>
    <t>2.56%</t>
  </si>
  <si>
    <t>Retail (Automotive)</t>
  </si>
  <si>
    <t>57.51%</t>
  </si>
  <si>
    <t>19.23%</t>
  </si>
  <si>
    <t>2.25%</t>
  </si>
  <si>
    <t>Retail (Building Supply)</t>
  </si>
  <si>
    <t>22.18%</t>
  </si>
  <si>
    <t>21.97%</t>
  </si>
  <si>
    <t>2.89%</t>
  </si>
  <si>
    <t>Retail (Distributors)</t>
  </si>
  <si>
    <t>43.82%</t>
  </si>
  <si>
    <t>16.18%</t>
  </si>
  <si>
    <t>1.86%</t>
  </si>
  <si>
    <t>0.74</t>
  </si>
  <si>
    <t>Retail (General)</t>
  </si>
  <si>
    <t>35.62%</t>
  </si>
  <si>
    <t>3.19%</t>
  </si>
  <si>
    <t>Retail (Grocery and Food)</t>
  </si>
  <si>
    <t>56.86%</t>
  </si>
  <si>
    <t>22.83%</t>
  </si>
  <si>
    <t>0.57</t>
  </si>
  <si>
    <t>1.72%</t>
  </si>
  <si>
    <t>Retail (Internet)</t>
  </si>
  <si>
    <t>9.80%</t>
  </si>
  <si>
    <t>3.03%</t>
  </si>
  <si>
    <t>Retail (Special Lines)</t>
  </si>
  <si>
    <t>37.80%</t>
  </si>
  <si>
    <t>18.90%</t>
  </si>
  <si>
    <t>3.20%</t>
  </si>
  <si>
    <t>Rubber&amp; Tires</t>
  </si>
  <si>
    <t>109.78%</t>
  </si>
  <si>
    <t>15.21%</t>
  </si>
  <si>
    <t>Semiconductor</t>
  </si>
  <si>
    <t>7.30%</t>
  </si>
  <si>
    <t>6.34%</t>
  </si>
  <si>
    <t>Semiconductor Equip</t>
  </si>
  <si>
    <t>1.25</t>
  </si>
  <si>
    <t>16.97%</t>
  </si>
  <si>
    <t>5.13%</t>
  </si>
  <si>
    <t>10.97%</t>
  </si>
  <si>
    <t>Shipbuilding &amp; Marine</t>
  </si>
  <si>
    <t>1.50</t>
  </si>
  <si>
    <t>65.35%</t>
  </si>
  <si>
    <t>4.99%</t>
  </si>
  <si>
    <t>2.28%</t>
  </si>
  <si>
    <t>Shoe</t>
  </si>
  <si>
    <t>7.89%</t>
  </si>
  <si>
    <t>19.82%</t>
  </si>
  <si>
    <t>3.53%</t>
  </si>
  <si>
    <t>Steel</t>
  </si>
  <si>
    <t>45.91%</t>
  </si>
  <si>
    <t>14.13%</t>
  </si>
  <si>
    <t>6.31%</t>
  </si>
  <si>
    <t>Telecom (Wireless)</t>
  </si>
  <si>
    <t>105.14%</t>
  </si>
  <si>
    <t>11.54%</t>
  </si>
  <si>
    <t>0.35</t>
  </si>
  <si>
    <t>Telecom. Equipment</t>
  </si>
  <si>
    <t>10.77%</t>
  </si>
  <si>
    <t>6.90%</t>
  </si>
  <si>
    <t>6.36%</t>
  </si>
  <si>
    <t>Telecom. Services</t>
  </si>
  <si>
    <t>71.23%</t>
  </si>
  <si>
    <t>8.40%</t>
  </si>
  <si>
    <t>9.63%</t>
  </si>
  <si>
    <t>Thrift</t>
  </si>
  <si>
    <t>0.53</t>
  </si>
  <si>
    <t>NA</t>
  </si>
  <si>
    <t>18.93%</t>
  </si>
  <si>
    <t>0.01</t>
  </si>
  <si>
    <t>1.88%</t>
  </si>
  <si>
    <t>Tobacco</t>
  </si>
  <si>
    <t>20.83%</t>
  </si>
  <si>
    <t>14.23%</t>
  </si>
  <si>
    <t>3.80%</t>
  </si>
  <si>
    <t>Transportation</t>
  </si>
  <si>
    <t>20.75%</t>
  </si>
  <si>
    <t>21.21%</t>
  </si>
  <si>
    <t>5.60%</t>
  </si>
  <si>
    <t>Trucking</t>
  </si>
  <si>
    <t>78.48%</t>
  </si>
  <si>
    <t>2.92%</t>
  </si>
  <si>
    <t>Utility (General)</t>
  </si>
  <si>
    <t>69.35%</t>
  </si>
  <si>
    <t>29.93%</t>
  </si>
  <si>
    <t>0.38</t>
  </si>
  <si>
    <t>0.97%</t>
  </si>
  <si>
    <t>Utility (Water)</t>
  </si>
  <si>
    <t>57.90%</t>
  </si>
  <si>
    <t>0.55%</t>
  </si>
  <si>
    <t>Total Market</t>
  </si>
  <si>
    <t>74.28%</t>
  </si>
  <si>
    <t>10.32%</t>
  </si>
  <si>
    <t>5.24%</t>
  </si>
  <si>
    <t>0.64</t>
  </si>
  <si>
    <t>Beta Desapalancada ENKA [1]</t>
  </si>
  <si>
    <t>Chemical (Diversified) [1]</t>
  </si>
  <si>
    <t>EMBI Colombia</t>
  </si>
  <si>
    <t>http://www.ambito.com/economia/mercados/riesgo-pais/info/?id=4</t>
  </si>
  <si>
    <t>Crecimiento ventas</t>
  </si>
  <si>
    <t>CV</t>
  </si>
  <si>
    <t>Gto Ventas</t>
  </si>
  <si>
    <t>MOVIMIENTO DE CAJA DEL PERIODO</t>
  </si>
  <si>
    <t>CAJA INICIAL</t>
  </si>
  <si>
    <t>CAJA FINAL</t>
  </si>
  <si>
    <t>PROYECCIÓN ESTADO DE RESULTADOS</t>
  </si>
  <si>
    <t>PROYECCIÓN CAPITAL DE TRABAJO</t>
  </si>
  <si>
    <t>Cuentas y Gastos por Pagar Corto Plazo</t>
  </si>
  <si>
    <t>Cesantías Consolidadas Corto Plazo</t>
  </si>
  <si>
    <t>Pasivos Estimados Corto Plazo</t>
  </si>
  <si>
    <t>Cuentas por Pagar Largo Plazo</t>
  </si>
  <si>
    <t>Pasivos Estimados Largo Plazo</t>
  </si>
  <si>
    <t>Obligaciones Laborales Largo Plazo</t>
  </si>
  <si>
    <t>Pensiones de Jubilación Largo Plazo</t>
  </si>
  <si>
    <t>Deudores Comerciales (días)</t>
  </si>
  <si>
    <t>Inventarios (días)</t>
  </si>
  <si>
    <t>Proveedores Corto Plazo (días)</t>
  </si>
  <si>
    <t>Proveedores Largo Plazo (días)</t>
  </si>
  <si>
    <t>PROYECCIÓN INVERSIONES EN CAPITAL</t>
  </si>
  <si>
    <t>PROYECCIÓN DEL PATRIMONIO</t>
  </si>
  <si>
    <t>Capitalizaciones</t>
  </si>
  <si>
    <t>REQUERIMIENTOS DE CAJA</t>
  </si>
  <si>
    <t>Requerimiento de deuda</t>
  </si>
  <si>
    <t>Requerimiento de Deuda</t>
  </si>
  <si>
    <t>REQUERIMIENTO DE DEUDA</t>
  </si>
  <si>
    <t>Mg</t>
  </si>
  <si>
    <t>Gto Adminsitración</t>
  </si>
  <si>
    <t>EXCESOS DE CAJA</t>
  </si>
  <si>
    <t>CAJA MINIMA REQUERIDA</t>
  </si>
  <si>
    <t>En general, las proyecciones están muy planas. Con excepción de Prov. LP, diferidos, CxP, son planas, y no es muy adecuado para la proyección.</t>
  </si>
  <si>
    <t>Una de las maneras menos adecuadas de proyectar es considerando promedios como valederos para el futuro. Hay varias cuenas que así están proyectadas. Esto sería factible para aquellas que tengan un muy bajo impacto porcentual, pero partiendo del hecho que no sufran cambios significativos en el futuro. Por ejemplo, el caso de Impuestos de Renta por Pagar es un ejemplo que el pasado no se repetirá al futuro teniendo en cuenta que antes no pagaban impuestos y ahora si.</t>
  </si>
  <si>
    <t>La depreciación no es por promedios, debe ser por política de depreciación.</t>
  </si>
  <si>
    <t>Estratégicamene, ¿cómo está sustntado el incremento de un 5% en la inversión de cada año?</t>
  </si>
  <si>
    <t>¿Cómo la calcularon?</t>
  </si>
  <si>
    <t>Anticipo de Impuestos</t>
  </si>
  <si>
    <t>Anticipos y Avances</t>
  </si>
  <si>
    <t>% depreciacion propiedad planta y equipo</t>
  </si>
  <si>
    <t>% depreciacion inversion</t>
  </si>
  <si>
    <t>Construcciones y edificaciones</t>
  </si>
  <si>
    <t>Maquinaria y equipo</t>
  </si>
  <si>
    <t>Terrenos</t>
  </si>
  <si>
    <t>Equipo de Computo</t>
  </si>
  <si>
    <t>Equipo de Oficina</t>
  </si>
  <si>
    <t>Flota y equipo de transporte</t>
  </si>
  <si>
    <t xml:space="preserve"> - depreciacion acumulada</t>
  </si>
  <si>
    <t>Maquinaria y equipo en montaje</t>
  </si>
  <si>
    <t>Construcciones y edificaciones Neto</t>
  </si>
  <si>
    <t>Maquinaria y equipo Neto</t>
  </si>
  <si>
    <t>Equipo de Computo neto</t>
  </si>
  <si>
    <t>Equipo de Oficina neto</t>
  </si>
  <si>
    <t>Flota y equipo de transporte Neto</t>
  </si>
  <si>
    <t>Total activo fijo bruto</t>
  </si>
  <si>
    <t>Total activo fijo neto</t>
  </si>
  <si>
    <t>variacion activo</t>
  </si>
  <si>
    <t>variacion depreciacion</t>
  </si>
  <si>
    <t>% var. Dep / activo</t>
  </si>
  <si>
    <t>Construcciones en Curso</t>
  </si>
  <si>
    <t>Rotación Deudores Comerciales (Veces)</t>
  </si>
  <si>
    <t>Días Deudores Comerciales</t>
  </si>
  <si>
    <t>Rotación Proveedores (Veces)</t>
  </si>
  <si>
    <t>Días Proveedores</t>
  </si>
  <si>
    <t>PROMEDIO DE LA RELACION ANTICIPOS TX/VENTAS EN LOS ULTIMOS TRES CIERRES FISCALES. A PARTIR DEL AÑ0 2019 SE DEJA CONSTANTE</t>
  </si>
  <si>
    <t>PROMEDIO DE LA RELACION ANTICIPOS /VENTAS EN LOS ULTIMOS TRES CIERRES FISCALES. A PARTIR DEL AÑ0 2019 SE DEJA CONSTANTE</t>
  </si>
  <si>
    <t>PROMEDIO DE LA RELACION ANTICIPOS GTOS PAGADOS X ANT/VENTAS EN LOS ULTIMOS TRES CIERRES FISCALES. A PARTIR DEL AÑ0 2019 SE DEJA CONSTANTE</t>
  </si>
  <si>
    <t>PROMEDIO DE LA RELACION OTROS ACTIVOS/VENTAS EN LOS ULTIMOS TRES CIERRES FISCALES. A PARTIR DEL AÑ0 2019 SE DEJA CONSTANTE</t>
  </si>
  <si>
    <t>Rotaciocion cuentas por pagar</t>
  </si>
  <si>
    <t>rotacion obligaciones lborales</t>
  </si>
  <si>
    <t>inidcador de rotacion entre los saldos y el gto de adminsitracion y ventas</t>
  </si>
  <si>
    <t>inidcador de rotacion entre los saldos y el gto de adminsitracion, ventas y costo</t>
  </si>
  <si>
    <t>pasivos amortizados de acuerdo  a las proyecciones de pago estipulado por la firma</t>
  </si>
  <si>
    <t xml:space="preserve">Caja minima (dias) </t>
  </si>
  <si>
    <t>Historico</t>
  </si>
  <si>
    <t>Participacion</t>
  </si>
  <si>
    <t>Crecimiento Historico</t>
  </si>
  <si>
    <t>AVG</t>
  </si>
  <si>
    <t>Hilos Industriales</t>
  </si>
  <si>
    <t>Filamentos</t>
  </si>
  <si>
    <t>Resinas</t>
  </si>
  <si>
    <t>Fibras</t>
  </si>
  <si>
    <t xml:space="preserve">Comercialización </t>
  </si>
  <si>
    <t>Otros</t>
  </si>
  <si>
    <t>Total</t>
  </si>
  <si>
    <t>Toneladas</t>
  </si>
  <si>
    <t>Check</t>
  </si>
  <si>
    <t>Drivers</t>
  </si>
  <si>
    <t>Mdos internacionles</t>
  </si>
  <si>
    <t>77% se exporta</t>
  </si>
  <si>
    <t>Perspectivas de los socios</t>
  </si>
  <si>
    <t>Dólar</t>
  </si>
  <si>
    <t>fibras sinteticas (nylon)- mercado textil</t>
  </si>
  <si>
    <t>comportamiento sectro textil (decreto 074 2013) - ANDI.</t>
  </si>
  <si>
    <t>Comportamiento sector alimentos - farmaceuticos</t>
  </si>
  <si>
    <t>mercado nacional 75%</t>
  </si>
  <si>
    <t>Mercado interno - consumo</t>
  </si>
  <si>
    <t>nacionales</t>
  </si>
  <si>
    <t>Ventas 
Internacionales</t>
  </si>
  <si>
    <t>Ingresos
 Totales</t>
  </si>
  <si>
    <t>Utilidad
 Operacional</t>
  </si>
  <si>
    <t>Ebitda</t>
  </si>
  <si>
    <t>Lineas de Negocio</t>
  </si>
  <si>
    <t>Exp</t>
  </si>
  <si>
    <t>Nal</t>
  </si>
  <si>
    <t>Exportaciones</t>
  </si>
  <si>
    <t>Nacional</t>
  </si>
  <si>
    <t>Ventas Proyectadas</t>
  </si>
  <si>
    <t>Crecimiento</t>
  </si>
  <si>
    <t>Costo de Ventas</t>
  </si>
  <si>
    <t>Operacional</t>
  </si>
  <si>
    <t>Part / Ventas</t>
  </si>
  <si>
    <t>Supuestos Macroeconómicos</t>
  </si>
  <si>
    <t>Precios al consumidor (IPC)</t>
  </si>
  <si>
    <t>Precios al Productor (IPP)</t>
  </si>
  <si>
    <t>PIB (variación anual)</t>
  </si>
  <si>
    <t>Devaluación (fin de año)</t>
  </si>
  <si>
    <t>Precio del dólar ($. fin de año)</t>
  </si>
  <si>
    <t>Tasa de interés (DTF E.A. fin de año)</t>
  </si>
  <si>
    <t>Crecimiento de la Industria</t>
  </si>
  <si>
    <t>Año</t>
  </si>
  <si>
    <t>Entidad</t>
  </si>
  <si>
    <t>Remark</t>
  </si>
  <si>
    <t>Spread 1</t>
  </si>
  <si>
    <t>Spread 2</t>
  </si>
  <si>
    <t>Bancos Nacionales</t>
  </si>
  <si>
    <t>Libor 6m</t>
  </si>
  <si>
    <t>Bancos Exterior</t>
  </si>
  <si>
    <t>Libor 3m</t>
  </si>
  <si>
    <t>Financieras Ley 550</t>
  </si>
  <si>
    <t>50% DTF</t>
  </si>
  <si>
    <t>Tablas de Amortización</t>
  </si>
  <si>
    <t>Spread</t>
  </si>
  <si>
    <t>Periodo</t>
  </si>
  <si>
    <t>Tasa</t>
  </si>
  <si>
    <t>Capital</t>
  </si>
  <si>
    <t>Intereses</t>
  </si>
  <si>
    <t>Saldo</t>
  </si>
  <si>
    <t>Tasa de interés externa - LIBOR</t>
  </si>
  <si>
    <t>Serie histórica LIBOR a 1 mes / 2 meses / 3 meses / 6 meses / 12 meses</t>
  </si>
  <si>
    <t>Información disponible desde el 2 de enero de 2007</t>
  </si>
  <si>
    <t>Fecha</t>
  </si>
  <si>
    <t>Libor a 1 mes</t>
  </si>
  <si>
    <t>Libor a 2 meses</t>
  </si>
  <si>
    <t>Libor a 3 meses</t>
  </si>
  <si>
    <t>Libor a 6 meses</t>
  </si>
  <si>
    <t>Libor a 12 meses</t>
  </si>
  <si>
    <r>
      <t>Fuente:</t>
    </r>
    <r>
      <rPr>
        <sz val="10"/>
        <color indexed="8"/>
        <rFont val="Arial"/>
        <family val="2"/>
      </rPr>
      <t xml:space="preserve"> British Banking Association.</t>
    </r>
  </si>
  <si>
    <t>Gastos por Depreciación</t>
  </si>
  <si>
    <t>Administración</t>
  </si>
  <si>
    <t>Gastos por Amortización</t>
  </si>
  <si>
    <t>Operativo</t>
  </si>
  <si>
    <t>Depreciación</t>
  </si>
  <si>
    <t>Inversiones Permanentes</t>
  </si>
  <si>
    <t>CP</t>
  </si>
  <si>
    <t>LP</t>
  </si>
  <si>
    <t>Dif Cam</t>
  </si>
  <si>
    <t>Dev</t>
  </si>
  <si>
    <t>Ley 550</t>
  </si>
  <si>
    <t>Total Intereses Recibidos</t>
  </si>
  <si>
    <t>Perdida
Fiscal</t>
  </si>
  <si>
    <t>Exceso Presuntiva/
Ordinaria</t>
  </si>
  <si>
    <t>Diferido</t>
  </si>
  <si>
    <t>Patrimonio Contable</t>
  </si>
  <si>
    <t>Articulo 67 del 2649 justifica el por qué no se calcula Impto Diferido</t>
  </si>
  <si>
    <t>Patrimonio Fiscal</t>
  </si>
  <si>
    <t>%</t>
  </si>
  <si>
    <t>Utilidad/(Perdida) Fiscal</t>
  </si>
  <si>
    <t>Tarifa Impto de Renta</t>
  </si>
  <si>
    <t>Tarifa Impto CREE</t>
  </si>
  <si>
    <t>Impuesto sobre la Renta Liquida</t>
  </si>
  <si>
    <t>Impuesto sobre la Renta Presuntiva</t>
  </si>
  <si>
    <t>Renta Presuntiva (3%)</t>
  </si>
  <si>
    <t>Calculo de Presuntiva</t>
  </si>
  <si>
    <t>Subtotal</t>
  </si>
  <si>
    <t>Impto Definitivo</t>
  </si>
  <si>
    <t>AOE / ACT =</t>
  </si>
  <si>
    <t>Minimun Cash Requirements</t>
  </si>
  <si>
    <t>360 / Cash Cycle =</t>
  </si>
  <si>
    <t>Annual Cash Turnover</t>
  </si>
  <si>
    <t>AOE =</t>
  </si>
  <si>
    <t>ACT =</t>
  </si>
  <si>
    <t>Ciclo de Conversión de Caja =</t>
  </si>
  <si>
    <t>Capital de Trabajo en Días</t>
  </si>
  <si>
    <t>Gastos Operacionales Anuales</t>
  </si>
  <si>
    <t>Rotación de Caja</t>
  </si>
  <si>
    <t>Caja Minima Requerida</t>
  </si>
  <si>
    <t>Caja Minima Requerida Método 1</t>
  </si>
  <si>
    <t>Diferencia Métodos</t>
  </si>
  <si>
    <t>Cifras Analizadas desde el año 2009 al 2024</t>
  </si>
  <si>
    <t>WACC Periodo Proyección</t>
  </si>
  <si>
    <t>WACC Periodo de Proyección</t>
  </si>
  <si>
    <t>Hilos industriales</t>
  </si>
  <si>
    <t>http://www.dinero.com/empresas/articulo/los-negocios-enka/191232</t>
  </si>
  <si>
    <t>Item</t>
  </si>
  <si>
    <t>Link</t>
  </si>
  <si>
    <t>Observaciones</t>
  </si>
  <si>
    <t>12% incremento en Ventas 2014</t>
  </si>
  <si>
    <t>http://www.portafolio.co/economia/entrevista-alvaro-hincapie-enka</t>
  </si>
  <si>
    <t>Crecimiento en el mercado de Nylon (Kaylon Air / Eko Fibras)</t>
  </si>
  <si>
    <t>http://www.elcolombiano.com/BancoConocimiento/E/enka_invierte_en_nueva_linea_de_pet/enka_invierte_en_nueva_linea_de_pet.asp</t>
  </si>
  <si>
    <t>Incremental de USD 30M en ventas</t>
  </si>
  <si>
    <t>http://www.enka.com.co/enka/docsweb/inversionistas/IR20131213.pdf</t>
  </si>
  <si>
    <t>Potencial de Ingresos al Año de USD 35M</t>
  </si>
  <si>
    <t>PET</t>
  </si>
  <si>
    <t>Incremental de PET USD M</t>
  </si>
  <si>
    <t>Caja miníma requerida</t>
  </si>
  <si>
    <t>Requerimientos de deuda</t>
  </si>
  <si>
    <t>% de inversion del capex</t>
  </si>
  <si>
    <t>% de la Depreciacion</t>
  </si>
  <si>
    <t>EA</t>
  </si>
  <si>
    <t>ATA</t>
  </si>
  <si>
    <t>Termino</t>
  </si>
  <si>
    <t>TTV</t>
  </si>
  <si>
    <t>TTA</t>
  </si>
  <si>
    <t>Requerimiento Deuda</t>
  </si>
  <si>
    <t>Nueva Deuda</t>
  </si>
  <si>
    <t>Gasto por Intereses Nacionales</t>
  </si>
  <si>
    <t>Gasto por Intereses Exterior</t>
  </si>
  <si>
    <t>Pasivo Financiero Nacional</t>
  </si>
  <si>
    <t>Pasivo Financiero Exterior</t>
  </si>
  <si>
    <t>Costos Deuda Nacional Antes de Imp</t>
  </si>
  <si>
    <t>Costos Deuda Exterior Antes de Imp</t>
  </si>
  <si>
    <t>Total Nal</t>
  </si>
  <si>
    <t>Total Ext</t>
  </si>
  <si>
    <t>Total Interes</t>
  </si>
  <si>
    <t>Análisis de la Deuda</t>
  </si>
  <si>
    <t>Anexo Proyecciones</t>
  </si>
  <si>
    <t>Dias Inventarios</t>
  </si>
  <si>
    <t>Dias Deudores</t>
  </si>
  <si>
    <t>Dias Proveedores</t>
  </si>
  <si>
    <t>SIMULACION CAPITAL DE TRABAJO</t>
  </si>
  <si>
    <t>Proyecciones Generales</t>
  </si>
  <si>
    <t>Acciones</t>
  </si>
  <si>
    <t>Precio / Accion</t>
  </si>
  <si>
    <t>Analisis Ingresos Operacionales</t>
  </si>
  <si>
    <t>Impuesto del CREE</t>
  </si>
  <si>
    <t>Compensación de Perdidas</t>
  </si>
  <si>
    <t>Utilidad Gravable</t>
  </si>
  <si>
    <t>Proyección Impuestos</t>
  </si>
  <si>
    <t>Capital de Trabajo 2008</t>
  </si>
  <si>
    <t>Activo Fijo</t>
  </si>
  <si>
    <t>Capital Operacional 2008</t>
  </si>
  <si>
    <t>Inflacion</t>
  </si>
  <si>
    <t>Sensibilidad</t>
  </si>
  <si>
    <t>Ciclo de efectivo/Ventas</t>
  </si>
  <si>
    <t>Crecimiento Ventas  (1%)</t>
  </si>
  <si>
    <t>Disminución Ventas (1%)</t>
  </si>
  <si>
    <t>Incremento en Capital de Trabajo (aumento en 10 días de rotación)</t>
  </si>
  <si>
    <t>Disminución en Capital de Trabajo (disminución en 10 días de rotación)</t>
  </si>
  <si>
    <t>Crecimiento de Costos - Gasto (1%)</t>
  </si>
  <si>
    <t>Disminución de Costos - Gasto (1%)</t>
  </si>
  <si>
    <t>Inversion Capex (15% gto depreciación)</t>
  </si>
  <si>
    <t>Inversion Capex (5% gto depreciación)</t>
  </si>
  <si>
    <t>Ciclo de efectivo</t>
  </si>
  <si>
    <t>caja final</t>
  </si>
  <si>
    <t>6. MOVIMIENTO DE CAJA</t>
  </si>
  <si>
    <t>REQUERIMIENTO DE DEUDA CP</t>
  </si>
  <si>
    <t>Caja y Equivalentes de Caja</t>
  </si>
  <si>
    <t>Check-0</t>
  </si>
  <si>
    <t>APT</t>
  </si>
  <si>
    <t>Otras Ventas</t>
  </si>
  <si>
    <t>Reintegro de Costos y Gastos</t>
  </si>
  <si>
    <t>Incapacidades</t>
  </si>
  <si>
    <t>Arrendamientos</t>
  </si>
  <si>
    <t>Ingresos no Operacionales</t>
  </si>
  <si>
    <t>Egresos no Operacionales</t>
  </si>
  <si>
    <t>Impuestos 4 x 1000</t>
  </si>
  <si>
    <t>GMF</t>
  </si>
  <si>
    <t>Costo de Otras Ventas</t>
  </si>
  <si>
    <t>Indemnizaciones Laborales</t>
  </si>
  <si>
    <t>Total Ingresos no Op</t>
  </si>
  <si>
    <t>Total Egresos no Op</t>
  </si>
  <si>
    <t>Valor de la accion</t>
  </si>
  <si>
    <t>S.I</t>
  </si>
  <si>
    <t>S.F</t>
  </si>
  <si>
    <t>WACC (aumento de 100 ptos básicos)</t>
  </si>
  <si>
    <t>WACC (disminución de 100 ptos básicos)</t>
  </si>
</sst>
</file>

<file path=xl/styles.xml><?xml version="1.0" encoding="utf-8"?>
<styleSheet xmlns="http://schemas.openxmlformats.org/spreadsheetml/2006/main">
  <numFmts count="21">
    <numFmt numFmtId="6" formatCode="&quot;$&quot;\ #,##0_);[Red]\(&quot;$&quot;\ #,##0\)"/>
    <numFmt numFmtId="8" formatCode="&quot;$&quot;\ #,##0.00_);[Red]\(&quot;$&quot;\ #,##0.00\)"/>
    <numFmt numFmtId="164" formatCode="&quot;$&quot;#,##0_);[Red]\(&quot;$&quot;#,##0\)"/>
    <numFmt numFmtId="165" formatCode="_(&quot;$&quot;* #,##0.00_);_(&quot;$&quot;* \(#,##0.00\);_(&quot;$&quot;* &quot;-&quot;??_);_(@_)"/>
    <numFmt numFmtId="166" formatCode="&quot;$&quot;#,##0;[Red]\-&quot;$&quot;#,##0"/>
    <numFmt numFmtId="167" formatCode="&quot;$&quot;#,##0.00;[Red]\-&quot;$&quot;#,##0.00"/>
    <numFmt numFmtId="168" formatCode="0_)"/>
    <numFmt numFmtId="169" formatCode="0.0%"/>
    <numFmt numFmtId="170" formatCode="0.00_)"/>
    <numFmt numFmtId="171" formatCode="0.0000_)"/>
    <numFmt numFmtId="172" formatCode="#,##0.00_ ;[Red]\-#,##0.00\ "/>
    <numFmt numFmtId="173" formatCode="0.000%"/>
    <numFmt numFmtId="174" formatCode="&quot;FCL Año &quot;\ #"/>
    <numFmt numFmtId="175" formatCode="&quot;EVA Año &quot;\ #"/>
    <numFmt numFmtId="176" formatCode="[$$-240A]\ #,##0"/>
    <numFmt numFmtId="177" formatCode="0.00000_)"/>
    <numFmt numFmtId="178" formatCode="#,##0_ ;[Red]\-#,##0\ "/>
    <numFmt numFmtId="179" formatCode="&quot;$&quot;\ #,##0"/>
    <numFmt numFmtId="180" formatCode="&quot;$&quot;\ #,##0.00"/>
    <numFmt numFmtId="181" formatCode="&quot;$&quot;#,##0.00_);[Red]\(&quot;$&quot;#,##0.00\)"/>
    <numFmt numFmtId="182" formatCode="#,##0.000"/>
  </numFmts>
  <fonts count="68">
    <font>
      <sz val="12"/>
      <name val="Arial"/>
    </font>
    <font>
      <b/>
      <sz val="12"/>
      <name val="Arial"/>
      <family val="2"/>
    </font>
    <font>
      <b/>
      <i/>
      <sz val="12"/>
      <name val="Arial"/>
      <family val="2"/>
    </font>
    <font>
      <sz val="12"/>
      <name val="Arial"/>
      <family val="2"/>
    </font>
    <font>
      <b/>
      <sz val="12"/>
      <color indexed="8"/>
      <name val="Arial"/>
      <family val="2"/>
    </font>
    <font>
      <sz val="12"/>
      <color indexed="8"/>
      <name val="Arial"/>
      <family val="2"/>
    </font>
    <font>
      <b/>
      <u/>
      <sz val="12"/>
      <color indexed="8"/>
      <name val="Arial"/>
      <family val="2"/>
    </font>
    <font>
      <b/>
      <sz val="12"/>
      <color indexed="8"/>
      <name val="Arial"/>
      <family val="2"/>
    </font>
    <font>
      <sz val="12"/>
      <name val="Arial"/>
      <family val="2"/>
    </font>
    <font>
      <b/>
      <i/>
      <u/>
      <sz val="12"/>
      <name val="Arial"/>
      <family val="2"/>
    </font>
    <font>
      <b/>
      <i/>
      <u/>
      <sz val="12"/>
      <name val="Arial"/>
      <family val="2"/>
    </font>
    <font>
      <sz val="8"/>
      <color indexed="81"/>
      <name val="Tahoma"/>
      <family val="2"/>
    </font>
    <font>
      <b/>
      <sz val="12"/>
      <name val="Arial"/>
      <family val="2"/>
    </font>
    <font>
      <sz val="12"/>
      <color indexed="8"/>
      <name val="Arial"/>
      <family val="2"/>
    </font>
    <font>
      <sz val="8"/>
      <name val="Arial"/>
      <family val="2"/>
    </font>
    <font>
      <b/>
      <sz val="12"/>
      <color indexed="8"/>
      <name val="Arial"/>
      <family val="2"/>
    </font>
    <font>
      <sz val="10"/>
      <name val="Arial Unicode MS"/>
      <family val="2"/>
    </font>
    <font>
      <b/>
      <sz val="14"/>
      <name val="Arial Unicode MS"/>
      <family val="2"/>
    </font>
    <font>
      <b/>
      <sz val="11"/>
      <name val="Arial Unicode MS"/>
      <family val="2"/>
    </font>
    <font>
      <b/>
      <u/>
      <sz val="10"/>
      <name val="Arial Unicode MS"/>
      <family val="2"/>
    </font>
    <font>
      <sz val="8"/>
      <name val="Arial"/>
      <family val="2"/>
    </font>
    <font>
      <u/>
      <sz val="10.45"/>
      <color indexed="12"/>
      <name val="Arial"/>
      <family val="2"/>
    </font>
    <font>
      <sz val="12"/>
      <name val="Times"/>
    </font>
    <font>
      <sz val="14"/>
      <color indexed="10"/>
      <name val="Times"/>
    </font>
    <font>
      <sz val="14"/>
      <color indexed="10"/>
      <name val="Geneva"/>
    </font>
    <font>
      <b/>
      <sz val="12"/>
      <name val="Times"/>
    </font>
    <font>
      <sz val="10"/>
      <name val="Geneva"/>
    </font>
    <font>
      <b/>
      <i/>
      <sz val="12"/>
      <name val="Times"/>
    </font>
    <font>
      <u/>
      <sz val="10"/>
      <color indexed="12"/>
      <name val="Geneva"/>
    </font>
    <font>
      <b/>
      <sz val="9"/>
      <color indexed="81"/>
      <name val="Geneva"/>
    </font>
    <font>
      <sz val="9"/>
      <color indexed="81"/>
      <name val="Geneva"/>
    </font>
    <font>
      <b/>
      <sz val="10.4"/>
      <name val="Arial"/>
      <family val="2"/>
    </font>
    <font>
      <b/>
      <sz val="24"/>
      <name val="Geneva"/>
    </font>
    <font>
      <b/>
      <sz val="10"/>
      <name val="Geneva"/>
    </font>
    <font>
      <i/>
      <sz val="10"/>
      <name val="Verdana"/>
      <family val="2"/>
    </font>
    <font>
      <sz val="10"/>
      <name val="Verdana"/>
      <family val="2"/>
    </font>
    <font>
      <b/>
      <sz val="10"/>
      <name val="Verdana"/>
      <family val="2"/>
    </font>
    <font>
      <sz val="12"/>
      <name val="Arial"/>
      <family val="2"/>
    </font>
    <font>
      <b/>
      <i/>
      <sz val="12"/>
      <name val="Calibri"/>
      <family val="2"/>
    </font>
    <font>
      <b/>
      <sz val="12"/>
      <name val="Calibri"/>
      <family val="2"/>
    </font>
    <font>
      <sz val="12"/>
      <name val="Calibri"/>
      <family val="2"/>
    </font>
    <font>
      <sz val="10.199999999999999"/>
      <color indexed="8"/>
      <name val="Arial"/>
      <family val="2"/>
    </font>
    <font>
      <sz val="36"/>
      <name val="Arial"/>
      <family val="2"/>
    </font>
    <font>
      <sz val="9"/>
      <color indexed="81"/>
      <name val="Tahoma"/>
      <family val="2"/>
    </font>
    <font>
      <b/>
      <sz val="9"/>
      <color indexed="81"/>
      <name val="Tahoma"/>
      <family val="2"/>
    </font>
    <font>
      <sz val="10"/>
      <name val="Arial"/>
      <family val="2"/>
    </font>
    <font>
      <b/>
      <sz val="11"/>
      <name val="Arial"/>
      <family val="2"/>
    </font>
    <font>
      <sz val="11"/>
      <name val="Arial"/>
      <family val="2"/>
    </font>
    <font>
      <u/>
      <sz val="11"/>
      <name val="Arial"/>
      <family val="2"/>
    </font>
    <font>
      <b/>
      <sz val="11"/>
      <color indexed="8"/>
      <name val="Arial"/>
      <family val="2"/>
    </font>
    <font>
      <sz val="11"/>
      <name val="Arial Unicode MS"/>
      <family val="2"/>
    </font>
    <font>
      <sz val="10"/>
      <name val="Arial"/>
      <family val="2"/>
    </font>
    <font>
      <b/>
      <sz val="10"/>
      <color indexed="62"/>
      <name val="Arial"/>
      <family val="2"/>
    </font>
    <font>
      <sz val="8"/>
      <color indexed="8"/>
      <name val="Arial"/>
      <family val="2"/>
    </font>
    <font>
      <sz val="8"/>
      <color indexed="62"/>
      <name val="Arial"/>
      <family val="2"/>
    </font>
    <font>
      <b/>
      <sz val="8"/>
      <color indexed="56"/>
      <name val="Arial"/>
      <family val="2"/>
    </font>
    <font>
      <b/>
      <sz val="8"/>
      <color indexed="8"/>
      <name val="Arial"/>
      <family val="2"/>
    </font>
    <font>
      <sz val="8"/>
      <color indexed="8"/>
      <name val="Arial"/>
      <family val="2"/>
    </font>
    <font>
      <b/>
      <sz val="10"/>
      <color indexed="8"/>
      <name val="Arial"/>
      <family val="2"/>
    </font>
    <font>
      <sz val="10"/>
      <color indexed="8"/>
      <name val="Arial"/>
      <family val="2"/>
    </font>
    <font>
      <sz val="12"/>
      <color indexed="9"/>
      <name val="Arial"/>
      <family val="2"/>
    </font>
    <font>
      <sz val="11"/>
      <color indexed="8"/>
      <name val="Arial"/>
      <family val="2"/>
    </font>
    <font>
      <b/>
      <sz val="11"/>
      <color indexed="9"/>
      <name val="Calibri"/>
      <family val="2"/>
    </font>
    <font>
      <b/>
      <sz val="11"/>
      <color indexed="56"/>
      <name val="Calibri"/>
      <family val="2"/>
    </font>
    <font>
      <sz val="11"/>
      <color indexed="56"/>
      <name val="Calibri"/>
      <family val="2"/>
    </font>
    <font>
      <sz val="8"/>
      <name val="Arial"/>
      <family val="2"/>
    </font>
    <font>
      <sz val="12"/>
      <color indexed="9"/>
      <name val="Arial"/>
      <family val="2"/>
    </font>
    <font>
      <sz val="11"/>
      <color theme="1"/>
      <name val="Calibri"/>
      <family val="2"/>
      <scheme val="minor"/>
    </font>
  </fonts>
  <fills count="22">
    <fill>
      <patternFill patternType="none"/>
    </fill>
    <fill>
      <patternFill patternType="gray125"/>
    </fill>
    <fill>
      <patternFill patternType="solid">
        <fgColor indexed="22"/>
      </patternFill>
    </fill>
    <fill>
      <patternFill patternType="solid">
        <fgColor indexed="22"/>
        <bgColor indexed="22"/>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50"/>
        <bgColor indexed="64"/>
      </patternFill>
    </fill>
    <fill>
      <patternFill patternType="solid">
        <fgColor indexed="9"/>
        <bgColor indexed="64"/>
      </patternFill>
    </fill>
    <fill>
      <patternFill patternType="solid">
        <fgColor indexed="57"/>
        <bgColor indexed="64"/>
      </patternFill>
    </fill>
    <fill>
      <patternFill patternType="solid">
        <fgColor indexed="11"/>
        <bgColor indexed="64"/>
      </patternFill>
    </fill>
    <fill>
      <patternFill patternType="solid">
        <fgColor indexed="13"/>
        <bgColor indexed="64"/>
      </patternFill>
    </fill>
    <fill>
      <patternFill patternType="solid">
        <fgColor indexed="41"/>
        <bgColor indexed="64"/>
      </patternFill>
    </fill>
    <fill>
      <patternFill patternType="solid">
        <fgColor indexed="51"/>
        <bgColor indexed="64"/>
      </patternFill>
    </fill>
    <fill>
      <patternFill patternType="solid">
        <fgColor indexed="9"/>
        <bgColor indexed="9"/>
      </patternFill>
    </fill>
    <fill>
      <patternFill patternType="solid">
        <fgColor indexed="52"/>
        <bgColor indexed="9"/>
      </patternFill>
    </fill>
    <fill>
      <patternFill patternType="solid">
        <fgColor indexed="42"/>
        <bgColor indexed="9"/>
      </patternFill>
    </fill>
    <fill>
      <patternFill patternType="solid">
        <fgColor indexed="56"/>
        <bgColor indexed="64"/>
      </patternFill>
    </fill>
    <fill>
      <patternFill patternType="solid">
        <fgColor indexed="55"/>
        <bgColor indexed="64"/>
      </patternFill>
    </fill>
    <fill>
      <patternFill patternType="solid">
        <fgColor indexed="31"/>
        <bgColor indexed="64"/>
      </patternFill>
    </fill>
    <fill>
      <patternFill patternType="solid">
        <fgColor indexed="31"/>
        <bgColor indexed="9"/>
      </patternFill>
    </fill>
    <fill>
      <patternFill patternType="solid">
        <fgColor rgb="FFFFFF00"/>
        <bgColor indexed="64"/>
      </patternFill>
    </fill>
  </fills>
  <borders count="79">
    <border>
      <left/>
      <right/>
      <top/>
      <bottom/>
      <diagonal/>
    </border>
    <border>
      <left style="thin">
        <color indexed="22"/>
      </left>
      <right style="thin">
        <color indexed="22"/>
      </right>
      <top style="thin">
        <color indexed="22"/>
      </top>
      <bottom style="thin">
        <color indexed="22"/>
      </bottom>
      <diagonal/>
    </border>
    <border>
      <left/>
      <right/>
      <top/>
      <bottom style="medium">
        <color indexed="8"/>
      </bottom>
      <diagonal/>
    </border>
    <border>
      <left/>
      <right/>
      <top style="medium">
        <color indexed="8"/>
      </top>
      <bottom/>
      <diagonal/>
    </border>
    <border>
      <left/>
      <right/>
      <top style="double">
        <color indexed="8"/>
      </top>
      <bottom style="double">
        <color indexed="8"/>
      </bottom>
      <diagonal/>
    </border>
    <border>
      <left/>
      <right/>
      <top style="double">
        <color indexed="8"/>
      </top>
      <bottom/>
      <diagonal/>
    </border>
    <border>
      <left/>
      <right/>
      <top/>
      <bottom style="double">
        <color indexed="8"/>
      </bottom>
      <diagonal/>
    </border>
    <border>
      <left/>
      <right/>
      <top style="medium">
        <color indexed="64"/>
      </top>
      <bottom/>
      <diagonal/>
    </border>
    <border>
      <left/>
      <right/>
      <top/>
      <bottom style="medium">
        <color indexed="64"/>
      </bottom>
      <diagonal/>
    </border>
    <border>
      <left/>
      <right/>
      <top style="double">
        <color indexed="64"/>
      </top>
      <bottom style="double">
        <color indexed="64"/>
      </bottom>
      <diagonal/>
    </border>
    <border>
      <left style="double">
        <color indexed="64"/>
      </left>
      <right/>
      <top/>
      <bottom/>
      <diagonal/>
    </border>
    <border>
      <left style="double">
        <color indexed="64"/>
      </left>
      <right/>
      <top style="medium">
        <color indexed="64"/>
      </top>
      <bottom/>
      <diagonal/>
    </border>
    <border>
      <left style="double">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55"/>
      </right>
      <top/>
      <bottom style="medium">
        <color indexed="55"/>
      </bottom>
      <diagonal/>
    </border>
    <border>
      <left style="medium">
        <color indexed="9"/>
      </left>
      <right style="medium">
        <color indexed="55"/>
      </right>
      <top/>
      <bottom style="medium">
        <color indexed="55"/>
      </bottom>
      <diagonal/>
    </border>
    <border>
      <left/>
      <right style="medium">
        <color indexed="9"/>
      </right>
      <top/>
      <bottom style="medium">
        <color indexed="55"/>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medium">
        <color indexed="18"/>
      </top>
      <bottom/>
      <diagonal/>
    </border>
    <border>
      <left style="thin">
        <color indexed="8"/>
      </left>
      <right style="thin">
        <color indexed="8"/>
      </right>
      <top style="thin">
        <color indexed="8"/>
      </top>
      <bottom style="thin">
        <color indexed="8"/>
      </bottom>
      <diagonal/>
    </border>
    <border>
      <left style="thin">
        <color indexed="8"/>
      </left>
      <right/>
      <top style="thin">
        <color indexed="22"/>
      </top>
      <bottom style="thin">
        <color indexed="22"/>
      </bottom>
      <diagonal/>
    </border>
    <border>
      <left style="medium">
        <color indexed="22"/>
      </left>
      <right/>
      <top/>
      <bottom style="medium">
        <color indexed="22"/>
      </bottom>
      <diagonal/>
    </border>
    <border>
      <left style="medium">
        <color indexed="22"/>
      </left>
      <right style="thin">
        <color indexed="8"/>
      </right>
      <top/>
      <bottom style="medium">
        <color indexed="22"/>
      </bottom>
      <diagonal/>
    </border>
    <border>
      <left style="thin">
        <color indexed="8"/>
      </left>
      <right/>
      <top/>
      <bottom style="medium">
        <color indexed="22"/>
      </bottom>
      <diagonal/>
    </border>
    <border>
      <left style="thin">
        <color indexed="22"/>
      </left>
      <right style="thin">
        <color indexed="8"/>
      </right>
      <top style="thin">
        <color indexed="22"/>
      </top>
      <bottom style="thin">
        <color indexed="22"/>
      </bottom>
      <diagonal/>
    </border>
    <border>
      <left style="thin">
        <color indexed="8"/>
      </left>
      <right/>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hair">
        <color indexed="64"/>
      </left>
      <right style="medium">
        <color indexed="64"/>
      </right>
      <top/>
      <bottom style="medium">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bottom/>
      <diagonal/>
    </border>
    <border>
      <left style="hair">
        <color indexed="64"/>
      </left>
      <right style="hair">
        <color indexed="64"/>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22"/>
      </left>
      <right/>
      <top style="thin">
        <color indexed="8"/>
      </top>
      <bottom style="medium">
        <color indexed="22"/>
      </bottom>
      <diagonal/>
    </border>
    <border>
      <left/>
      <right/>
      <top style="thin">
        <color indexed="8"/>
      </top>
      <bottom style="medium">
        <color indexed="22"/>
      </bottom>
      <diagonal/>
    </border>
    <border>
      <left/>
      <right style="thin">
        <color indexed="8"/>
      </right>
      <top style="thin">
        <color indexed="8"/>
      </top>
      <bottom style="medium">
        <color indexed="22"/>
      </bottom>
      <diagonal/>
    </border>
    <border>
      <left/>
      <right/>
      <top/>
      <bottom style="thick">
        <color indexed="54"/>
      </bottom>
      <diagonal/>
    </border>
    <border>
      <left/>
      <right/>
      <top style="thick">
        <color indexed="54"/>
      </top>
      <bottom/>
      <diagonal/>
    </border>
    <border>
      <left/>
      <right/>
      <top style="thin">
        <color indexed="8"/>
      </top>
      <bottom/>
      <diagonal/>
    </border>
  </borders>
  <cellStyleXfs count="10">
    <xf numFmtId="168" fontId="0" fillId="0" borderId="0"/>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172" fontId="3" fillId="0" borderId="0" applyFont="0" applyFill="0" applyBorder="0" applyAlignment="0" applyProtection="0"/>
    <xf numFmtId="167" fontId="3" fillId="0" borderId="0" applyFont="0" applyFill="0" applyBorder="0" applyAlignment="0" applyProtection="0"/>
    <xf numFmtId="0" fontId="26" fillId="0" borderId="0"/>
    <xf numFmtId="0" fontId="45" fillId="0" borderId="0"/>
    <xf numFmtId="0" fontId="67" fillId="0" borderId="0"/>
    <xf numFmtId="9" fontId="3" fillId="0" borderId="0" applyFont="0" applyFill="0" applyBorder="0" applyAlignment="0" applyProtection="0"/>
    <xf numFmtId="9" fontId="45" fillId="0" borderId="0" applyFont="0" applyFill="0" applyBorder="0" applyAlignment="0" applyProtection="0"/>
  </cellStyleXfs>
  <cellXfs count="618">
    <xf numFmtId="168" fontId="0" fillId="0" borderId="0" xfId="0"/>
    <xf numFmtId="164" fontId="4" fillId="0" borderId="0" xfId="0" applyNumberFormat="1" applyFont="1" applyProtection="1"/>
    <xf numFmtId="164" fontId="5" fillId="0" borderId="0" xfId="0" applyNumberFormat="1" applyFont="1" applyProtection="1"/>
    <xf numFmtId="168" fontId="4" fillId="0" borderId="2" xfId="0" applyNumberFormat="1" applyFont="1" applyBorder="1" applyAlignment="1" applyProtection="1">
      <alignment horizontal="center"/>
    </xf>
    <xf numFmtId="164" fontId="4" fillId="0" borderId="3" xfId="0" applyNumberFormat="1" applyFont="1" applyBorder="1" applyProtection="1"/>
    <xf numFmtId="164" fontId="4" fillId="3" borderId="4" xfId="0" applyNumberFormat="1" applyFont="1" applyFill="1" applyBorder="1" applyProtection="1"/>
    <xf numFmtId="164" fontId="5" fillId="0" borderId="3" xfId="0" applyNumberFormat="1" applyFont="1" applyBorder="1" applyProtection="1"/>
    <xf numFmtId="10" fontId="5" fillId="0" borderId="0" xfId="0" applyNumberFormat="1" applyFont="1" applyProtection="1"/>
    <xf numFmtId="10" fontId="4" fillId="0" borderId="3" xfId="0" applyNumberFormat="1" applyFont="1" applyBorder="1" applyProtection="1"/>
    <xf numFmtId="10" fontId="5" fillId="0" borderId="3" xfId="0" applyNumberFormat="1" applyFont="1" applyBorder="1" applyProtection="1"/>
    <xf numFmtId="10" fontId="4" fillId="3" borderId="4" xfId="0" applyNumberFormat="1" applyFont="1" applyFill="1" applyBorder="1" applyProtection="1"/>
    <xf numFmtId="164" fontId="6" fillId="0" borderId="0" xfId="0" applyNumberFormat="1" applyFont="1" applyProtection="1"/>
    <xf numFmtId="164" fontId="5" fillId="3" borderId="4" xfId="0" applyNumberFormat="1" applyFont="1" applyFill="1" applyBorder="1" applyProtection="1"/>
    <xf numFmtId="164" fontId="4" fillId="3" borderId="5" xfId="0" applyNumberFormat="1" applyFont="1" applyFill="1" applyBorder="1" applyProtection="1"/>
    <xf numFmtId="164" fontId="5" fillId="3" borderId="5" xfId="0" applyNumberFormat="1" applyFont="1" applyFill="1" applyBorder="1" applyProtection="1"/>
    <xf numFmtId="164" fontId="4" fillId="3" borderId="6" xfId="0" applyNumberFormat="1" applyFont="1" applyFill="1" applyBorder="1" applyProtection="1"/>
    <xf numFmtId="10" fontId="4" fillId="3" borderId="5" xfId="0" applyNumberFormat="1" applyFont="1" applyFill="1" applyBorder="1" applyProtection="1"/>
    <xf numFmtId="10" fontId="4" fillId="3" borderId="6" xfId="0" applyNumberFormat="1" applyFont="1" applyFill="1" applyBorder="1" applyProtection="1"/>
    <xf numFmtId="164" fontId="5" fillId="0" borderId="2" xfId="0" applyNumberFormat="1" applyFont="1" applyBorder="1" applyProtection="1"/>
    <xf numFmtId="164" fontId="7" fillId="0" borderId="0" xfId="0" applyNumberFormat="1" applyFont="1" applyProtection="1"/>
    <xf numFmtId="10" fontId="5" fillId="0" borderId="2" xfId="0" applyNumberFormat="1" applyFont="1" applyBorder="1" applyProtection="1"/>
    <xf numFmtId="10" fontId="7" fillId="0" borderId="0" xfId="0" applyNumberFormat="1" applyFont="1" applyProtection="1"/>
    <xf numFmtId="164" fontId="4" fillId="2" borderId="0" xfId="0" applyNumberFormat="1" applyFont="1" applyFill="1" applyProtection="1"/>
    <xf numFmtId="164" fontId="4" fillId="2" borderId="3" xfId="0" applyNumberFormat="1" applyFont="1" applyFill="1" applyBorder="1" applyProtection="1"/>
    <xf numFmtId="164" fontId="4" fillId="2" borderId="4" xfId="0" applyNumberFormat="1" applyFont="1" applyFill="1" applyBorder="1" applyProtection="1"/>
    <xf numFmtId="164" fontId="7" fillId="2" borderId="0" xfId="0" applyNumberFormat="1" applyFont="1" applyFill="1" applyProtection="1"/>
    <xf numFmtId="164" fontId="5" fillId="2" borderId="0" xfId="0" applyNumberFormat="1" applyFont="1" applyFill="1" applyProtection="1"/>
    <xf numFmtId="168" fontId="7" fillId="0" borderId="0" xfId="0" applyNumberFormat="1" applyFont="1" applyProtection="1"/>
    <xf numFmtId="168" fontId="5" fillId="0" borderId="0" xfId="0" applyNumberFormat="1" applyFont="1" applyProtection="1"/>
    <xf numFmtId="168" fontId="7" fillId="3" borderId="4" xfId="0" applyNumberFormat="1" applyFont="1" applyFill="1" applyBorder="1" applyProtection="1"/>
    <xf numFmtId="168" fontId="5" fillId="3" borderId="4" xfId="0" applyNumberFormat="1" applyFont="1" applyFill="1" applyBorder="1" applyProtection="1"/>
    <xf numFmtId="10" fontId="7" fillId="3" borderId="4" xfId="0" applyNumberFormat="1" applyFont="1" applyFill="1" applyBorder="1" applyProtection="1"/>
    <xf numFmtId="39" fontId="5" fillId="0" borderId="0" xfId="0" applyNumberFormat="1" applyFont="1" applyProtection="1"/>
    <xf numFmtId="168" fontId="7" fillId="0" borderId="2" xfId="0" applyNumberFormat="1" applyFont="1" applyBorder="1" applyAlignment="1" applyProtection="1">
      <alignment horizontal="center"/>
    </xf>
    <xf numFmtId="168" fontId="7" fillId="0" borderId="0" xfId="0" applyNumberFormat="1" applyFont="1" applyAlignment="1" applyProtection="1">
      <alignment horizontal="centerContinuous"/>
    </xf>
    <xf numFmtId="166" fontId="5" fillId="0" borderId="0" xfId="0" applyNumberFormat="1" applyFont="1" applyProtection="1"/>
    <xf numFmtId="166" fontId="7" fillId="3" borderId="4" xfId="0" applyNumberFormat="1" applyFont="1" applyFill="1" applyBorder="1" applyProtection="1"/>
    <xf numFmtId="166" fontId="0" fillId="0" borderId="0" xfId="0" applyNumberFormat="1"/>
    <xf numFmtId="166" fontId="4" fillId="0" borderId="3" xfId="0" applyNumberFormat="1" applyFont="1" applyBorder="1" applyProtection="1"/>
    <xf numFmtId="167" fontId="5" fillId="0" borderId="0" xfId="4" applyFont="1" applyProtection="1"/>
    <xf numFmtId="166" fontId="5" fillId="0" borderId="0" xfId="4" applyNumberFormat="1" applyFont="1" applyProtection="1"/>
    <xf numFmtId="166" fontId="0" fillId="0" borderId="0" xfId="4" applyNumberFormat="1" applyFont="1"/>
    <xf numFmtId="166" fontId="7" fillId="0" borderId="3" xfId="4" applyNumberFormat="1" applyFont="1" applyBorder="1" applyProtection="1"/>
    <xf numFmtId="166" fontId="4" fillId="2" borderId="4" xfId="4" applyNumberFormat="1" applyFont="1" applyFill="1" applyBorder="1" applyProtection="1"/>
    <xf numFmtId="166" fontId="7" fillId="0" borderId="0" xfId="4" applyNumberFormat="1" applyFont="1" applyProtection="1"/>
    <xf numFmtId="166" fontId="7" fillId="3" borderId="4" xfId="4" applyNumberFormat="1" applyFont="1" applyFill="1" applyBorder="1" applyProtection="1"/>
    <xf numFmtId="166" fontId="7" fillId="0" borderId="0" xfId="4" applyNumberFormat="1" applyFont="1" applyAlignment="1" applyProtection="1">
      <alignment horizontal="centerContinuous"/>
    </xf>
    <xf numFmtId="164" fontId="4" fillId="0" borderId="0" xfId="0" applyNumberFormat="1" applyFont="1" applyBorder="1" applyProtection="1"/>
    <xf numFmtId="10" fontId="0" fillId="0" borderId="0" xfId="8" applyNumberFormat="1" applyFont="1"/>
    <xf numFmtId="10" fontId="5" fillId="0" borderId="0" xfId="8" applyNumberFormat="1" applyFont="1" applyProtection="1"/>
    <xf numFmtId="10" fontId="7" fillId="3" borderId="4" xfId="8" applyNumberFormat="1" applyFont="1" applyFill="1" applyBorder="1" applyProtection="1"/>
    <xf numFmtId="168" fontId="1" fillId="0" borderId="0" xfId="0" applyFont="1"/>
    <xf numFmtId="166" fontId="1" fillId="0" borderId="0" xfId="4" applyNumberFormat="1" applyFont="1"/>
    <xf numFmtId="168" fontId="3" fillId="0" borderId="0" xfId="0" applyFont="1"/>
    <xf numFmtId="166" fontId="3" fillId="0" borderId="0" xfId="4" applyNumberFormat="1" applyFont="1"/>
    <xf numFmtId="171" fontId="0" fillId="0" borderId="0" xfId="0" applyNumberFormat="1"/>
    <xf numFmtId="168" fontId="7" fillId="0" borderId="0" xfId="0" applyNumberFormat="1" applyFont="1" applyFill="1" applyBorder="1" applyProtection="1"/>
    <xf numFmtId="166" fontId="7" fillId="0" borderId="0" xfId="4" applyNumberFormat="1" applyFont="1" applyFill="1" applyBorder="1" applyProtection="1"/>
    <xf numFmtId="164" fontId="5" fillId="0" borderId="0" xfId="0" quotePrefix="1" applyNumberFormat="1" applyFont="1" applyProtection="1"/>
    <xf numFmtId="168" fontId="5" fillId="0" borderId="0" xfId="0" quotePrefix="1" applyNumberFormat="1" applyFont="1" applyProtection="1"/>
    <xf numFmtId="168" fontId="7" fillId="3" borderId="4" xfId="0" quotePrefix="1" applyNumberFormat="1" applyFont="1" applyFill="1" applyBorder="1" applyProtection="1"/>
    <xf numFmtId="49" fontId="5" fillId="0" borderId="0" xfId="0" applyNumberFormat="1" applyFont="1" applyProtection="1"/>
    <xf numFmtId="168" fontId="8" fillId="0" borderId="0" xfId="0" applyFont="1"/>
    <xf numFmtId="10" fontId="8" fillId="0" borderId="0" xfId="8" applyNumberFormat="1" applyFont="1"/>
    <xf numFmtId="167" fontId="7" fillId="3" borderId="4" xfId="4" applyFont="1" applyFill="1" applyBorder="1" applyProtection="1"/>
    <xf numFmtId="164" fontId="7" fillId="0" borderId="7" xfId="0" applyNumberFormat="1" applyFont="1" applyBorder="1" applyProtection="1"/>
    <xf numFmtId="169" fontId="0" fillId="0" borderId="0" xfId="8" applyNumberFormat="1" applyFont="1"/>
    <xf numFmtId="167" fontId="0" fillId="0" borderId="0" xfId="4" applyFont="1"/>
    <xf numFmtId="168" fontId="1" fillId="0" borderId="8" xfId="0" applyFont="1" applyBorder="1" applyAlignment="1">
      <alignment horizontal="center"/>
    </xf>
    <xf numFmtId="167" fontId="1" fillId="0" borderId="7" xfId="4" applyFont="1" applyBorder="1"/>
    <xf numFmtId="168" fontId="7" fillId="4" borderId="0" xfId="0" applyNumberFormat="1" applyFont="1" applyFill="1" applyProtection="1"/>
    <xf numFmtId="166" fontId="7" fillId="4" borderId="3" xfId="4" applyNumberFormat="1" applyFont="1" applyFill="1" applyBorder="1" applyProtection="1"/>
    <xf numFmtId="166" fontId="1" fillId="4" borderId="7" xfId="4" applyNumberFormat="1" applyFont="1" applyFill="1" applyBorder="1"/>
    <xf numFmtId="166" fontId="7" fillId="3" borderId="4" xfId="8" applyNumberFormat="1" applyFont="1" applyFill="1" applyBorder="1" applyProtection="1"/>
    <xf numFmtId="168" fontId="9" fillId="0" borderId="0" xfId="0" applyFont="1"/>
    <xf numFmtId="168" fontId="0" fillId="0" borderId="0" xfId="0" applyAlignment="1">
      <alignment horizontal="right"/>
    </xf>
    <xf numFmtId="168" fontId="1" fillId="0" borderId="0" xfId="0" applyFont="1" applyAlignment="1">
      <alignment horizontal="right"/>
    </xf>
    <xf numFmtId="168" fontId="9" fillId="0" borderId="0" xfId="0" applyFont="1" applyAlignment="1">
      <alignment horizontal="left"/>
    </xf>
    <xf numFmtId="168" fontId="10" fillId="0" borderId="0" xfId="0" applyFont="1" applyFill="1" applyBorder="1"/>
    <xf numFmtId="168" fontId="0" fillId="0" borderId="0" xfId="0" applyFill="1" applyBorder="1" applyAlignment="1">
      <alignment horizontal="right"/>
    </xf>
    <xf numFmtId="168" fontId="2" fillId="4" borderId="9" xfId="0" applyFont="1" applyFill="1" applyBorder="1" applyAlignment="1">
      <alignment horizontal="right"/>
    </xf>
    <xf numFmtId="10" fontId="2" fillId="4" borderId="9" xfId="8" applyNumberFormat="1" applyFont="1" applyFill="1" applyBorder="1" applyAlignment="1">
      <alignment horizontal="right"/>
    </xf>
    <xf numFmtId="168" fontId="9" fillId="0" borderId="0" xfId="0" applyFont="1" applyFill="1" applyBorder="1" applyAlignment="1">
      <alignment horizontal="left"/>
    </xf>
    <xf numFmtId="173" fontId="0" fillId="0" borderId="0" xfId="8" applyNumberFormat="1" applyFont="1"/>
    <xf numFmtId="169" fontId="8" fillId="0" borderId="0" xfId="8" applyNumberFormat="1" applyFont="1"/>
    <xf numFmtId="9" fontId="5" fillId="0" borderId="0" xfId="8" applyFont="1" applyProtection="1"/>
    <xf numFmtId="164" fontId="5" fillId="0" borderId="0" xfId="8" applyNumberFormat="1" applyFont="1" applyProtection="1"/>
    <xf numFmtId="9" fontId="5" fillId="0" borderId="0" xfId="8" applyFont="1" applyAlignment="1" applyProtection="1">
      <alignment horizontal="center"/>
    </xf>
    <xf numFmtId="169" fontId="5" fillId="0" borderId="0" xfId="8" applyNumberFormat="1" applyFont="1" applyProtection="1"/>
    <xf numFmtId="168" fontId="12" fillId="0" borderId="0" xfId="0" applyFont="1"/>
    <xf numFmtId="174" fontId="0" fillId="0" borderId="0" xfId="0" applyNumberFormat="1"/>
    <xf numFmtId="166" fontId="13" fillId="0" borderId="0" xfId="4" applyNumberFormat="1" applyFont="1" applyProtection="1"/>
    <xf numFmtId="175" fontId="0" fillId="0" borderId="0" xfId="0" applyNumberFormat="1"/>
    <xf numFmtId="172" fontId="5" fillId="0" borderId="0" xfId="3" applyFont="1" applyProtection="1"/>
    <xf numFmtId="164" fontId="12" fillId="0" borderId="7" xfId="0" applyNumberFormat="1" applyFont="1" applyBorder="1"/>
    <xf numFmtId="169" fontId="12" fillId="0" borderId="0" xfId="8" applyNumberFormat="1" applyFont="1" applyBorder="1"/>
    <xf numFmtId="168" fontId="12" fillId="5" borderId="8" xfId="0" applyFont="1" applyFill="1" applyBorder="1" applyAlignment="1">
      <alignment horizontal="center" vertical="center"/>
    </xf>
    <xf numFmtId="168" fontId="0" fillId="5" borderId="0" xfId="0" applyFill="1"/>
    <xf numFmtId="166" fontId="0" fillId="5" borderId="0" xfId="4" applyNumberFormat="1" applyFont="1" applyFill="1"/>
    <xf numFmtId="164" fontId="12" fillId="5" borderId="7" xfId="0" applyNumberFormat="1" applyFont="1" applyFill="1" applyBorder="1"/>
    <xf numFmtId="169" fontId="12" fillId="5" borderId="0" xfId="8" applyNumberFormat="1" applyFont="1" applyFill="1" applyBorder="1"/>
    <xf numFmtId="169" fontId="0" fillId="5" borderId="0" xfId="8" applyNumberFormat="1" applyFont="1" applyFill="1"/>
    <xf numFmtId="168" fontId="0" fillId="0" borderId="10" xfId="0" applyBorder="1"/>
    <xf numFmtId="166" fontId="0" fillId="0" borderId="10" xfId="4" applyNumberFormat="1" applyFont="1" applyBorder="1"/>
    <xf numFmtId="164" fontId="12" fillId="0" borderId="11" xfId="0" applyNumberFormat="1" applyFont="1" applyBorder="1"/>
    <xf numFmtId="169" fontId="12" fillId="0" borderId="10" xfId="8" applyNumberFormat="1" applyFont="1" applyBorder="1"/>
    <xf numFmtId="169" fontId="0" fillId="0" borderId="10" xfId="8" applyNumberFormat="1" applyFont="1" applyBorder="1"/>
    <xf numFmtId="168" fontId="15" fillId="0" borderId="0" xfId="0" applyNumberFormat="1" applyFont="1" applyProtection="1"/>
    <xf numFmtId="168" fontId="12" fillId="0" borderId="8" xfId="0" applyFont="1" applyBorder="1" applyAlignment="1">
      <alignment horizontal="center"/>
    </xf>
    <xf numFmtId="168" fontId="12" fillId="0" borderId="12" xfId="0" applyFont="1" applyBorder="1" applyAlignment="1">
      <alignment horizontal="center" wrapText="1"/>
    </xf>
    <xf numFmtId="172" fontId="0" fillId="0" borderId="0" xfId="3" applyFont="1"/>
    <xf numFmtId="164" fontId="5" fillId="0" borderId="0" xfId="0" applyNumberFormat="1" applyFont="1" applyFill="1" applyProtection="1"/>
    <xf numFmtId="164" fontId="4" fillId="0" borderId="3" xfId="0" applyNumberFormat="1" applyFont="1" applyFill="1" applyBorder="1" applyProtection="1"/>
    <xf numFmtId="164" fontId="0" fillId="0" borderId="0" xfId="0" applyNumberFormat="1"/>
    <xf numFmtId="164" fontId="0" fillId="6" borderId="0" xfId="0" applyNumberFormat="1" applyFill="1"/>
    <xf numFmtId="170" fontId="0" fillId="0" borderId="0" xfId="0" applyNumberFormat="1"/>
    <xf numFmtId="168" fontId="4" fillId="7" borderId="2" xfId="0" applyNumberFormat="1" applyFont="1" applyFill="1" applyBorder="1" applyAlignment="1" applyProtection="1">
      <alignment horizontal="center"/>
    </xf>
    <xf numFmtId="10" fontId="5" fillId="0" borderId="0" xfId="8" applyNumberFormat="1" applyFont="1" applyBorder="1" applyProtection="1"/>
    <xf numFmtId="164" fontId="5" fillId="0" borderId="0" xfId="0" applyNumberFormat="1" applyFont="1" applyBorder="1" applyProtection="1"/>
    <xf numFmtId="3" fontId="0" fillId="0" borderId="0" xfId="0" applyNumberFormat="1"/>
    <xf numFmtId="164" fontId="5" fillId="0" borderId="8" xfId="0" applyNumberFormat="1" applyFont="1" applyBorder="1" applyProtection="1"/>
    <xf numFmtId="164" fontId="0" fillId="0" borderId="0" xfId="8" applyNumberFormat="1" applyFont="1"/>
    <xf numFmtId="168" fontId="0" fillId="0" borderId="0" xfId="0" applyFill="1"/>
    <xf numFmtId="168" fontId="4" fillId="0" borderId="2" xfId="0" applyNumberFormat="1" applyFont="1" applyFill="1" applyBorder="1" applyAlignment="1" applyProtection="1">
      <alignment horizontal="center"/>
    </xf>
    <xf numFmtId="164" fontId="4" fillId="0" borderId="0" xfId="0" applyNumberFormat="1" applyFont="1" applyFill="1" applyProtection="1"/>
    <xf numFmtId="166" fontId="5" fillId="0" borderId="0" xfId="4" applyNumberFormat="1" applyFont="1" applyFill="1" applyProtection="1"/>
    <xf numFmtId="164" fontId="5" fillId="0" borderId="2" xfId="0" applyNumberFormat="1" applyFont="1" applyFill="1" applyBorder="1" applyProtection="1"/>
    <xf numFmtId="164" fontId="7" fillId="0" borderId="0" xfId="0" applyNumberFormat="1" applyFont="1" applyFill="1" applyProtection="1"/>
    <xf numFmtId="3" fontId="0" fillId="0" borderId="0" xfId="0" applyNumberFormat="1" applyFill="1"/>
    <xf numFmtId="10" fontId="5" fillId="0" borderId="0" xfId="8" applyNumberFormat="1" applyFont="1" applyFill="1" applyProtection="1"/>
    <xf numFmtId="164" fontId="5" fillId="0" borderId="0" xfId="8" applyNumberFormat="1" applyFont="1" applyFill="1" applyProtection="1"/>
    <xf numFmtId="10" fontId="0" fillId="0" borderId="0" xfId="8" applyNumberFormat="1" applyFont="1" applyFill="1"/>
    <xf numFmtId="9" fontId="0" fillId="0" borderId="0" xfId="8" applyFont="1" applyFill="1"/>
    <xf numFmtId="168" fontId="0" fillId="8" borderId="0" xfId="0" applyFill="1"/>
    <xf numFmtId="168" fontId="16" fillId="8" borderId="0" xfId="0" applyFont="1" applyFill="1" applyBorder="1"/>
    <xf numFmtId="168" fontId="16" fillId="8" borderId="13" xfId="0" applyFont="1" applyFill="1" applyBorder="1"/>
    <xf numFmtId="168" fontId="16" fillId="8" borderId="14" xfId="0" applyFont="1" applyFill="1" applyBorder="1"/>
    <xf numFmtId="168" fontId="19" fillId="8" borderId="15" xfId="0" applyFont="1" applyFill="1" applyBorder="1"/>
    <xf numFmtId="168" fontId="16" fillId="8" borderId="7" xfId="0" applyFont="1" applyFill="1" applyBorder="1"/>
    <xf numFmtId="168" fontId="16" fillId="8" borderId="16" xfId="0" applyFont="1" applyFill="1" applyBorder="1"/>
    <xf numFmtId="4" fontId="16" fillId="8" borderId="0" xfId="0" applyNumberFormat="1" applyFont="1" applyFill="1" applyBorder="1"/>
    <xf numFmtId="176" fontId="16" fillId="8" borderId="0" xfId="0" applyNumberFormat="1" applyFont="1" applyFill="1" applyBorder="1"/>
    <xf numFmtId="176" fontId="16" fillId="8" borderId="0" xfId="0" applyNumberFormat="1" applyFont="1" applyFill="1" applyBorder="1" applyAlignment="1">
      <alignment horizontal="center"/>
    </xf>
    <xf numFmtId="10" fontId="16" fillId="8" borderId="0" xfId="8" applyNumberFormat="1" applyFont="1" applyFill="1" applyBorder="1"/>
    <xf numFmtId="168" fontId="19" fillId="8" borderId="16" xfId="0" applyFont="1" applyFill="1" applyBorder="1"/>
    <xf numFmtId="2" fontId="16" fillId="8" borderId="0" xfId="0" applyNumberFormat="1" applyFont="1" applyFill="1" applyBorder="1"/>
    <xf numFmtId="168" fontId="16" fillId="8" borderId="16" xfId="0" applyFont="1" applyFill="1" applyBorder="1" applyAlignment="1">
      <alignment wrapText="1"/>
    </xf>
    <xf numFmtId="10" fontId="16" fillId="8" borderId="0" xfId="8" applyNumberFormat="1" applyFont="1" applyFill="1" applyBorder="1" applyAlignment="1">
      <alignment vertical="center" wrapText="1"/>
    </xf>
    <xf numFmtId="168" fontId="16" fillId="8" borderId="17" xfId="0" applyFont="1" applyFill="1" applyBorder="1"/>
    <xf numFmtId="10" fontId="16" fillId="8" borderId="8" xfId="8" applyNumberFormat="1" applyFont="1" applyFill="1" applyBorder="1"/>
    <xf numFmtId="168" fontId="18" fillId="9" borderId="18" xfId="0" applyFont="1" applyFill="1" applyBorder="1" applyProtection="1">
      <protection locked="0"/>
    </xf>
    <xf numFmtId="10" fontId="5" fillId="0" borderId="0" xfId="0" applyNumberFormat="1" applyFont="1" applyFill="1" applyProtection="1"/>
    <xf numFmtId="169" fontId="0" fillId="0" borderId="0" xfId="8" applyNumberFormat="1" applyFont="1" applyFill="1"/>
    <xf numFmtId="164" fontId="5" fillId="0" borderId="0" xfId="0" applyNumberFormat="1" applyFont="1" applyFill="1" applyBorder="1" applyProtection="1"/>
    <xf numFmtId="164" fontId="5" fillId="0" borderId="8" xfId="0" applyNumberFormat="1" applyFont="1" applyFill="1" applyBorder="1" applyProtection="1"/>
    <xf numFmtId="10" fontId="5" fillId="0" borderId="2" xfId="0" applyNumberFormat="1" applyFont="1" applyFill="1" applyBorder="1" applyProtection="1"/>
    <xf numFmtId="10" fontId="7" fillId="0" borderId="0" xfId="0" applyNumberFormat="1" applyFont="1" applyFill="1" applyProtection="1"/>
    <xf numFmtId="172" fontId="5" fillId="0" borderId="0" xfId="3" applyFont="1" applyFill="1" applyProtection="1"/>
    <xf numFmtId="164" fontId="7" fillId="0" borderId="7" xfId="0" applyNumberFormat="1" applyFont="1" applyFill="1" applyBorder="1" applyProtection="1"/>
    <xf numFmtId="168" fontId="5" fillId="10" borderId="0" xfId="0" applyNumberFormat="1" applyFont="1" applyFill="1" applyProtection="1"/>
    <xf numFmtId="168" fontId="8" fillId="10" borderId="0" xfId="0" applyFont="1" applyFill="1"/>
    <xf numFmtId="168" fontId="0" fillId="10" borderId="0" xfId="0" applyFill="1"/>
    <xf numFmtId="168" fontId="8" fillId="11" borderId="0" xfId="0" applyFont="1" applyFill="1"/>
    <xf numFmtId="10" fontId="8" fillId="11" borderId="0" xfId="8" applyNumberFormat="1" applyFont="1" applyFill="1"/>
    <xf numFmtId="10" fontId="3" fillId="0" borderId="0" xfId="8" applyNumberFormat="1" applyFont="1"/>
    <xf numFmtId="168" fontId="0" fillId="11" borderId="0" xfId="0" applyFill="1"/>
    <xf numFmtId="10" fontId="0" fillId="11" borderId="0" xfId="8" applyNumberFormat="1" applyFont="1" applyFill="1"/>
    <xf numFmtId="177" fontId="0" fillId="0" borderId="0" xfId="0" applyNumberFormat="1"/>
    <xf numFmtId="168" fontId="3" fillId="0" borderId="19" xfId="0" applyFont="1" applyBorder="1"/>
    <xf numFmtId="168" fontId="3" fillId="0" borderId="20" xfId="0" applyFont="1" applyBorder="1"/>
    <xf numFmtId="9" fontId="0" fillId="0" borderId="21" xfId="0" applyNumberFormat="1" applyBorder="1"/>
    <xf numFmtId="9" fontId="0" fillId="0" borderId="22" xfId="0" applyNumberFormat="1" applyBorder="1"/>
    <xf numFmtId="10" fontId="0" fillId="0" borderId="21" xfId="0" applyNumberFormat="1" applyBorder="1"/>
    <xf numFmtId="10" fontId="0" fillId="0" borderId="22" xfId="0" applyNumberFormat="1" applyBorder="1"/>
    <xf numFmtId="168" fontId="3" fillId="0" borderId="23" xfId="0" applyFont="1" applyBorder="1"/>
    <xf numFmtId="4" fontId="0" fillId="0" borderId="24" xfId="0" applyNumberFormat="1" applyBorder="1"/>
    <xf numFmtId="168" fontId="3" fillId="0" borderId="19" xfId="0" applyFont="1" applyFill="1" applyBorder="1"/>
    <xf numFmtId="4" fontId="0" fillId="0" borderId="21" xfId="0" applyNumberFormat="1" applyBorder="1"/>
    <xf numFmtId="168" fontId="12" fillId="0" borderId="20" xfId="0" applyFont="1" applyFill="1" applyBorder="1"/>
    <xf numFmtId="168" fontId="3" fillId="0" borderId="25" xfId="0" applyFont="1" applyFill="1" applyBorder="1"/>
    <xf numFmtId="4" fontId="0" fillId="0" borderId="26" xfId="0" applyNumberFormat="1" applyBorder="1"/>
    <xf numFmtId="168" fontId="12" fillId="0" borderId="27" xfId="0" applyFont="1" applyFill="1" applyBorder="1"/>
    <xf numFmtId="4" fontId="12" fillId="0" borderId="28" xfId="0" applyNumberFormat="1" applyFont="1" applyBorder="1"/>
    <xf numFmtId="168" fontId="3" fillId="0" borderId="20" xfId="0" applyFont="1" applyFill="1" applyBorder="1"/>
    <xf numFmtId="10" fontId="0" fillId="0" borderId="24" xfId="0" applyNumberFormat="1" applyBorder="1"/>
    <xf numFmtId="10" fontId="0" fillId="0" borderId="29" xfId="0" applyNumberFormat="1" applyBorder="1"/>
    <xf numFmtId="10" fontId="0" fillId="0" borderId="30" xfId="0" applyNumberFormat="1" applyBorder="1"/>
    <xf numFmtId="10" fontId="0" fillId="0" borderId="31" xfId="0" applyNumberFormat="1" applyBorder="1"/>
    <xf numFmtId="168" fontId="12" fillId="0" borderId="27" xfId="0" applyFont="1" applyBorder="1"/>
    <xf numFmtId="10" fontId="0" fillId="0" borderId="28" xfId="0" applyNumberFormat="1" applyBorder="1"/>
    <xf numFmtId="10" fontId="0" fillId="0" borderId="32" xfId="0" applyNumberFormat="1" applyBorder="1"/>
    <xf numFmtId="168" fontId="3" fillId="0" borderId="33" xfId="0" applyFont="1" applyBorder="1"/>
    <xf numFmtId="10" fontId="0" fillId="0" borderId="34" xfId="0" applyNumberFormat="1" applyBorder="1"/>
    <xf numFmtId="10" fontId="12" fillId="0" borderId="30" xfId="0" applyNumberFormat="1" applyFont="1" applyBorder="1"/>
    <xf numFmtId="10" fontId="12" fillId="0" borderId="31" xfId="0" applyNumberFormat="1" applyFont="1" applyBorder="1"/>
    <xf numFmtId="0" fontId="22" fillId="0" borderId="0" xfId="0" applyNumberFormat="1" applyFont="1"/>
    <xf numFmtId="15" fontId="22" fillId="6" borderId="0" xfId="0" applyNumberFormat="1" applyFont="1" applyFill="1"/>
    <xf numFmtId="0" fontId="23" fillId="0" borderId="0" xfId="0" applyNumberFormat="1" applyFont="1"/>
    <xf numFmtId="0" fontId="24" fillId="0" borderId="0" xfId="0" applyNumberFormat="1" applyFont="1"/>
    <xf numFmtId="0" fontId="22" fillId="11" borderId="35" xfId="0" applyNumberFormat="1" applyFont="1" applyFill="1" applyBorder="1" applyAlignment="1">
      <alignment horizontal="center"/>
    </xf>
    <xf numFmtId="0" fontId="22" fillId="0" borderId="0" xfId="0" applyNumberFormat="1" applyFont="1" applyFill="1" applyBorder="1" applyAlignment="1">
      <alignment horizontal="center"/>
    </xf>
    <xf numFmtId="0" fontId="22" fillId="12" borderId="35" xfId="0" applyNumberFormat="1" applyFont="1" applyFill="1" applyBorder="1" applyAlignment="1">
      <alignment horizontal="center"/>
    </xf>
    <xf numFmtId="10" fontId="22" fillId="12" borderId="36" xfId="0" applyNumberFormat="1" applyFont="1" applyFill="1" applyBorder="1" applyAlignment="1">
      <alignment horizontal="center"/>
    </xf>
    <xf numFmtId="0" fontId="25" fillId="0" borderId="15" xfId="0" applyNumberFormat="1" applyFont="1" applyBorder="1" applyAlignment="1">
      <alignment horizontal="centerContinuous"/>
    </xf>
    <xf numFmtId="0" fontId="25" fillId="0" borderId="7" xfId="0" applyNumberFormat="1" applyFont="1" applyBorder="1" applyAlignment="1">
      <alignment horizontal="centerContinuous"/>
    </xf>
    <xf numFmtId="0" fontId="25" fillId="0" borderId="37" xfId="0" applyNumberFormat="1" applyFont="1" applyBorder="1" applyAlignment="1">
      <alignment horizontal="centerContinuous"/>
    </xf>
    <xf numFmtId="0" fontId="38" fillId="0" borderId="35" xfId="0" applyNumberFormat="1" applyFont="1" applyBorder="1" applyAlignment="1">
      <alignment horizontal="center"/>
    </xf>
    <xf numFmtId="0" fontId="39" fillId="0" borderId="35" xfId="0" applyNumberFormat="1" applyFont="1" applyBorder="1" applyAlignment="1">
      <alignment horizontal="center"/>
    </xf>
    <xf numFmtId="0" fontId="40" fillId="0" borderId="35" xfId="0" applyNumberFormat="1" applyFont="1" applyBorder="1" applyAlignment="1">
      <alignment horizontal="center"/>
    </xf>
    <xf numFmtId="10" fontId="40" fillId="0" borderId="35" xfId="0" applyNumberFormat="1" applyFont="1" applyBorder="1" applyAlignment="1">
      <alignment horizontal="center"/>
    </xf>
    <xf numFmtId="165" fontId="40" fillId="0" borderId="35" xfId="4" applyNumberFormat="1" applyFont="1" applyBorder="1"/>
    <xf numFmtId="10" fontId="40" fillId="0" borderId="35" xfId="0" applyNumberFormat="1" applyFont="1" applyBorder="1"/>
    <xf numFmtId="0" fontId="40" fillId="0" borderId="35" xfId="0" applyNumberFormat="1" applyFont="1" applyBorder="1"/>
    <xf numFmtId="0" fontId="40" fillId="0" borderId="0" xfId="0" applyNumberFormat="1" applyFont="1" applyBorder="1" applyAlignment="1">
      <alignment horizontal="center"/>
    </xf>
    <xf numFmtId="10" fontId="40" fillId="0" borderId="0" xfId="0" applyNumberFormat="1" applyFont="1" applyBorder="1" applyAlignment="1">
      <alignment horizontal="center"/>
    </xf>
    <xf numFmtId="0" fontId="25" fillId="0" borderId="0" xfId="0" applyNumberFormat="1" applyFont="1" applyAlignment="1">
      <alignment horizontal="left"/>
    </xf>
    <xf numFmtId="0" fontId="22" fillId="0" borderId="0" xfId="0" applyNumberFormat="1" applyFont="1" applyAlignment="1">
      <alignment horizontal="center"/>
    </xf>
    <xf numFmtId="0" fontId="22" fillId="0" borderId="35" xfId="0" applyNumberFormat="1" applyFont="1" applyBorder="1"/>
    <xf numFmtId="0" fontId="22" fillId="0" borderId="35" xfId="0" applyNumberFormat="1" applyFont="1" applyBorder="1" applyAlignment="1">
      <alignment horizontal="center"/>
    </xf>
    <xf numFmtId="10" fontId="22" fillId="0" borderId="35" xfId="0" applyNumberFormat="1" applyFont="1" applyBorder="1" applyAlignment="1">
      <alignment horizontal="center"/>
    </xf>
    <xf numFmtId="10" fontId="22" fillId="0" borderId="35" xfId="0" applyNumberFormat="1" applyFont="1" applyBorder="1"/>
    <xf numFmtId="0" fontId="27" fillId="0" borderId="0" xfId="0" applyNumberFormat="1" applyFont="1"/>
    <xf numFmtId="0" fontId="25" fillId="0" borderId="0" xfId="0" applyNumberFormat="1" applyFont="1" applyAlignment="1">
      <alignment horizontal="center"/>
    </xf>
    <xf numFmtId="10" fontId="22" fillId="0" borderId="35" xfId="8" applyNumberFormat="1" applyFont="1" applyBorder="1" applyAlignment="1">
      <alignment horizontal="center"/>
    </xf>
    <xf numFmtId="10" fontId="22" fillId="11" borderId="35" xfId="8" applyNumberFormat="1" applyFont="1" applyFill="1" applyBorder="1" applyAlignment="1">
      <alignment horizontal="center"/>
    </xf>
    <xf numFmtId="10" fontId="22" fillId="0" borderId="0" xfId="0" applyNumberFormat="1" applyFont="1"/>
    <xf numFmtId="168" fontId="31" fillId="8" borderId="38" xfId="0" applyFont="1" applyFill="1" applyBorder="1" applyAlignment="1">
      <alignment horizontal="left" wrapText="1"/>
    </xf>
    <xf numFmtId="168" fontId="31" fillId="8" borderId="39" xfId="0" applyFont="1" applyFill="1" applyBorder="1" applyAlignment="1">
      <alignment horizontal="left" wrapText="1"/>
    </xf>
    <xf numFmtId="168" fontId="31" fillId="8" borderId="40" xfId="0" applyFont="1" applyFill="1" applyBorder="1" applyAlignment="1">
      <alignment horizontal="left" wrapText="1"/>
    </xf>
    <xf numFmtId="168" fontId="41" fillId="8" borderId="39" xfId="0" applyFont="1" applyFill="1" applyBorder="1" applyAlignment="1">
      <alignment horizontal="left" wrapText="1"/>
    </xf>
    <xf numFmtId="170" fontId="41" fillId="8" borderId="38" xfId="0" applyNumberFormat="1" applyFont="1" applyFill="1" applyBorder="1" applyAlignment="1">
      <alignment horizontal="center" wrapText="1"/>
    </xf>
    <xf numFmtId="170" fontId="41" fillId="8" borderId="40" xfId="0" applyNumberFormat="1" applyFont="1" applyFill="1" applyBorder="1" applyAlignment="1">
      <alignment horizontal="center" wrapText="1"/>
    </xf>
    <xf numFmtId="10" fontId="41" fillId="8" borderId="38" xfId="0" applyNumberFormat="1" applyFont="1" applyFill="1" applyBorder="1" applyAlignment="1">
      <alignment horizontal="center" wrapText="1"/>
    </xf>
    <xf numFmtId="10" fontId="41" fillId="8" borderId="40" xfId="0" applyNumberFormat="1" applyFont="1" applyFill="1" applyBorder="1" applyAlignment="1">
      <alignment horizontal="center" wrapText="1"/>
    </xf>
    <xf numFmtId="168" fontId="31" fillId="8" borderId="39" xfId="0" applyFont="1" applyFill="1" applyBorder="1" applyAlignment="1">
      <alignment horizontal="center" wrapText="1"/>
    </xf>
    <xf numFmtId="168" fontId="31" fillId="8" borderId="38" xfId="0" applyFont="1" applyFill="1" applyBorder="1" applyAlignment="1">
      <alignment horizontal="center" wrapText="1"/>
    </xf>
    <xf numFmtId="168" fontId="31" fillId="8" borderId="40" xfId="0" applyFont="1" applyFill="1" applyBorder="1" applyAlignment="1">
      <alignment horizontal="center" wrapText="1"/>
    </xf>
    <xf numFmtId="14" fontId="25" fillId="0" borderId="0" xfId="0" applyNumberFormat="1" applyFont="1"/>
    <xf numFmtId="0" fontId="32" fillId="0" borderId="0" xfId="5" applyFont="1" applyAlignment="1">
      <alignment horizontal="left"/>
    </xf>
    <xf numFmtId="0" fontId="26" fillId="0" borderId="0" xfId="5"/>
    <xf numFmtId="0" fontId="26" fillId="0" borderId="0" xfId="5" applyAlignment="1">
      <alignment horizontal="left"/>
    </xf>
    <xf numFmtId="0" fontId="33" fillId="0" borderId="0" xfId="5" applyFont="1" applyAlignment="1">
      <alignment horizontal="left"/>
    </xf>
    <xf numFmtId="0" fontId="28" fillId="0" borderId="0" xfId="2" applyAlignment="1" applyProtection="1">
      <alignment horizontal="left"/>
    </xf>
    <xf numFmtId="0" fontId="34" fillId="0" borderId="35" xfId="5" applyFont="1" applyBorder="1"/>
    <xf numFmtId="0" fontId="34" fillId="0" borderId="41" xfId="5" applyFont="1" applyBorder="1" applyAlignment="1">
      <alignment horizontal="center"/>
    </xf>
    <xf numFmtId="2" fontId="34" fillId="0" borderId="41" xfId="5" applyNumberFormat="1" applyFont="1" applyBorder="1" applyAlignment="1">
      <alignment horizontal="center"/>
    </xf>
    <xf numFmtId="0" fontId="35" fillId="0" borderId="42" xfId="5" applyFont="1" applyBorder="1"/>
    <xf numFmtId="0" fontId="35" fillId="0" borderId="43" xfId="5" applyFont="1" applyBorder="1" applyAlignment="1">
      <alignment horizontal="center"/>
    </xf>
    <xf numFmtId="2" fontId="35" fillId="0" borderId="43" xfId="5" applyNumberFormat="1" applyFont="1" applyBorder="1" applyAlignment="1">
      <alignment horizontal="center"/>
    </xf>
    <xf numFmtId="10" fontId="35" fillId="0" borderId="43" xfId="5" applyNumberFormat="1" applyFont="1" applyBorder="1" applyAlignment="1">
      <alignment horizontal="center"/>
    </xf>
    <xf numFmtId="0" fontId="35" fillId="0" borderId="42" xfId="5" applyFont="1" applyFill="1" applyBorder="1"/>
    <xf numFmtId="0" fontId="35" fillId="11" borderId="43" xfId="5" applyFont="1" applyFill="1" applyBorder="1" applyAlignment="1">
      <alignment horizontal="center"/>
    </xf>
    <xf numFmtId="2" fontId="35" fillId="11" borderId="43" xfId="5" applyNumberFormat="1" applyFont="1" applyFill="1" applyBorder="1" applyAlignment="1">
      <alignment horizontal="center"/>
    </xf>
    <xf numFmtId="10" fontId="35" fillId="11" borderId="43" xfId="5" applyNumberFormat="1" applyFont="1" applyFill="1" applyBorder="1" applyAlignment="1">
      <alignment horizontal="center"/>
    </xf>
    <xf numFmtId="0" fontId="36" fillId="0" borderId="42" xfId="5" applyFont="1" applyBorder="1"/>
    <xf numFmtId="0" fontId="36" fillId="0" borderId="43" xfId="5" applyFont="1" applyBorder="1" applyAlignment="1">
      <alignment horizontal="center"/>
    </xf>
    <xf numFmtId="2" fontId="36" fillId="0" borderId="43" xfId="5" applyNumberFormat="1" applyFont="1" applyBorder="1" applyAlignment="1">
      <alignment horizontal="center"/>
    </xf>
    <xf numFmtId="10" fontId="36" fillId="0" borderId="43" xfId="5" applyNumberFormat="1" applyFont="1" applyBorder="1" applyAlignment="1">
      <alignment horizontal="center"/>
    </xf>
    <xf numFmtId="2" fontId="26" fillId="0" borderId="0" xfId="5" applyNumberFormat="1"/>
    <xf numFmtId="0" fontId="36" fillId="11" borderId="42" xfId="5" applyFont="1" applyFill="1" applyBorder="1"/>
    <xf numFmtId="170" fontId="0" fillId="0" borderId="21" xfId="0" applyNumberFormat="1" applyBorder="1"/>
    <xf numFmtId="170" fontId="0" fillId="0" borderId="22" xfId="0" applyNumberFormat="1" applyBorder="1"/>
    <xf numFmtId="0" fontId="25" fillId="0" borderId="0" xfId="0" applyNumberFormat="1" applyFont="1"/>
    <xf numFmtId="0" fontId="21" fillId="0" borderId="0" xfId="1" applyNumberFormat="1" applyAlignment="1" applyProtection="1"/>
    <xf numFmtId="0" fontId="25" fillId="0" borderId="35" xfId="0" applyNumberFormat="1" applyFont="1" applyBorder="1" applyAlignment="1">
      <alignment horizontal="center"/>
    </xf>
    <xf numFmtId="170" fontId="0" fillId="0" borderId="30" xfId="0" applyNumberFormat="1" applyBorder="1"/>
    <xf numFmtId="170" fontId="0" fillId="0" borderId="31" xfId="0" applyNumberFormat="1" applyBorder="1"/>
    <xf numFmtId="10" fontId="12" fillId="0" borderId="28" xfId="0" applyNumberFormat="1" applyFont="1" applyBorder="1"/>
    <xf numFmtId="10" fontId="12" fillId="0" borderId="32" xfId="0" applyNumberFormat="1" applyFont="1" applyBorder="1"/>
    <xf numFmtId="6" fontId="5" fillId="0" borderId="0" xfId="0" applyNumberFormat="1" applyFont="1" applyFill="1" applyProtection="1"/>
    <xf numFmtId="6" fontId="5" fillId="0" borderId="0" xfId="0" applyNumberFormat="1" applyFont="1" applyProtection="1"/>
    <xf numFmtId="178" fontId="0" fillId="0" borderId="0" xfId="3" applyNumberFormat="1" applyFont="1" applyFill="1"/>
    <xf numFmtId="8" fontId="5" fillId="0" borderId="0" xfId="0" applyNumberFormat="1" applyFont="1" applyProtection="1"/>
    <xf numFmtId="178" fontId="5" fillId="0" borderId="0" xfId="3" applyNumberFormat="1" applyFont="1" applyProtection="1"/>
    <xf numFmtId="4" fontId="5" fillId="0" borderId="0" xfId="8" applyNumberFormat="1" applyFont="1" applyProtection="1"/>
    <xf numFmtId="164" fontId="4" fillId="13" borderId="4" xfId="0" applyNumberFormat="1" applyFont="1" applyFill="1" applyBorder="1" applyProtection="1"/>
    <xf numFmtId="164" fontId="4" fillId="10" borderId="4" xfId="0" applyNumberFormat="1" applyFont="1" applyFill="1" applyBorder="1" applyProtection="1"/>
    <xf numFmtId="172" fontId="0" fillId="0" borderId="0" xfId="3" applyFont="1" applyFill="1"/>
    <xf numFmtId="10" fontId="4" fillId="0" borderId="0" xfId="8" applyNumberFormat="1" applyFont="1" applyBorder="1" applyProtection="1"/>
    <xf numFmtId="170" fontId="0" fillId="0" borderId="0" xfId="0" applyNumberFormat="1" applyFill="1"/>
    <xf numFmtId="168" fontId="18" fillId="9" borderId="8" xfId="0" applyFont="1" applyFill="1" applyBorder="1" applyProtection="1">
      <protection locked="0"/>
    </xf>
    <xf numFmtId="168" fontId="0" fillId="8" borderId="0" xfId="0" applyFill="1" applyBorder="1"/>
    <xf numFmtId="168" fontId="0" fillId="14" borderId="0" xfId="0" applyFill="1"/>
    <xf numFmtId="168" fontId="12" fillId="14" borderId="44" xfId="0" applyFont="1" applyFill="1" applyBorder="1" applyAlignment="1">
      <alignment vertical="center" wrapText="1"/>
    </xf>
    <xf numFmtId="168" fontId="0" fillId="14" borderId="45" xfId="0" applyFill="1" applyBorder="1" applyAlignment="1">
      <alignment vertical="center" wrapText="1"/>
    </xf>
    <xf numFmtId="168" fontId="0" fillId="14" borderId="46" xfId="0" applyFill="1" applyBorder="1" applyAlignment="1">
      <alignment vertical="center" wrapText="1"/>
    </xf>
    <xf numFmtId="168" fontId="0" fillId="14" borderId="0" xfId="0" applyFill="1" applyAlignment="1">
      <alignment vertical="center" wrapText="1"/>
    </xf>
    <xf numFmtId="168" fontId="3" fillId="14" borderId="47" xfId="0" applyFont="1" applyFill="1" applyBorder="1" applyAlignment="1">
      <alignment vertical="center" wrapText="1"/>
    </xf>
    <xf numFmtId="169" fontId="37" fillId="14" borderId="0" xfId="8" applyNumberFormat="1" applyFont="1" applyFill="1" applyBorder="1" applyAlignment="1">
      <alignment vertical="center" wrapText="1"/>
    </xf>
    <xf numFmtId="10" fontId="3" fillId="14" borderId="0" xfId="8" applyNumberFormat="1" applyFont="1" applyFill="1" applyBorder="1" applyAlignment="1">
      <alignment vertical="center" wrapText="1"/>
    </xf>
    <xf numFmtId="10" fontId="3" fillId="14" borderId="48" xfId="8" applyNumberFormat="1" applyFont="1" applyFill="1" applyBorder="1" applyAlignment="1">
      <alignment vertical="center" wrapText="1"/>
    </xf>
    <xf numFmtId="164" fontId="5" fillId="14" borderId="47" xfId="0" applyNumberFormat="1" applyFont="1" applyFill="1" applyBorder="1" applyAlignment="1" applyProtection="1">
      <alignment vertical="center" wrapText="1"/>
    </xf>
    <xf numFmtId="164" fontId="5" fillId="14" borderId="49" xfId="0" applyNumberFormat="1" applyFont="1" applyFill="1" applyBorder="1" applyAlignment="1" applyProtection="1">
      <alignment vertical="center" wrapText="1"/>
    </xf>
    <xf numFmtId="168" fontId="3" fillId="14" borderId="0" xfId="0" applyFont="1" applyFill="1" applyAlignment="1">
      <alignment vertical="center" wrapText="1"/>
    </xf>
    <xf numFmtId="9" fontId="3" fillId="14" borderId="0" xfId="8" applyFont="1" applyFill="1" applyAlignment="1">
      <alignment vertical="center" wrapText="1"/>
    </xf>
    <xf numFmtId="164" fontId="4" fillId="14" borderId="0" xfId="0" applyNumberFormat="1" applyFont="1" applyFill="1" applyAlignment="1" applyProtection="1">
      <alignment vertical="center" wrapText="1"/>
    </xf>
    <xf numFmtId="168" fontId="42" fillId="15" borderId="0" xfId="0" applyFont="1" applyFill="1" applyAlignment="1">
      <alignment vertical="center" wrapText="1"/>
    </xf>
    <xf numFmtId="168" fontId="42" fillId="16" borderId="0" xfId="0" applyFont="1" applyFill="1" applyAlignment="1">
      <alignment vertical="center" wrapText="1"/>
    </xf>
    <xf numFmtId="9" fontId="3" fillId="0" borderId="0" xfId="0" applyNumberFormat="1" applyFont="1"/>
    <xf numFmtId="9" fontId="0" fillId="0" borderId="0" xfId="0" applyNumberFormat="1"/>
    <xf numFmtId="9" fontId="0" fillId="0" borderId="0" xfId="3" applyNumberFormat="1" applyFont="1"/>
    <xf numFmtId="169" fontId="0" fillId="0" borderId="0" xfId="0" applyNumberFormat="1"/>
    <xf numFmtId="6" fontId="0" fillId="0" borderId="0" xfId="0" applyNumberFormat="1"/>
    <xf numFmtId="10" fontId="0" fillId="0" borderId="0" xfId="0" applyNumberFormat="1"/>
    <xf numFmtId="169" fontId="3" fillId="14" borderId="0" xfId="8" applyNumberFormat="1" applyFont="1" applyFill="1" applyBorder="1" applyAlignment="1">
      <alignment vertical="center" wrapText="1"/>
    </xf>
    <xf numFmtId="168" fontId="3" fillId="14" borderId="0" xfId="0" applyFont="1" applyFill="1" applyAlignment="1">
      <alignment vertical="center"/>
    </xf>
    <xf numFmtId="169" fontId="5" fillId="0" borderId="0" xfId="0" applyNumberFormat="1" applyFont="1" applyProtection="1"/>
    <xf numFmtId="0" fontId="46" fillId="0" borderId="0" xfId="6" applyFont="1" applyAlignment="1">
      <alignment horizontal="centerContinuous"/>
    </xf>
    <xf numFmtId="0" fontId="47" fillId="0" borderId="0" xfId="6" applyFont="1" applyAlignment="1">
      <alignment horizontal="centerContinuous"/>
    </xf>
    <xf numFmtId="0" fontId="47" fillId="0" borderId="0" xfId="6" applyFont="1"/>
    <xf numFmtId="0" fontId="46" fillId="0" borderId="0" xfId="6" applyFont="1"/>
    <xf numFmtId="4" fontId="47" fillId="0" borderId="0" xfId="6" applyNumberFormat="1" applyFont="1"/>
    <xf numFmtId="9" fontId="47" fillId="0" borderId="0" xfId="9" applyFont="1" applyAlignment="1">
      <alignment horizontal="center"/>
    </xf>
    <xf numFmtId="9" fontId="46" fillId="0" borderId="0" xfId="9" applyFont="1" applyAlignment="1">
      <alignment horizontal="center"/>
    </xf>
    <xf numFmtId="9" fontId="47" fillId="0" borderId="0" xfId="9" applyNumberFormat="1" applyFont="1"/>
    <xf numFmtId="169" fontId="47" fillId="0" borderId="0" xfId="9" applyNumberFormat="1" applyFont="1"/>
    <xf numFmtId="169" fontId="46" fillId="0" borderId="0" xfId="6" applyNumberFormat="1" applyFont="1"/>
    <xf numFmtId="0" fontId="47" fillId="0" borderId="50" xfId="6" applyFont="1" applyBorder="1"/>
    <xf numFmtId="4" fontId="47" fillId="0" borderId="50" xfId="6" applyNumberFormat="1" applyFont="1" applyBorder="1"/>
    <xf numFmtId="4" fontId="46" fillId="0" borderId="0" xfId="6" applyNumberFormat="1" applyFont="1"/>
    <xf numFmtId="169" fontId="46" fillId="0" borderId="0" xfId="9" applyNumberFormat="1" applyFont="1"/>
    <xf numFmtId="169" fontId="47" fillId="0" borderId="0" xfId="9" applyNumberFormat="1" applyFont="1" applyFill="1"/>
    <xf numFmtId="3" fontId="47" fillId="0" borderId="0" xfId="6" applyNumberFormat="1" applyFont="1"/>
    <xf numFmtId="164" fontId="47" fillId="0" borderId="0" xfId="6" applyNumberFormat="1" applyFont="1"/>
    <xf numFmtId="0" fontId="48" fillId="0" borderId="0" xfId="6" applyFont="1"/>
    <xf numFmtId="0" fontId="47" fillId="0" borderId="48" xfId="6" applyFont="1" applyBorder="1"/>
    <xf numFmtId="0" fontId="47" fillId="0" borderId="0" xfId="6" applyFont="1" applyBorder="1"/>
    <xf numFmtId="0" fontId="47" fillId="0" borderId="0" xfId="6" applyFont="1" applyFill="1" applyBorder="1"/>
    <xf numFmtId="179" fontId="47" fillId="0" borderId="0" xfId="6" applyNumberFormat="1" applyFont="1"/>
    <xf numFmtId="180" fontId="47" fillId="0" borderId="0" xfId="6" applyNumberFormat="1" applyFont="1"/>
    <xf numFmtId="0" fontId="47" fillId="0" borderId="0" xfId="6" applyFont="1" applyAlignment="1">
      <alignment wrapText="1"/>
    </xf>
    <xf numFmtId="0" fontId="47" fillId="0" borderId="8" xfId="6" applyFont="1" applyBorder="1"/>
    <xf numFmtId="164" fontId="49" fillId="0" borderId="3" xfId="6" applyNumberFormat="1" applyFont="1" applyBorder="1" applyProtection="1"/>
    <xf numFmtId="164" fontId="49" fillId="0" borderId="0" xfId="6" applyNumberFormat="1" applyFont="1" applyFill="1" applyBorder="1" applyProtection="1"/>
    <xf numFmtId="164" fontId="49" fillId="0" borderId="0" xfId="6" applyNumberFormat="1" applyFont="1" applyBorder="1" applyProtection="1"/>
    <xf numFmtId="176" fontId="50" fillId="8" borderId="0" xfId="6" applyNumberFormat="1" applyFont="1" applyFill="1" applyBorder="1"/>
    <xf numFmtId="168" fontId="1" fillId="0" borderId="0" xfId="0" applyFont="1" applyAlignment="1">
      <alignment horizontal="center"/>
    </xf>
    <xf numFmtId="10" fontId="3" fillId="0" borderId="0" xfId="0" applyNumberFormat="1" applyFont="1"/>
    <xf numFmtId="168" fontId="51" fillId="0" borderId="0" xfId="0" applyFont="1" applyFill="1" applyAlignment="1">
      <alignment horizontal="left" indent="1"/>
    </xf>
    <xf numFmtId="9" fontId="51" fillId="0" borderId="0" xfId="0" applyNumberFormat="1" applyFont="1"/>
    <xf numFmtId="10" fontId="51" fillId="0" borderId="0" xfId="0" applyNumberFormat="1" applyFont="1"/>
    <xf numFmtId="168" fontId="47" fillId="0" borderId="0" xfId="0" applyFont="1" applyFill="1" applyAlignment="1">
      <alignment horizontal="left" indent="1"/>
    </xf>
    <xf numFmtId="4" fontId="0" fillId="0" borderId="0" xfId="0" applyNumberFormat="1"/>
    <xf numFmtId="4" fontId="1" fillId="0" borderId="0" xfId="0" applyNumberFormat="1" applyFont="1"/>
    <xf numFmtId="168" fontId="51" fillId="0" borderId="0" xfId="0" applyFont="1" applyAlignment="1">
      <alignment horizontal="left" indent="1"/>
    </xf>
    <xf numFmtId="0" fontId="53" fillId="0" borderId="0" xfId="7" applyFont="1"/>
    <xf numFmtId="0" fontId="55" fillId="0" borderId="51" xfId="7" applyFont="1" applyBorder="1" applyAlignment="1">
      <alignment horizontal="center" wrapText="1"/>
    </xf>
    <xf numFmtId="0" fontId="53" fillId="0" borderId="51" xfId="7" applyFont="1" applyBorder="1"/>
    <xf numFmtId="0" fontId="53" fillId="8" borderId="52" xfId="7" applyFont="1" applyFill="1" applyBorder="1" applyAlignment="1">
      <alignment wrapText="1"/>
    </xf>
    <xf numFmtId="0" fontId="56" fillId="8" borderId="53" xfId="7" applyFont="1" applyFill="1" applyBorder="1" applyAlignment="1">
      <alignment wrapText="1"/>
    </xf>
    <xf numFmtId="0" fontId="56" fillId="8" borderId="54" xfId="7" applyFont="1" applyFill="1" applyBorder="1" applyAlignment="1">
      <alignment horizontal="left" vertical="center" wrapText="1"/>
    </xf>
    <xf numFmtId="0" fontId="56" fillId="8" borderId="55" xfId="7" applyFont="1" applyFill="1" applyBorder="1" applyAlignment="1">
      <alignment horizontal="left" vertical="center" wrapText="1"/>
    </xf>
    <xf numFmtId="14" fontId="57" fillId="8" borderId="56" xfId="7" applyNumberFormat="1" applyFont="1" applyFill="1" applyBorder="1" applyAlignment="1">
      <alignment horizontal="left" vertical="center" wrapText="1"/>
    </xf>
    <xf numFmtId="10" fontId="53" fillId="8" borderId="1" xfId="7" applyNumberFormat="1" applyFont="1" applyFill="1" applyBorder="1" applyAlignment="1">
      <alignment horizontal="right" wrapText="1"/>
    </xf>
    <xf numFmtId="10" fontId="53" fillId="8" borderId="57" xfId="7" applyNumberFormat="1" applyFont="1" applyFill="1" applyBorder="1" applyAlignment="1">
      <alignment horizontal="right" wrapText="1"/>
    </xf>
    <xf numFmtId="14" fontId="57" fillId="8" borderId="58" xfId="7" applyNumberFormat="1" applyFont="1" applyFill="1" applyBorder="1" applyAlignment="1">
      <alignment horizontal="left" vertical="center" wrapText="1"/>
    </xf>
    <xf numFmtId="10" fontId="53" fillId="8" borderId="59" xfId="7" applyNumberFormat="1" applyFont="1" applyFill="1" applyBorder="1" applyAlignment="1">
      <alignment horizontal="right" wrapText="1"/>
    </xf>
    <xf numFmtId="10" fontId="53" fillId="8" borderId="60" xfId="7" applyNumberFormat="1" applyFont="1" applyFill="1" applyBorder="1" applyAlignment="1">
      <alignment horizontal="right" wrapText="1"/>
    </xf>
    <xf numFmtId="4" fontId="60" fillId="0" borderId="0" xfId="0" applyNumberFormat="1" applyFont="1"/>
    <xf numFmtId="4" fontId="0" fillId="0" borderId="0" xfId="0" applyNumberFormat="1" applyFill="1"/>
    <xf numFmtId="4" fontId="1" fillId="0" borderId="0" xfId="0" applyNumberFormat="1" applyFont="1" applyFill="1"/>
    <xf numFmtId="164" fontId="61" fillId="0" borderId="0" xfId="0" applyNumberFormat="1" applyFont="1" applyAlignment="1" applyProtection="1">
      <alignment horizontal="left" indent="1"/>
    </xf>
    <xf numFmtId="4" fontId="3" fillId="0" borderId="0" xfId="0" applyNumberFormat="1" applyFont="1"/>
    <xf numFmtId="9" fontId="0" fillId="0" borderId="0" xfId="8" applyNumberFormat="1" applyFont="1"/>
    <xf numFmtId="168" fontId="3" fillId="14" borderId="0" xfId="0" applyFont="1" applyFill="1"/>
    <xf numFmtId="4" fontId="0" fillId="0" borderId="29" xfId="0" applyNumberFormat="1" applyBorder="1"/>
    <xf numFmtId="4" fontId="12" fillId="0" borderId="61" xfId="0" applyNumberFormat="1" applyFont="1" applyBorder="1"/>
    <xf numFmtId="4" fontId="0" fillId="0" borderId="61" xfId="0" applyNumberFormat="1" applyBorder="1"/>
    <xf numFmtId="4" fontId="5" fillId="0" borderId="0" xfId="4" applyNumberFormat="1" applyFont="1" applyProtection="1"/>
    <xf numFmtId="4" fontId="0" fillId="0" borderId="0" xfId="8" applyNumberFormat="1" applyFont="1"/>
    <xf numFmtId="168" fontId="1" fillId="0" borderId="0" xfId="0" applyFont="1" applyFill="1" applyBorder="1"/>
    <xf numFmtId="4" fontId="0" fillId="0" borderId="8" xfId="0" applyNumberFormat="1" applyBorder="1"/>
    <xf numFmtId="168" fontId="21" fillId="0" borderId="0" xfId="1" applyNumberFormat="1" applyAlignment="1" applyProtection="1"/>
    <xf numFmtId="170" fontId="5" fillId="0" borderId="0" xfId="0" applyNumberFormat="1" applyFont="1" applyProtection="1"/>
    <xf numFmtId="10" fontId="0" fillId="0" borderId="0" xfId="0" applyNumberFormat="1" applyFill="1"/>
    <xf numFmtId="6" fontId="0" fillId="0" borderId="0" xfId="0" applyNumberFormat="1" applyFill="1"/>
    <xf numFmtId="9" fontId="0" fillId="14" borderId="0" xfId="0" applyNumberFormat="1" applyFill="1"/>
    <xf numFmtId="9" fontId="5" fillId="0" borderId="0" xfId="8" applyNumberFormat="1" applyFont="1" applyProtection="1"/>
    <xf numFmtId="178" fontId="0" fillId="0" borderId="0" xfId="3" applyNumberFormat="1" applyFont="1"/>
    <xf numFmtId="181" fontId="5" fillId="0" borderId="0" xfId="0" applyNumberFormat="1" applyFont="1" applyProtection="1"/>
    <xf numFmtId="169" fontId="3" fillId="0" borderId="0" xfId="0" applyNumberFormat="1" applyFont="1"/>
    <xf numFmtId="10" fontId="0" fillId="0" borderId="62" xfId="0" applyNumberFormat="1" applyBorder="1"/>
    <xf numFmtId="0" fontId="63" fillId="0" borderId="0" xfId="0" applyNumberFormat="1" applyFont="1"/>
    <xf numFmtId="0" fontId="64" fillId="0" borderId="0" xfId="0" applyNumberFormat="1" applyFont="1"/>
    <xf numFmtId="10" fontId="64" fillId="0" borderId="0" xfId="0" applyNumberFormat="1" applyFont="1"/>
    <xf numFmtId="0" fontId="62" fillId="17" borderId="63" xfId="0" applyNumberFormat="1" applyFont="1" applyFill="1" applyBorder="1" applyAlignment="1">
      <alignment horizontal="center"/>
    </xf>
    <xf numFmtId="0" fontId="62" fillId="17" borderId="64" xfId="0" applyNumberFormat="1" applyFont="1" applyFill="1" applyBorder="1" applyAlignment="1">
      <alignment horizontal="center"/>
    </xf>
    <xf numFmtId="10" fontId="64" fillId="0" borderId="33" xfId="0" applyNumberFormat="1" applyFont="1" applyBorder="1"/>
    <xf numFmtId="0" fontId="64" fillId="0" borderId="62" xfId="0" applyNumberFormat="1" applyFont="1" applyBorder="1"/>
    <xf numFmtId="10" fontId="64" fillId="0" borderId="19" xfId="0" applyNumberFormat="1" applyFont="1" applyBorder="1"/>
    <xf numFmtId="0" fontId="64" fillId="0" borderId="22" xfId="0" applyNumberFormat="1" applyFont="1" applyBorder="1"/>
    <xf numFmtId="0" fontId="62" fillId="17" borderId="24" xfId="0" applyNumberFormat="1" applyFont="1" applyFill="1" applyBorder="1" applyAlignment="1">
      <alignment horizontal="center"/>
    </xf>
    <xf numFmtId="10" fontId="64" fillId="0" borderId="21" xfId="0" applyNumberFormat="1" applyFont="1" applyBorder="1"/>
    <xf numFmtId="10" fontId="63" fillId="0" borderId="20" xfId="0" applyNumberFormat="1" applyFont="1" applyBorder="1"/>
    <xf numFmtId="10" fontId="63" fillId="0" borderId="30" xfId="0" applyNumberFormat="1" applyFont="1" applyBorder="1"/>
    <xf numFmtId="164" fontId="5" fillId="11" borderId="0" xfId="0" applyNumberFormat="1" applyFont="1" applyFill="1" applyProtection="1"/>
    <xf numFmtId="0" fontId="63" fillId="0" borderId="31" xfId="0" applyNumberFormat="1" applyFont="1" applyBorder="1"/>
    <xf numFmtId="4" fontId="0" fillId="0" borderId="34" xfId="0" applyNumberFormat="1" applyBorder="1"/>
    <xf numFmtId="4" fontId="0" fillId="0" borderId="62" xfId="0" applyNumberFormat="1" applyBorder="1"/>
    <xf numFmtId="168" fontId="3" fillId="0" borderId="65" xfId="0" applyFont="1" applyBorder="1"/>
    <xf numFmtId="4" fontId="0" fillId="0" borderId="66" xfId="0" applyNumberFormat="1" applyBorder="1"/>
    <xf numFmtId="164" fontId="3" fillId="0" borderId="0" xfId="0" applyNumberFormat="1" applyFont="1" applyFill="1" applyProtection="1"/>
    <xf numFmtId="4" fontId="0" fillId="0" borderId="22" xfId="0" applyNumberFormat="1" applyBorder="1"/>
    <xf numFmtId="168" fontId="1" fillId="14" borderId="0" xfId="0" applyFont="1" applyFill="1"/>
    <xf numFmtId="10" fontId="0" fillId="0" borderId="0" xfId="3" applyNumberFormat="1" applyFont="1" applyFill="1"/>
    <xf numFmtId="169" fontId="3" fillId="0" borderId="0" xfId="8" applyNumberFormat="1" applyFont="1" applyFill="1"/>
    <xf numFmtId="164" fontId="5" fillId="0" borderId="7" xfId="0" applyNumberFormat="1" applyFont="1" applyBorder="1" applyProtection="1"/>
    <xf numFmtId="168" fontId="12" fillId="0" borderId="23" xfId="0" applyFont="1" applyFill="1" applyBorder="1" applyAlignment="1">
      <alignment horizontal="center"/>
    </xf>
    <xf numFmtId="168" fontId="12" fillId="0" borderId="24" xfId="0" applyFont="1" applyFill="1" applyBorder="1" applyAlignment="1">
      <alignment horizontal="center"/>
    </xf>
    <xf numFmtId="168" fontId="12" fillId="0" borderId="29" xfId="0" applyFont="1" applyFill="1" applyBorder="1" applyAlignment="1">
      <alignment horizontal="center"/>
    </xf>
    <xf numFmtId="10" fontId="1" fillId="0" borderId="0" xfId="0" applyNumberFormat="1" applyFont="1"/>
    <xf numFmtId="168" fontId="1" fillId="18" borderId="67" xfId="0" applyFont="1" applyFill="1" applyBorder="1"/>
    <xf numFmtId="6" fontId="1" fillId="18" borderId="67" xfId="0" applyNumberFormat="1" applyFont="1" applyFill="1" applyBorder="1"/>
    <xf numFmtId="168" fontId="1" fillId="0" borderId="67" xfId="0" applyFont="1" applyBorder="1"/>
    <xf numFmtId="4" fontId="1" fillId="0" borderId="67" xfId="0" applyNumberFormat="1" applyFont="1" applyBorder="1"/>
    <xf numFmtId="168" fontId="0" fillId="0" borderId="7" xfId="0" applyBorder="1"/>
    <xf numFmtId="4" fontId="1" fillId="0" borderId="7" xfId="0" applyNumberFormat="1" applyFont="1" applyBorder="1"/>
    <xf numFmtId="168" fontId="0" fillId="0" borderId="8" xfId="0" applyBorder="1"/>
    <xf numFmtId="4" fontId="1" fillId="0" borderId="8" xfId="0" applyNumberFormat="1" applyFont="1" applyBorder="1"/>
    <xf numFmtId="168" fontId="1" fillId="0" borderId="8" xfId="0" applyFont="1" applyBorder="1"/>
    <xf numFmtId="168" fontId="1" fillId="0" borderId="7" xfId="0" applyFont="1" applyBorder="1"/>
    <xf numFmtId="10" fontId="0" fillId="0" borderId="8" xfId="0" applyNumberFormat="1" applyBorder="1"/>
    <xf numFmtId="168" fontId="0" fillId="0" borderId="67" xfId="0" applyBorder="1"/>
    <xf numFmtId="4" fontId="0" fillId="0" borderId="67" xfId="0" applyNumberFormat="1" applyBorder="1"/>
    <xf numFmtId="168" fontId="1" fillId="14" borderId="8" xfId="0" applyFont="1" applyFill="1" applyBorder="1" applyAlignment="1">
      <alignment horizontal="center"/>
    </xf>
    <xf numFmtId="168" fontId="1" fillId="14" borderId="44" xfId="0" applyFont="1" applyFill="1" applyBorder="1" applyAlignment="1">
      <alignment vertical="center" wrapText="1"/>
    </xf>
    <xf numFmtId="168" fontId="60" fillId="14" borderId="45" xfId="0" applyFont="1" applyFill="1" applyBorder="1" applyAlignment="1">
      <alignment vertical="center" wrapText="1"/>
    </xf>
    <xf numFmtId="168" fontId="0" fillId="14" borderId="47" xfId="0" applyFill="1" applyBorder="1" applyAlignment="1">
      <alignment vertical="center" wrapText="1"/>
    </xf>
    <xf numFmtId="178" fontId="0" fillId="14" borderId="0" xfId="3" applyNumberFormat="1" applyFont="1" applyFill="1" applyBorder="1" applyAlignment="1">
      <alignment vertical="center" wrapText="1"/>
    </xf>
    <xf numFmtId="178" fontId="0" fillId="14" borderId="48" xfId="3" applyNumberFormat="1" applyFont="1" applyFill="1" applyBorder="1" applyAlignment="1">
      <alignment vertical="center" wrapText="1"/>
    </xf>
    <xf numFmtId="168" fontId="0" fillId="14" borderId="0" xfId="0" applyFill="1" applyBorder="1" applyAlignment="1">
      <alignment vertical="center" wrapText="1"/>
    </xf>
    <xf numFmtId="4" fontId="0" fillId="14" borderId="0" xfId="0" applyNumberFormat="1" applyFill="1" applyBorder="1" applyAlignment="1">
      <alignment vertical="center" wrapText="1"/>
    </xf>
    <xf numFmtId="4" fontId="0" fillId="14" borderId="48" xfId="0" applyNumberFormat="1" applyFill="1" applyBorder="1" applyAlignment="1">
      <alignment vertical="center" wrapText="1"/>
    </xf>
    <xf numFmtId="168" fontId="1" fillId="14" borderId="47" xfId="0" applyFont="1" applyFill="1" applyBorder="1" applyAlignment="1">
      <alignment vertical="center" wrapText="1"/>
    </xf>
    <xf numFmtId="168" fontId="0" fillId="14" borderId="48" xfId="0" applyFill="1" applyBorder="1" applyAlignment="1">
      <alignment vertical="center" wrapText="1"/>
    </xf>
    <xf numFmtId="164" fontId="4" fillId="14" borderId="47" xfId="0" applyNumberFormat="1" applyFont="1" applyFill="1" applyBorder="1" applyAlignment="1" applyProtection="1">
      <alignment vertical="center" wrapText="1"/>
    </xf>
    <xf numFmtId="164" fontId="5" fillId="0" borderId="47" xfId="0" applyNumberFormat="1" applyFont="1" applyFill="1" applyBorder="1" applyAlignment="1" applyProtection="1">
      <alignment vertical="center" wrapText="1"/>
    </xf>
    <xf numFmtId="178" fontId="3" fillId="14" borderId="0" xfId="3" applyNumberFormat="1" applyFont="1" applyFill="1" applyBorder="1" applyAlignment="1">
      <alignment vertical="center" wrapText="1"/>
    </xf>
    <xf numFmtId="178" fontId="3" fillId="14" borderId="48" xfId="3" applyNumberFormat="1" applyFont="1" applyFill="1" applyBorder="1" applyAlignment="1">
      <alignment vertical="center" wrapText="1"/>
    </xf>
    <xf numFmtId="164" fontId="5" fillId="0" borderId="47" xfId="0" applyNumberFormat="1" applyFont="1" applyFill="1" applyBorder="1" applyProtection="1"/>
    <xf numFmtId="169" fontId="3" fillId="14" borderId="48" xfId="8" applyNumberFormat="1" applyFont="1" applyFill="1" applyBorder="1" applyAlignment="1">
      <alignment vertical="center" wrapText="1"/>
    </xf>
    <xf numFmtId="164" fontId="5" fillId="0" borderId="49" xfId="0" applyNumberFormat="1" applyFont="1" applyFill="1" applyBorder="1" applyAlignment="1" applyProtection="1">
      <alignment vertical="center" wrapText="1"/>
    </xf>
    <xf numFmtId="169" fontId="3" fillId="14" borderId="50" xfId="8" applyNumberFormat="1" applyFont="1" applyFill="1" applyBorder="1" applyAlignment="1">
      <alignment vertical="center" wrapText="1"/>
    </xf>
    <xf numFmtId="169" fontId="3" fillId="14" borderId="43" xfId="8" applyNumberFormat="1" applyFont="1" applyFill="1" applyBorder="1" applyAlignment="1">
      <alignment vertical="center" wrapText="1"/>
    </xf>
    <xf numFmtId="164" fontId="4" fillId="14" borderId="44" xfId="0" applyNumberFormat="1" applyFont="1" applyFill="1" applyBorder="1" applyAlignment="1" applyProtection="1">
      <alignment vertical="center" wrapText="1"/>
    </xf>
    <xf numFmtId="3" fontId="37" fillId="14" borderId="0" xfId="8" applyNumberFormat="1" applyFont="1" applyFill="1" applyBorder="1" applyAlignment="1">
      <alignment vertical="center" wrapText="1"/>
    </xf>
    <xf numFmtId="3" fontId="37" fillId="14" borderId="48" xfId="8" applyNumberFormat="1" applyFont="1" applyFill="1" applyBorder="1" applyAlignment="1">
      <alignment vertical="center" wrapText="1"/>
    </xf>
    <xf numFmtId="168" fontId="0" fillId="0" borderId="0" xfId="0" applyFill="1" applyBorder="1" applyAlignment="1">
      <alignment vertical="center" wrapText="1"/>
    </xf>
    <xf numFmtId="168" fontId="0" fillId="0" borderId="48" xfId="0" applyFill="1" applyBorder="1" applyAlignment="1">
      <alignment vertical="center" wrapText="1"/>
    </xf>
    <xf numFmtId="168" fontId="0" fillId="0" borderId="50" xfId="0" applyFill="1" applyBorder="1" applyAlignment="1">
      <alignment vertical="center" wrapText="1"/>
    </xf>
    <xf numFmtId="168" fontId="0" fillId="0" borderId="43" xfId="0" applyFill="1" applyBorder="1" applyAlignment="1">
      <alignment vertical="center" wrapText="1"/>
    </xf>
    <xf numFmtId="168" fontId="0" fillId="14" borderId="47" xfId="0" applyFill="1" applyBorder="1"/>
    <xf numFmtId="168" fontId="0" fillId="14" borderId="0" xfId="0" applyFill="1" applyBorder="1"/>
    <xf numFmtId="168" fontId="0" fillId="14" borderId="48" xfId="0" applyFill="1" applyBorder="1"/>
    <xf numFmtId="168" fontId="0" fillId="14" borderId="47" xfId="0" applyFill="1" applyBorder="1" applyAlignment="1">
      <alignment horizontal="right"/>
    </xf>
    <xf numFmtId="164" fontId="5" fillId="14" borderId="47" xfId="0" applyNumberFormat="1" applyFont="1" applyFill="1" applyBorder="1" applyAlignment="1" applyProtection="1">
      <alignment horizontal="right"/>
    </xf>
    <xf numFmtId="168" fontId="3" fillId="14" borderId="0" xfId="0" applyFont="1" applyFill="1" applyBorder="1"/>
    <xf numFmtId="164" fontId="4" fillId="14" borderId="47" xfId="0" applyNumberFormat="1" applyFont="1" applyFill="1" applyBorder="1" applyProtection="1"/>
    <xf numFmtId="169" fontId="3" fillId="14" borderId="0" xfId="8" applyNumberFormat="1" applyFont="1" applyFill="1" applyBorder="1"/>
    <xf numFmtId="164" fontId="5" fillId="14" borderId="47" xfId="0" applyNumberFormat="1" applyFont="1" applyFill="1" applyBorder="1" applyProtection="1"/>
    <xf numFmtId="4" fontId="0" fillId="14" borderId="0" xfId="0" applyNumberFormat="1" applyFill="1" applyBorder="1"/>
    <xf numFmtId="4" fontId="0" fillId="14" borderId="48" xfId="0" applyNumberFormat="1" applyFill="1" applyBorder="1"/>
    <xf numFmtId="4" fontId="3" fillId="14" borderId="0" xfId="0" applyNumberFormat="1" applyFont="1" applyFill="1" applyBorder="1"/>
    <xf numFmtId="4" fontId="3" fillId="14" borderId="48" xfId="0" applyNumberFormat="1" applyFont="1" applyFill="1" applyBorder="1"/>
    <xf numFmtId="164" fontId="4" fillId="14" borderId="47" xfId="0" applyNumberFormat="1" applyFont="1" applyFill="1" applyBorder="1" applyAlignment="1" applyProtection="1">
      <alignment horizontal="right"/>
    </xf>
    <xf numFmtId="168" fontId="1" fillId="14" borderId="49" xfId="0" applyFont="1" applyFill="1" applyBorder="1" applyAlignment="1">
      <alignment horizontal="right"/>
    </xf>
    <xf numFmtId="4" fontId="1" fillId="14" borderId="50" xfId="0" applyNumberFormat="1" applyFont="1" applyFill="1" applyBorder="1"/>
    <xf numFmtId="4" fontId="1" fillId="14" borderId="43" xfId="0" applyNumberFormat="1" applyFont="1" applyFill="1" applyBorder="1"/>
    <xf numFmtId="168" fontId="5" fillId="0" borderId="0" xfId="0" applyNumberFormat="1" applyFont="1" applyFill="1" applyProtection="1"/>
    <xf numFmtId="168" fontId="4" fillId="0" borderId="23" xfId="0" applyNumberFormat="1" applyFont="1" applyBorder="1" applyAlignment="1" applyProtection="1">
      <alignment horizontal="center" vertical="center"/>
    </xf>
    <xf numFmtId="168" fontId="4" fillId="0" borderId="29" xfId="0" applyNumberFormat="1" applyFont="1" applyBorder="1" applyAlignment="1" applyProtection="1">
      <alignment vertical="center"/>
    </xf>
    <xf numFmtId="4" fontId="1" fillId="0" borderId="22" xfId="0" applyNumberFormat="1" applyFont="1" applyBorder="1"/>
    <xf numFmtId="4" fontId="1" fillId="0" borderId="31" xfId="0" applyNumberFormat="1" applyFont="1" applyBorder="1"/>
    <xf numFmtId="164" fontId="5" fillId="0" borderId="44" xfId="0" applyNumberFormat="1" applyFont="1" applyBorder="1" applyProtection="1"/>
    <xf numFmtId="164" fontId="5" fillId="0" borderId="45" xfId="0" applyNumberFormat="1" applyFont="1" applyBorder="1" applyProtection="1"/>
    <xf numFmtId="10" fontId="5" fillId="0" borderId="45" xfId="8" applyNumberFormat="1" applyFont="1" applyBorder="1" applyProtection="1"/>
    <xf numFmtId="10" fontId="5" fillId="0" borderId="46" xfId="8" applyNumberFormat="1" applyFont="1" applyBorder="1" applyProtection="1"/>
    <xf numFmtId="164" fontId="5" fillId="0" borderId="47" xfId="0" applyNumberFormat="1" applyFont="1" applyBorder="1" applyProtection="1"/>
    <xf numFmtId="10" fontId="5" fillId="0" borderId="48" xfId="8" applyNumberFormat="1" applyFont="1" applyBorder="1" applyProtection="1"/>
    <xf numFmtId="168" fontId="0" fillId="0" borderId="47" xfId="0" applyBorder="1"/>
    <xf numFmtId="168" fontId="0" fillId="0" borderId="0" xfId="0" applyBorder="1"/>
    <xf numFmtId="168" fontId="0" fillId="0" borderId="48" xfId="0" applyBorder="1"/>
    <xf numFmtId="9" fontId="3" fillId="0" borderId="0" xfId="0" applyNumberFormat="1" applyFont="1" applyBorder="1"/>
    <xf numFmtId="164" fontId="5" fillId="0" borderId="49" xfId="0" applyNumberFormat="1" applyFont="1" applyBorder="1" applyProtection="1"/>
    <xf numFmtId="168" fontId="0" fillId="0" borderId="50" xfId="0" applyBorder="1"/>
    <xf numFmtId="9" fontId="0" fillId="0" borderId="50" xfId="0" applyNumberFormat="1" applyBorder="1"/>
    <xf numFmtId="168" fontId="0" fillId="0" borderId="43" xfId="0" applyBorder="1"/>
    <xf numFmtId="164" fontId="5" fillId="0" borderId="68" xfId="0" applyNumberFormat="1" applyFont="1" applyBorder="1" applyProtection="1"/>
    <xf numFmtId="168" fontId="0" fillId="0" borderId="69" xfId="0" applyBorder="1"/>
    <xf numFmtId="6" fontId="0" fillId="0" borderId="69" xfId="0" applyNumberFormat="1" applyBorder="1"/>
    <xf numFmtId="6" fontId="0" fillId="0" borderId="41" xfId="0" applyNumberFormat="1" applyBorder="1"/>
    <xf numFmtId="168" fontId="0" fillId="0" borderId="45" xfId="0" applyBorder="1"/>
    <xf numFmtId="6" fontId="0" fillId="0" borderId="45" xfId="0" applyNumberFormat="1" applyBorder="1"/>
    <xf numFmtId="168" fontId="3" fillId="0" borderId="47" xfId="0" applyFont="1" applyBorder="1"/>
    <xf numFmtId="6" fontId="0" fillId="0" borderId="0" xfId="0" applyNumberFormat="1" applyBorder="1"/>
    <xf numFmtId="6" fontId="0" fillId="0" borderId="48" xfId="0" applyNumberFormat="1" applyBorder="1"/>
    <xf numFmtId="164" fontId="5" fillId="0" borderId="47" xfId="0" applyNumberFormat="1" applyFont="1" applyBorder="1" applyAlignment="1" applyProtection="1">
      <alignment horizontal="center"/>
    </xf>
    <xf numFmtId="169" fontId="0" fillId="0" borderId="0" xfId="0" applyNumberFormat="1" applyBorder="1"/>
    <xf numFmtId="9" fontId="0" fillId="0" borderId="0" xfId="0" applyNumberFormat="1" applyBorder="1"/>
    <xf numFmtId="9" fontId="0" fillId="0" borderId="48" xfId="0" applyNumberFormat="1" applyBorder="1"/>
    <xf numFmtId="164" fontId="5" fillId="0" borderId="47" xfId="0" applyNumberFormat="1" applyFont="1" applyBorder="1" applyAlignment="1" applyProtection="1">
      <alignment horizontal="left"/>
    </xf>
    <xf numFmtId="164" fontId="5" fillId="0" borderId="49" xfId="0" applyNumberFormat="1" applyFont="1" applyBorder="1" applyAlignment="1" applyProtection="1">
      <alignment horizontal="center"/>
    </xf>
    <xf numFmtId="6" fontId="0" fillId="0" borderId="50" xfId="0" applyNumberFormat="1" applyBorder="1"/>
    <xf numFmtId="169" fontId="0" fillId="0" borderId="50" xfId="0" applyNumberFormat="1" applyBorder="1"/>
    <xf numFmtId="4" fontId="0" fillId="0" borderId="45" xfId="0" applyNumberFormat="1" applyBorder="1"/>
    <xf numFmtId="4" fontId="0" fillId="0" borderId="46" xfId="0" applyNumberFormat="1" applyBorder="1"/>
    <xf numFmtId="4" fontId="0" fillId="0" borderId="0" xfId="0" applyNumberFormat="1" applyBorder="1"/>
    <xf numFmtId="4" fontId="0" fillId="0" borderId="48" xfId="0" applyNumberFormat="1" applyBorder="1"/>
    <xf numFmtId="164" fontId="4" fillId="0" borderId="44" xfId="0" applyNumberFormat="1" applyFont="1" applyBorder="1" applyProtection="1"/>
    <xf numFmtId="164" fontId="4" fillId="0" borderId="49" xfId="0" applyNumberFormat="1" applyFont="1" applyBorder="1" applyAlignment="1" applyProtection="1">
      <alignment horizontal="left"/>
    </xf>
    <xf numFmtId="6" fontId="1" fillId="0" borderId="50" xfId="0" applyNumberFormat="1" applyFont="1" applyBorder="1"/>
    <xf numFmtId="169" fontId="1" fillId="0" borderId="50" xfId="0" applyNumberFormat="1" applyFont="1" applyBorder="1"/>
    <xf numFmtId="6" fontId="1" fillId="0" borderId="43" xfId="0" applyNumberFormat="1" applyFont="1" applyBorder="1"/>
    <xf numFmtId="6" fontId="0" fillId="0" borderId="46" xfId="0" applyNumberFormat="1" applyBorder="1"/>
    <xf numFmtId="10" fontId="0" fillId="0" borderId="0" xfId="0" applyNumberFormat="1" applyBorder="1"/>
    <xf numFmtId="169" fontId="0" fillId="0" borderId="48" xfId="0" applyNumberFormat="1" applyBorder="1"/>
    <xf numFmtId="169" fontId="0" fillId="0" borderId="43" xfId="0" applyNumberFormat="1" applyBorder="1"/>
    <xf numFmtId="164" fontId="4" fillId="0" borderId="47" xfId="0" applyNumberFormat="1" applyFont="1" applyBorder="1" applyProtection="1"/>
    <xf numFmtId="6" fontId="1" fillId="0" borderId="0" xfId="0" applyNumberFormat="1" applyFont="1" applyBorder="1"/>
    <xf numFmtId="6" fontId="1" fillId="0" borderId="48" xfId="0" applyNumberFormat="1" applyFont="1" applyBorder="1"/>
    <xf numFmtId="164" fontId="4" fillId="0" borderId="49" xfId="0" applyNumberFormat="1" applyFont="1" applyBorder="1" applyProtection="1"/>
    <xf numFmtId="168" fontId="1" fillId="0" borderId="44" xfId="0" applyFont="1" applyBorder="1"/>
    <xf numFmtId="4" fontId="1" fillId="0" borderId="45" xfId="0" applyNumberFormat="1" applyFont="1" applyBorder="1"/>
    <xf numFmtId="4" fontId="1" fillId="0" borderId="46" xfId="0" applyNumberFormat="1" applyFont="1" applyBorder="1"/>
    <xf numFmtId="168" fontId="47" fillId="0" borderId="47" xfId="0" applyFont="1" applyBorder="1" applyAlignment="1">
      <alignment horizontal="left" indent="1"/>
    </xf>
    <xf numFmtId="168" fontId="47" fillId="0" borderId="49" xfId="0" applyFont="1" applyBorder="1" applyAlignment="1">
      <alignment horizontal="left" indent="1"/>
    </xf>
    <xf numFmtId="10" fontId="0" fillId="0" borderId="50" xfId="0" applyNumberFormat="1" applyBorder="1"/>
    <xf numFmtId="4" fontId="0" fillId="0" borderId="50" xfId="0" applyNumberFormat="1" applyBorder="1"/>
    <xf numFmtId="4" fontId="0" fillId="0" borderId="43" xfId="0" applyNumberFormat="1" applyBorder="1"/>
    <xf numFmtId="0" fontId="46" fillId="0" borderId="8" xfId="6" applyFont="1" applyBorder="1" applyAlignment="1">
      <alignment horizontal="center"/>
    </xf>
    <xf numFmtId="0" fontId="46" fillId="0" borderId="8" xfId="6" applyFont="1" applyBorder="1"/>
    <xf numFmtId="168" fontId="1" fillId="0" borderId="8" xfId="0" applyFont="1" applyBorder="1" applyAlignment="1">
      <alignment horizontal="center" vertical="center"/>
    </xf>
    <xf numFmtId="168" fontId="1" fillId="0" borderId="8" xfId="0" applyFont="1" applyBorder="1" applyAlignment="1">
      <alignment horizontal="center" vertical="center" wrapText="1"/>
    </xf>
    <xf numFmtId="168" fontId="1" fillId="0" borderId="69" xfId="0" applyFont="1" applyBorder="1"/>
    <xf numFmtId="4" fontId="1" fillId="0" borderId="69" xfId="0" applyNumberFormat="1" applyFont="1" applyBorder="1"/>
    <xf numFmtId="9" fontId="1" fillId="0" borderId="69" xfId="0" applyNumberFormat="1" applyFont="1" applyBorder="1"/>
    <xf numFmtId="168" fontId="3" fillId="0" borderId="0" xfId="0" quotePrefix="1" applyFont="1"/>
    <xf numFmtId="169" fontId="60" fillId="0" borderId="0" xfId="0" applyNumberFormat="1" applyFont="1" applyFill="1"/>
    <xf numFmtId="164" fontId="5" fillId="19" borderId="47" xfId="0" applyNumberFormat="1" applyFont="1" applyFill="1" applyBorder="1" applyAlignment="1" applyProtection="1">
      <alignment vertical="center" wrapText="1"/>
    </xf>
    <xf numFmtId="178" fontId="3" fillId="20" borderId="0" xfId="3" applyNumberFormat="1" applyFont="1" applyFill="1" applyBorder="1" applyAlignment="1">
      <alignment vertical="center" wrapText="1"/>
    </xf>
    <xf numFmtId="9" fontId="0" fillId="19" borderId="0" xfId="0" applyNumberFormat="1" applyFill="1"/>
    <xf numFmtId="10" fontId="0" fillId="14" borderId="45" xfId="0" applyNumberFormat="1" applyFill="1" applyBorder="1" applyAlignment="1">
      <alignment vertical="center" wrapText="1"/>
    </xf>
    <xf numFmtId="170" fontId="0" fillId="14" borderId="0" xfId="0" applyNumberFormat="1" applyFill="1"/>
    <xf numFmtId="168" fontId="3" fillId="20" borderId="49" xfId="0" applyFont="1" applyFill="1" applyBorder="1" applyAlignment="1">
      <alignment vertical="center" wrapText="1"/>
    </xf>
    <xf numFmtId="9" fontId="3" fillId="20" borderId="50" xfId="8" applyFont="1" applyFill="1" applyBorder="1" applyAlignment="1">
      <alignment vertical="center" wrapText="1"/>
    </xf>
    <xf numFmtId="168" fontId="0" fillId="20" borderId="0" xfId="0" applyFill="1" applyAlignment="1">
      <alignment vertical="center" wrapText="1"/>
    </xf>
    <xf numFmtId="168" fontId="3" fillId="20" borderId="47" xfId="0" applyFont="1" applyFill="1" applyBorder="1" applyAlignment="1">
      <alignment vertical="center" wrapText="1"/>
    </xf>
    <xf numFmtId="169" fontId="37" fillId="20" borderId="0" xfId="8" applyNumberFormat="1" applyFont="1" applyFill="1" applyBorder="1" applyAlignment="1">
      <alignment vertical="center" wrapText="1"/>
    </xf>
    <xf numFmtId="10" fontId="3" fillId="20" borderId="0" xfId="8" applyNumberFormat="1" applyFont="1" applyFill="1" applyBorder="1" applyAlignment="1">
      <alignment vertical="center" wrapText="1"/>
    </xf>
    <xf numFmtId="168" fontId="42" fillId="20" borderId="0" xfId="0" applyFont="1" applyFill="1" applyAlignment="1">
      <alignment vertical="center" wrapText="1"/>
    </xf>
    <xf numFmtId="168" fontId="1" fillId="0" borderId="12" xfId="0" applyFont="1" applyBorder="1" applyAlignment="1">
      <alignment horizontal="center" vertical="center" wrapText="1"/>
    </xf>
    <xf numFmtId="10" fontId="0" fillId="20" borderId="0" xfId="0" applyNumberFormat="1" applyFill="1"/>
    <xf numFmtId="168" fontId="1" fillId="14" borderId="0" xfId="0" applyFont="1" applyFill="1" applyBorder="1" applyAlignment="1">
      <alignment horizontal="right"/>
    </xf>
    <xf numFmtId="4" fontId="1" fillId="14" borderId="0" xfId="0" applyNumberFormat="1" applyFont="1" applyFill="1" applyBorder="1"/>
    <xf numFmtId="10" fontId="0" fillId="14" borderId="46" xfId="0" applyNumberFormat="1" applyFill="1" applyBorder="1" applyAlignment="1">
      <alignment vertical="center" wrapText="1"/>
    </xf>
    <xf numFmtId="169" fontId="37" fillId="20" borderId="48" xfId="8" applyNumberFormat="1" applyFont="1" applyFill="1" applyBorder="1" applyAlignment="1">
      <alignment vertical="center" wrapText="1"/>
    </xf>
    <xf numFmtId="169" fontId="37" fillId="14" borderId="48" xfId="8" applyNumberFormat="1" applyFont="1" applyFill="1" applyBorder="1" applyAlignment="1">
      <alignment vertical="center" wrapText="1"/>
    </xf>
    <xf numFmtId="10" fontId="3" fillId="20" borderId="48" xfId="8" applyNumberFormat="1" applyFont="1" applyFill="1" applyBorder="1" applyAlignment="1">
      <alignment vertical="center" wrapText="1"/>
    </xf>
    <xf numFmtId="168" fontId="0" fillId="14" borderId="70" xfId="0" applyFill="1" applyBorder="1"/>
    <xf numFmtId="9" fontId="0" fillId="20" borderId="71" xfId="0" applyNumberFormat="1" applyFill="1" applyBorder="1"/>
    <xf numFmtId="9" fontId="0" fillId="14" borderId="71" xfId="0" applyNumberFormat="1" applyFill="1" applyBorder="1"/>
    <xf numFmtId="168" fontId="0" fillId="14" borderId="42" xfId="0" applyFill="1" applyBorder="1"/>
    <xf numFmtId="168" fontId="0" fillId="14" borderId="71" xfId="0" applyFill="1" applyBorder="1"/>
    <xf numFmtId="168" fontId="0" fillId="20" borderId="71" xfId="0" applyFill="1" applyBorder="1"/>
    <xf numFmtId="9" fontId="3" fillId="20" borderId="43" xfId="8" applyFont="1" applyFill="1" applyBorder="1" applyAlignment="1">
      <alignment vertical="center" wrapText="1"/>
    </xf>
    <xf numFmtId="9" fontId="0" fillId="20" borderId="42" xfId="0" applyNumberFormat="1" applyFill="1" applyBorder="1"/>
    <xf numFmtId="168" fontId="0" fillId="14" borderId="44" xfId="0" applyFill="1" applyBorder="1"/>
    <xf numFmtId="168" fontId="0" fillId="14" borderId="45" xfId="0" applyFill="1" applyBorder="1"/>
    <xf numFmtId="168" fontId="0" fillId="14" borderId="46" xfId="0" applyFill="1" applyBorder="1"/>
    <xf numFmtId="168" fontId="3" fillId="20" borderId="47" xfId="0" applyFont="1" applyFill="1" applyBorder="1"/>
    <xf numFmtId="10" fontId="0" fillId="20" borderId="0" xfId="0" applyNumberFormat="1" applyFill="1" applyBorder="1"/>
    <xf numFmtId="10" fontId="0" fillId="20" borderId="48" xfId="0" applyNumberFormat="1" applyFill="1" applyBorder="1"/>
    <xf numFmtId="168" fontId="0" fillId="14" borderId="49" xfId="0" applyFill="1" applyBorder="1"/>
    <xf numFmtId="168" fontId="0" fillId="14" borderId="50" xfId="0" applyFill="1" applyBorder="1"/>
    <xf numFmtId="168" fontId="0" fillId="14" borderId="43" xfId="0" applyFill="1" applyBorder="1"/>
    <xf numFmtId="10" fontId="0" fillId="20" borderId="71" xfId="0" applyNumberFormat="1" applyFill="1" applyBorder="1"/>
    <xf numFmtId="168" fontId="1" fillId="14" borderId="72" xfId="0" applyFont="1" applyFill="1" applyBorder="1" applyAlignment="1">
      <alignment vertical="center" wrapText="1"/>
    </xf>
    <xf numFmtId="168" fontId="0" fillId="14" borderId="8" xfId="0" applyFill="1" applyBorder="1" applyAlignment="1">
      <alignment vertical="center" wrapText="1"/>
    </xf>
    <xf numFmtId="10" fontId="3" fillId="14" borderId="50" xfId="8" applyNumberFormat="1" applyFont="1" applyFill="1" applyBorder="1" applyAlignment="1">
      <alignment vertical="center" wrapText="1"/>
    </xf>
    <xf numFmtId="10" fontId="3" fillId="14" borderId="43" xfId="8" applyNumberFormat="1" applyFont="1" applyFill="1" applyBorder="1" applyAlignment="1">
      <alignment vertical="center" wrapText="1"/>
    </xf>
    <xf numFmtId="164" fontId="4" fillId="8" borderId="0" xfId="0" applyNumberFormat="1" applyFont="1" applyFill="1" applyBorder="1" applyProtection="1"/>
    <xf numFmtId="4" fontId="5" fillId="0" borderId="0" xfId="0" applyNumberFormat="1" applyFont="1" applyProtection="1"/>
    <xf numFmtId="166" fontId="66" fillId="0" borderId="0" xfId="0" applyNumberFormat="1" applyFont="1" applyProtection="1"/>
    <xf numFmtId="166" fontId="0" fillId="0" borderId="0" xfId="4" applyNumberFormat="1" applyFont="1" applyBorder="1"/>
    <xf numFmtId="4" fontId="3" fillId="14" borderId="0" xfId="8" applyNumberFormat="1" applyFont="1" applyFill="1" applyBorder="1" applyAlignment="1">
      <alignment vertical="center" wrapText="1"/>
    </xf>
    <xf numFmtId="4" fontId="3" fillId="14" borderId="48" xfId="8" applyNumberFormat="1" applyFont="1" applyFill="1" applyBorder="1" applyAlignment="1">
      <alignment vertical="center" wrapText="1"/>
    </xf>
    <xf numFmtId="168" fontId="3" fillId="0" borderId="0" xfId="0" applyFont="1" applyAlignment="1">
      <alignment horizontal="right"/>
    </xf>
    <xf numFmtId="168" fontId="0" fillId="14" borderId="0" xfId="0" applyNumberFormat="1" applyFill="1" applyBorder="1" applyAlignment="1">
      <alignment vertical="center" wrapText="1"/>
    </xf>
    <xf numFmtId="4" fontId="3" fillId="14" borderId="0" xfId="0" applyNumberFormat="1" applyFont="1" applyFill="1"/>
    <xf numFmtId="4" fontId="0" fillId="14" borderId="0" xfId="0" applyNumberFormat="1" applyFill="1"/>
    <xf numFmtId="168" fontId="3" fillId="14" borderId="0" xfId="0" applyFont="1" applyFill="1" applyAlignment="1">
      <alignment horizontal="right"/>
    </xf>
    <xf numFmtId="168" fontId="1" fillId="14" borderId="0" xfId="0" applyFont="1" applyFill="1" applyAlignment="1">
      <alignment horizontal="right"/>
    </xf>
    <xf numFmtId="4" fontId="1" fillId="14" borderId="0" xfId="0" applyNumberFormat="1" applyFont="1" applyFill="1"/>
    <xf numFmtId="182" fontId="0" fillId="0" borderId="24" xfId="0" applyNumberFormat="1" applyBorder="1"/>
    <xf numFmtId="182" fontId="0" fillId="0" borderId="29" xfId="0" applyNumberFormat="1" applyBorder="1"/>
    <xf numFmtId="164" fontId="5" fillId="0" borderId="0" xfId="0" quotePrefix="1" applyNumberFormat="1" applyFont="1" applyFill="1" applyProtection="1"/>
    <xf numFmtId="10" fontId="0" fillId="21" borderId="34" xfId="0" applyNumberFormat="1" applyFill="1" applyBorder="1"/>
    <xf numFmtId="168" fontId="3" fillId="0" borderId="0" xfId="0" applyFont="1" applyFill="1"/>
    <xf numFmtId="8" fontId="5" fillId="0" borderId="0" xfId="0" applyNumberFormat="1" applyFont="1" applyFill="1" applyProtection="1"/>
    <xf numFmtId="4" fontId="5" fillId="0" borderId="19" xfId="0" applyNumberFormat="1" applyFont="1" applyBorder="1" applyAlignment="1" applyProtection="1">
      <alignment horizontal="center" vertical="center"/>
    </xf>
    <xf numFmtId="4" fontId="5" fillId="0" borderId="20" xfId="0" applyNumberFormat="1" applyFont="1" applyBorder="1" applyAlignment="1" applyProtection="1">
      <alignment horizontal="center" vertical="center"/>
    </xf>
    <xf numFmtId="168" fontId="3" fillId="8" borderId="0" xfId="0" applyFont="1" applyFill="1" applyAlignment="1">
      <alignment horizontal="left"/>
    </xf>
    <xf numFmtId="168" fontId="0" fillId="0" borderId="0" xfId="0"/>
    <xf numFmtId="0" fontId="27" fillId="0" borderId="50" xfId="0" applyNumberFormat="1" applyFont="1" applyBorder="1" applyAlignment="1">
      <alignment horizontal="center"/>
    </xf>
    <xf numFmtId="0" fontId="0" fillId="0" borderId="50" xfId="0" applyNumberFormat="1" applyBorder="1" applyAlignment="1">
      <alignment horizontal="center"/>
    </xf>
    <xf numFmtId="0" fontId="27" fillId="0" borderId="0" xfId="0" applyNumberFormat="1" applyFont="1" applyAlignment="1">
      <alignment horizontal="center"/>
    </xf>
    <xf numFmtId="0" fontId="28" fillId="0" borderId="0" xfId="1" applyFont="1" applyAlignment="1" applyProtection="1">
      <alignment horizontal="left" wrapText="1"/>
    </xf>
    <xf numFmtId="168" fontId="17" fillId="8" borderId="0" xfId="0" applyFont="1" applyFill="1" applyAlignment="1">
      <alignment horizontal="center"/>
    </xf>
    <xf numFmtId="168" fontId="18" fillId="9" borderId="16" xfId="0" applyFont="1" applyFill="1" applyBorder="1" applyAlignment="1" applyProtection="1">
      <alignment horizontal="center" wrapText="1"/>
      <protection locked="0"/>
    </xf>
    <xf numFmtId="168" fontId="18" fillId="9" borderId="0" xfId="0" applyFont="1" applyFill="1" applyBorder="1" applyAlignment="1" applyProtection="1">
      <alignment horizontal="center" wrapText="1"/>
      <protection locked="0"/>
    </xf>
    <xf numFmtId="0" fontId="56" fillId="8" borderId="73" xfId="7" applyFont="1" applyFill="1" applyBorder="1" applyAlignment="1">
      <alignment horizontal="center" vertical="center" wrapText="1"/>
    </xf>
    <xf numFmtId="0" fontId="56" fillId="8" borderId="74" xfId="7" applyFont="1" applyFill="1" applyBorder="1" applyAlignment="1">
      <alignment horizontal="center" vertical="center" wrapText="1"/>
    </xf>
    <xf numFmtId="0" fontId="56" fillId="8" borderId="75" xfId="7" applyFont="1" applyFill="1" applyBorder="1" applyAlignment="1">
      <alignment horizontal="center" vertical="center" wrapText="1"/>
    </xf>
    <xf numFmtId="0" fontId="52" fillId="0" borderId="0" xfId="7" applyFont="1" applyAlignment="1">
      <alignment horizontal="left" wrapText="1"/>
    </xf>
    <xf numFmtId="0" fontId="54" fillId="0" borderId="76" xfId="7" applyFont="1" applyBorder="1" applyAlignment="1">
      <alignment horizontal="left" wrapText="1"/>
    </xf>
    <xf numFmtId="0" fontId="53" fillId="0" borderId="77" xfId="7" applyFont="1" applyBorder="1" applyAlignment="1">
      <alignment horizontal="left" vertical="top" wrapText="1"/>
    </xf>
    <xf numFmtId="0" fontId="58" fillId="0" borderId="78" xfId="7" applyFont="1" applyBorder="1" applyAlignment="1">
      <alignment horizontal="left" vertical="top" wrapText="1"/>
    </xf>
    <xf numFmtId="0" fontId="58" fillId="0" borderId="0" xfId="7" applyFont="1" applyAlignment="1">
      <alignment horizontal="left" vertical="top" wrapText="1"/>
    </xf>
  </cellXfs>
  <cellStyles count="10">
    <cellStyle name="Hipervínculo" xfId="1" builtinId="8"/>
    <cellStyle name="Hipervínculo 2" xfId="2"/>
    <cellStyle name="Millares" xfId="3" builtinId="3"/>
    <cellStyle name="Moneda" xfId="4" builtinId="4"/>
    <cellStyle name="Normal" xfId="0" builtinId="0"/>
    <cellStyle name="Normal 2" xfId="5"/>
    <cellStyle name="Normal 3" xfId="6"/>
    <cellStyle name="Normal 4" xfId="7"/>
    <cellStyle name="Porcentual" xfId="8" builtinId="5"/>
    <cellStyle name="Porcentual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plotArea>
      <c:layout>
        <c:manualLayout>
          <c:layoutTarget val="inner"/>
          <c:xMode val="edge"/>
          <c:yMode val="edge"/>
          <c:x val="9.2502968648698766E-2"/>
          <c:y val="4.2355815040486793E-2"/>
          <c:w val="0.60509733985364855"/>
          <c:h val="0.75764399567836715"/>
        </c:manualLayout>
      </c:layout>
      <c:barChart>
        <c:barDir val="col"/>
        <c:grouping val="stacked"/>
        <c:ser>
          <c:idx val="2"/>
          <c:order val="0"/>
          <c:tx>
            <c:strRef>
              <c:f>'Historico Ingresos'!$A$5</c:f>
              <c:strCache>
                <c:ptCount val="1"/>
                <c:pt idx="0">
                  <c:v>Ventas</c:v>
                </c:pt>
              </c:strCache>
            </c:strRef>
          </c:tx>
          <c:dLbls>
            <c:spPr>
              <a:noFill/>
              <a:ln w="25400">
                <a:noFill/>
              </a:ln>
            </c:spPr>
            <c:txPr>
              <a:bodyPr/>
              <a:lstStyle/>
              <a:p>
                <a:pPr>
                  <a:defRPr lang="es-CO" sz="800"/>
                </a:pPr>
                <a:endParaRPr lang="es-CO"/>
              </a:p>
            </c:txPr>
            <c:dLblPos val="ctr"/>
            <c:showVal val="1"/>
          </c:dLbls>
          <c:val>
            <c:numRef>
              <c:f>'Historico Ingresos'!$B$5:$F$5</c:f>
              <c:numCache>
                <c:formatCode>General</c:formatCode>
                <c:ptCount val="5"/>
                <c:pt idx="0">
                  <c:v>2009</c:v>
                </c:pt>
                <c:pt idx="1">
                  <c:v>2010</c:v>
                </c:pt>
                <c:pt idx="2">
                  <c:v>2011</c:v>
                </c:pt>
                <c:pt idx="3">
                  <c:v>2012</c:v>
                </c:pt>
                <c:pt idx="4">
                  <c:v>2013</c:v>
                </c:pt>
              </c:numCache>
            </c:numRef>
          </c:val>
        </c:ser>
        <c:ser>
          <c:idx val="3"/>
          <c:order val="1"/>
          <c:tx>
            <c:strRef>
              <c:f>'Historico Ingresos'!$A$6</c:f>
              <c:strCache>
                <c:ptCount val="1"/>
                <c:pt idx="0">
                  <c:v>Hilos Industriales</c:v>
                </c:pt>
              </c:strCache>
            </c:strRef>
          </c:tx>
          <c:dLbls>
            <c:spPr>
              <a:noFill/>
              <a:ln w="25400">
                <a:noFill/>
              </a:ln>
            </c:spPr>
            <c:txPr>
              <a:bodyPr/>
              <a:lstStyle/>
              <a:p>
                <a:pPr>
                  <a:defRPr lang="es-CO" sz="800"/>
                </a:pPr>
                <a:endParaRPr lang="es-CO"/>
              </a:p>
            </c:txPr>
            <c:dLblPos val="ctr"/>
            <c:showVal val="1"/>
          </c:dLbls>
          <c:val>
            <c:numRef>
              <c:f>'Historico Ingresos'!$B$6:$F$6</c:f>
              <c:numCache>
                <c:formatCode>#,##0.00</c:formatCode>
                <c:ptCount val="5"/>
                <c:pt idx="0">
                  <c:v>80785</c:v>
                </c:pt>
                <c:pt idx="1">
                  <c:v>126854</c:v>
                </c:pt>
                <c:pt idx="2">
                  <c:v>146165</c:v>
                </c:pt>
                <c:pt idx="3">
                  <c:v>106004</c:v>
                </c:pt>
                <c:pt idx="4">
                  <c:v>86015</c:v>
                </c:pt>
              </c:numCache>
            </c:numRef>
          </c:val>
        </c:ser>
        <c:ser>
          <c:idx val="4"/>
          <c:order val="2"/>
          <c:tx>
            <c:strRef>
              <c:f>'Historico Ingresos'!$A$7</c:f>
              <c:strCache>
                <c:ptCount val="1"/>
                <c:pt idx="0">
                  <c:v>Filamentos</c:v>
                </c:pt>
              </c:strCache>
            </c:strRef>
          </c:tx>
          <c:dLbls>
            <c:spPr>
              <a:noFill/>
              <a:ln w="25400">
                <a:noFill/>
              </a:ln>
            </c:spPr>
            <c:txPr>
              <a:bodyPr/>
              <a:lstStyle/>
              <a:p>
                <a:pPr>
                  <a:defRPr lang="es-CO" sz="800"/>
                </a:pPr>
                <a:endParaRPr lang="es-CO"/>
              </a:p>
            </c:txPr>
            <c:dLblPos val="ctr"/>
            <c:showVal val="1"/>
          </c:dLbls>
          <c:val>
            <c:numRef>
              <c:f>'Historico Ingresos'!$B$7:$F$7</c:f>
              <c:numCache>
                <c:formatCode>#,##0.00</c:formatCode>
                <c:ptCount val="5"/>
                <c:pt idx="0">
                  <c:v>82997</c:v>
                </c:pt>
                <c:pt idx="1">
                  <c:v>101298</c:v>
                </c:pt>
                <c:pt idx="2">
                  <c:v>119291</c:v>
                </c:pt>
                <c:pt idx="3">
                  <c:v>99358</c:v>
                </c:pt>
                <c:pt idx="4">
                  <c:v>93387</c:v>
                </c:pt>
              </c:numCache>
            </c:numRef>
          </c:val>
        </c:ser>
        <c:ser>
          <c:idx val="0"/>
          <c:order val="3"/>
          <c:tx>
            <c:strRef>
              <c:f>'Historico Ingresos'!$A$8</c:f>
              <c:strCache>
                <c:ptCount val="1"/>
                <c:pt idx="0">
                  <c:v>Resinas</c:v>
                </c:pt>
              </c:strCache>
            </c:strRef>
          </c:tx>
          <c:dLbls>
            <c:spPr>
              <a:noFill/>
              <a:ln w="25400">
                <a:noFill/>
              </a:ln>
            </c:spPr>
            <c:txPr>
              <a:bodyPr/>
              <a:lstStyle/>
              <a:p>
                <a:pPr>
                  <a:defRPr lang="es-CO" sz="800"/>
                </a:pPr>
                <a:endParaRPr lang="es-CO"/>
              </a:p>
            </c:txPr>
            <c:dLblPos val="ctr"/>
            <c:showVal val="1"/>
          </c:dLbls>
          <c:val>
            <c:numRef>
              <c:f>'Historico Ingresos'!$B$8:$F$8</c:f>
              <c:numCache>
                <c:formatCode>#,##0.00</c:formatCode>
                <c:ptCount val="5"/>
                <c:pt idx="0">
                  <c:v>50948.200000000004</c:v>
                </c:pt>
                <c:pt idx="1">
                  <c:v>17164</c:v>
                </c:pt>
                <c:pt idx="2">
                  <c:v>19189</c:v>
                </c:pt>
                <c:pt idx="3">
                  <c:v>31272</c:v>
                </c:pt>
                <c:pt idx="4">
                  <c:v>41711</c:v>
                </c:pt>
              </c:numCache>
            </c:numRef>
          </c:val>
        </c:ser>
        <c:ser>
          <c:idx val="5"/>
          <c:order val="4"/>
          <c:tx>
            <c:strRef>
              <c:f>'Historico Ingresos'!$A$9</c:f>
              <c:strCache>
                <c:ptCount val="1"/>
                <c:pt idx="0">
                  <c:v>Fibras</c:v>
                </c:pt>
              </c:strCache>
            </c:strRef>
          </c:tx>
          <c:val>
            <c:numRef>
              <c:f>'Historico Ingresos'!$B$9:$F$9</c:f>
              <c:numCache>
                <c:formatCode>#,##0.00</c:formatCode>
                <c:ptCount val="5"/>
                <c:pt idx="0">
                  <c:v>27905</c:v>
                </c:pt>
                <c:pt idx="1">
                  <c:v>34425</c:v>
                </c:pt>
                <c:pt idx="2">
                  <c:v>36941</c:v>
                </c:pt>
                <c:pt idx="3">
                  <c:v>33119</c:v>
                </c:pt>
                <c:pt idx="4">
                  <c:v>33722</c:v>
                </c:pt>
              </c:numCache>
            </c:numRef>
          </c:val>
        </c:ser>
        <c:ser>
          <c:idx val="6"/>
          <c:order val="5"/>
          <c:tx>
            <c:strRef>
              <c:f>'Historico Ingresos'!$A$10</c:f>
              <c:strCache>
                <c:ptCount val="1"/>
                <c:pt idx="0">
                  <c:v>Comercialización </c:v>
                </c:pt>
              </c:strCache>
            </c:strRef>
          </c:tx>
          <c:dLbls>
            <c:dLbl>
              <c:idx val="0"/>
              <c:layout>
                <c:manualLayout>
                  <c:x val="-1.8160598719649848E-17"/>
                  <c:y val="0"/>
                </c:manualLayout>
              </c:layout>
              <c:dLblPos val="ctr"/>
              <c:showVal val="1"/>
            </c:dLbl>
            <c:spPr>
              <a:noFill/>
              <a:ln w="25400">
                <a:noFill/>
              </a:ln>
            </c:spPr>
            <c:txPr>
              <a:bodyPr/>
              <a:lstStyle/>
              <a:p>
                <a:pPr>
                  <a:defRPr lang="es-CO" sz="800"/>
                </a:pPr>
                <a:endParaRPr lang="es-CO"/>
              </a:p>
            </c:txPr>
            <c:dLblPos val="ctr"/>
            <c:showVal val="1"/>
          </c:dLbls>
          <c:val>
            <c:numRef>
              <c:f>'Historico Ingresos'!$B$10:$F$10</c:f>
              <c:numCache>
                <c:formatCode>#,##0.00</c:formatCode>
                <c:ptCount val="5"/>
                <c:pt idx="0">
                  <c:v>10915</c:v>
                </c:pt>
                <c:pt idx="1">
                  <c:v>19297</c:v>
                </c:pt>
                <c:pt idx="2">
                  <c:v>20819</c:v>
                </c:pt>
                <c:pt idx="3">
                  <c:v>17356</c:v>
                </c:pt>
                <c:pt idx="4">
                  <c:v>17192</c:v>
                </c:pt>
              </c:numCache>
            </c:numRef>
          </c:val>
        </c:ser>
        <c:overlap val="100"/>
        <c:axId val="93378432"/>
        <c:axId val="93379968"/>
      </c:barChart>
      <c:lineChart>
        <c:grouping val="standard"/>
        <c:ser>
          <c:idx val="7"/>
          <c:order val="6"/>
          <c:tx>
            <c:strRef>
              <c:f>'Historico Ingresos'!$A$11</c:f>
              <c:strCache>
                <c:ptCount val="1"/>
                <c:pt idx="0">
                  <c:v>Otros</c:v>
                </c:pt>
              </c:strCache>
            </c:strRef>
          </c:tx>
          <c:val>
            <c:numRef>
              <c:f>'Historico Ingresos'!$B$11:$F$11</c:f>
              <c:numCache>
                <c:formatCode>#,##0.00</c:formatCode>
                <c:ptCount val="5"/>
                <c:pt idx="0">
                  <c:v>1191</c:v>
                </c:pt>
                <c:pt idx="1">
                  <c:v>599.274</c:v>
                </c:pt>
                <c:pt idx="2">
                  <c:v>101</c:v>
                </c:pt>
                <c:pt idx="3">
                  <c:v>157</c:v>
                </c:pt>
                <c:pt idx="4">
                  <c:v>192</c:v>
                </c:pt>
              </c:numCache>
            </c:numRef>
          </c:val>
        </c:ser>
        <c:ser>
          <c:idx val="1"/>
          <c:order val="7"/>
          <c:tx>
            <c:strRef>
              <c:f>'Historico Ingresos'!$A$13</c:f>
              <c:strCache>
                <c:ptCount val="1"/>
                <c:pt idx="0">
                  <c:v>Toneladas</c:v>
                </c:pt>
              </c:strCache>
            </c:strRef>
          </c:tx>
          <c:val>
            <c:numRef>
              <c:f>'Historico Ingresos'!$B$13:$F$13</c:f>
              <c:numCache>
                <c:formatCode>#,##0.00</c:formatCode>
                <c:ptCount val="5"/>
                <c:pt idx="0">
                  <c:v>53677</c:v>
                </c:pt>
                <c:pt idx="1">
                  <c:v>54371</c:v>
                </c:pt>
                <c:pt idx="2">
                  <c:v>52166</c:v>
                </c:pt>
                <c:pt idx="3">
                  <c:v>48571</c:v>
                </c:pt>
                <c:pt idx="4">
                  <c:v>47894</c:v>
                </c:pt>
              </c:numCache>
            </c:numRef>
          </c:val>
        </c:ser>
        <c:marker val="1"/>
        <c:axId val="93385856"/>
        <c:axId val="93387392"/>
      </c:lineChart>
      <c:catAx>
        <c:axId val="93378432"/>
        <c:scaling>
          <c:orientation val="minMax"/>
        </c:scaling>
        <c:axPos val="b"/>
        <c:numFmt formatCode="General" sourceLinked="1"/>
        <c:tickLblPos val="nextTo"/>
        <c:txPr>
          <a:bodyPr/>
          <a:lstStyle/>
          <a:p>
            <a:pPr>
              <a:defRPr lang="es-CO"/>
            </a:pPr>
            <a:endParaRPr lang="es-CO"/>
          </a:p>
        </c:txPr>
        <c:crossAx val="93379968"/>
        <c:crosses val="autoZero"/>
        <c:auto val="1"/>
        <c:lblAlgn val="ctr"/>
        <c:lblOffset val="100"/>
      </c:catAx>
      <c:valAx>
        <c:axId val="93379968"/>
        <c:scaling>
          <c:orientation val="minMax"/>
        </c:scaling>
        <c:axPos val="l"/>
        <c:numFmt formatCode="#,##0" sourceLinked="0"/>
        <c:tickLblPos val="nextTo"/>
        <c:txPr>
          <a:bodyPr/>
          <a:lstStyle/>
          <a:p>
            <a:pPr>
              <a:defRPr lang="es-CO" sz="800"/>
            </a:pPr>
            <a:endParaRPr lang="es-CO"/>
          </a:p>
        </c:txPr>
        <c:crossAx val="93378432"/>
        <c:crosses val="autoZero"/>
        <c:crossBetween val="between"/>
      </c:valAx>
      <c:catAx>
        <c:axId val="93385856"/>
        <c:scaling>
          <c:orientation val="minMax"/>
        </c:scaling>
        <c:delete val="1"/>
        <c:axPos val="b"/>
        <c:tickLblPos val="none"/>
        <c:crossAx val="93387392"/>
        <c:crosses val="autoZero"/>
        <c:auto val="1"/>
        <c:lblAlgn val="ctr"/>
        <c:lblOffset val="100"/>
      </c:catAx>
      <c:valAx>
        <c:axId val="93387392"/>
        <c:scaling>
          <c:orientation val="minMax"/>
          <c:max val="55000"/>
          <c:min val="46000"/>
        </c:scaling>
        <c:axPos val="r"/>
        <c:numFmt formatCode="#,##0" sourceLinked="0"/>
        <c:tickLblPos val="nextTo"/>
        <c:txPr>
          <a:bodyPr/>
          <a:lstStyle/>
          <a:p>
            <a:pPr>
              <a:defRPr lang="es-CO" sz="800"/>
            </a:pPr>
            <a:endParaRPr lang="es-CO"/>
          </a:p>
        </c:txPr>
        <c:crossAx val="93385856"/>
        <c:crosses val="max"/>
        <c:crossBetween val="between"/>
      </c:valAx>
    </c:plotArea>
    <c:legend>
      <c:legendPos val="r"/>
      <c:layout>
        <c:manualLayout>
          <c:xMode val="edge"/>
          <c:yMode val="edge"/>
          <c:x val="0.78043988238355744"/>
          <c:y val="9.7744600134614223E-2"/>
          <c:w val="0.21556907237192913"/>
          <c:h val="0.53634216484121267"/>
        </c:manualLayout>
      </c:layout>
      <c:txPr>
        <a:bodyPr/>
        <a:lstStyle/>
        <a:p>
          <a:pPr>
            <a:defRPr lang="es-CO"/>
          </a:pPr>
          <a:endParaRPr lang="es-CO"/>
        </a:p>
      </c:txPr>
    </c:legend>
    <c:plotVisOnly val="1"/>
    <c:dispBlanksAs val="gap"/>
  </c:chart>
  <c:printSettings>
    <c:headerFooter/>
    <c:pageMargins b="0.75000000000000544" l="0.70000000000000062" r="0.70000000000000062" t="0.75000000000000544"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a:pPr>
            <a:r>
              <a:rPr lang="en-US"/>
              <a:t>Evolución Ventas</a:t>
            </a:r>
          </a:p>
        </c:rich>
      </c:tx>
      <c:layout>
        <c:manualLayout>
          <c:xMode val="edge"/>
          <c:yMode val="edge"/>
          <c:x val="0.38881853856772941"/>
          <c:y val="3.2171623884184292E-2"/>
        </c:manualLayout>
      </c:layout>
      <c:spPr>
        <a:noFill/>
        <a:ln w="25400">
          <a:noFill/>
        </a:ln>
      </c:spPr>
    </c:title>
    <c:plotArea>
      <c:layout>
        <c:manualLayout>
          <c:layoutTarget val="inner"/>
          <c:xMode val="edge"/>
          <c:yMode val="edge"/>
          <c:x val="0.15561351706036791"/>
          <c:y val="0.15266232397203006"/>
          <c:w val="0.62029406046466462"/>
          <c:h val="0.62676292432988789"/>
        </c:manualLayout>
      </c:layout>
      <c:areaChart>
        <c:grouping val="stacked"/>
        <c:ser>
          <c:idx val="0"/>
          <c:order val="0"/>
          <c:tx>
            <c:strRef>
              <c:f>'Historico Ingresos'!$S$35</c:f>
              <c:strCache>
                <c:ptCount val="1"/>
                <c:pt idx="0">
                  <c:v>Ingresos
 Totales</c:v>
                </c:pt>
              </c:strCache>
            </c:strRef>
          </c:tx>
          <c:cat>
            <c:multiLvlStrRef>
              <c:f>'Historico Ingresos'!$T$32:$X$32</c:f>
            </c:multiLvlStrRef>
          </c:cat>
          <c:val>
            <c:numRef>
              <c:f>'Historico Ingresos'!$T$35:$X$35</c:f>
              <c:numCache>
                <c:formatCode>"$"\ #,##0</c:formatCode>
                <c:ptCount val="5"/>
                <c:pt idx="0">
                  <c:v>254741</c:v>
                </c:pt>
                <c:pt idx="1">
                  <c:v>299637</c:v>
                </c:pt>
                <c:pt idx="2">
                  <c:v>342506</c:v>
                </c:pt>
                <c:pt idx="3">
                  <c:v>287266</c:v>
                </c:pt>
                <c:pt idx="4">
                  <c:v>272219</c:v>
                </c:pt>
              </c:numCache>
            </c:numRef>
          </c:val>
        </c:ser>
        <c:axId val="90042368"/>
        <c:axId val="90043904"/>
      </c:areaChart>
      <c:areaChart>
        <c:grouping val="stacked"/>
        <c:ser>
          <c:idx val="1"/>
          <c:order val="1"/>
          <c:tx>
            <c:strRef>
              <c:f>'Historico Ingresos'!$S$34</c:f>
              <c:strCache>
                <c:ptCount val="1"/>
                <c:pt idx="0">
                  <c:v>Ventas 
Internacionales</c:v>
                </c:pt>
              </c:strCache>
            </c:strRef>
          </c:tx>
          <c:cat>
            <c:multiLvlStrRef>
              <c:f>'Historico Ingresos'!$T$32:$X$32</c:f>
            </c:multiLvlStrRef>
          </c:cat>
          <c:val>
            <c:numRef>
              <c:f>'Historico Ingresos'!$T$34:$X$34</c:f>
              <c:numCache>
                <c:formatCode>"$"\ #,##0</c:formatCode>
                <c:ptCount val="5"/>
                <c:pt idx="0">
                  <c:v>87159</c:v>
                </c:pt>
                <c:pt idx="1">
                  <c:v>109121</c:v>
                </c:pt>
                <c:pt idx="2">
                  <c:v>127599</c:v>
                </c:pt>
                <c:pt idx="3">
                  <c:v>98973</c:v>
                </c:pt>
                <c:pt idx="4">
                  <c:v>96052</c:v>
                </c:pt>
              </c:numCache>
            </c:numRef>
          </c:val>
        </c:ser>
        <c:axId val="90045440"/>
        <c:axId val="96277248"/>
      </c:areaChart>
      <c:catAx>
        <c:axId val="90042368"/>
        <c:scaling>
          <c:orientation val="minMax"/>
        </c:scaling>
        <c:axPos val="b"/>
        <c:numFmt formatCode="General" sourceLinked="1"/>
        <c:majorTickMark val="none"/>
        <c:tickLblPos val="nextTo"/>
        <c:txPr>
          <a:bodyPr/>
          <a:lstStyle/>
          <a:p>
            <a:pPr>
              <a:defRPr lang="es-CO"/>
            </a:pPr>
            <a:endParaRPr lang="es-CO"/>
          </a:p>
        </c:txPr>
        <c:crossAx val="90043904"/>
        <c:crosses val="autoZero"/>
        <c:auto val="1"/>
        <c:lblAlgn val="ctr"/>
        <c:lblOffset val="100"/>
      </c:catAx>
      <c:valAx>
        <c:axId val="90043904"/>
        <c:scaling>
          <c:orientation val="minMax"/>
        </c:scaling>
        <c:axPos val="l"/>
        <c:majorGridlines/>
        <c:numFmt formatCode="&quot;$&quot;\ #,##0" sourceLinked="1"/>
        <c:majorTickMark val="none"/>
        <c:tickLblPos val="nextTo"/>
        <c:txPr>
          <a:bodyPr/>
          <a:lstStyle/>
          <a:p>
            <a:pPr>
              <a:defRPr lang="es-CO" sz="800"/>
            </a:pPr>
            <a:endParaRPr lang="es-CO"/>
          </a:p>
        </c:txPr>
        <c:crossAx val="90042368"/>
        <c:crosses val="autoZero"/>
        <c:crossBetween val="midCat"/>
      </c:valAx>
      <c:catAx>
        <c:axId val="90045440"/>
        <c:scaling>
          <c:orientation val="minMax"/>
        </c:scaling>
        <c:delete val="1"/>
        <c:axPos val="b"/>
        <c:tickLblPos val="none"/>
        <c:crossAx val="96277248"/>
        <c:crosses val="autoZero"/>
        <c:auto val="1"/>
        <c:lblAlgn val="ctr"/>
        <c:lblOffset val="100"/>
      </c:catAx>
      <c:valAx>
        <c:axId val="96277248"/>
        <c:scaling>
          <c:orientation val="minMax"/>
          <c:max val="250000"/>
        </c:scaling>
        <c:delete val="1"/>
        <c:axPos val="r"/>
        <c:numFmt formatCode="&quot;$&quot;\ #,##0" sourceLinked="1"/>
        <c:tickLblPos val="none"/>
        <c:crossAx val="90045440"/>
        <c:crosses val="max"/>
        <c:crossBetween val="midCat"/>
      </c:valAx>
    </c:plotArea>
    <c:legend>
      <c:legendPos val="r"/>
      <c:layout>
        <c:manualLayout>
          <c:xMode val="edge"/>
          <c:yMode val="edge"/>
          <c:x val="0.79542616059933857"/>
          <c:y val="0.46916951497768788"/>
          <c:w val="0.19949186455925921"/>
          <c:h val="0.20375361793316688"/>
        </c:manualLayout>
      </c:layout>
      <c:txPr>
        <a:bodyPr/>
        <a:lstStyle/>
        <a:p>
          <a:pPr>
            <a:defRPr lang="es-CO" sz="800"/>
          </a:pPr>
          <a:endParaRPr lang="es-CO"/>
        </a:p>
      </c:txPr>
    </c:legend>
    <c:plotVisOnly val="1"/>
    <c:dispBlanksAs val="zero"/>
  </c:chart>
  <c:printSettings>
    <c:headerFooter/>
    <c:pageMargins b="0.75000000000000544" l="0.70000000000000062" r="0.70000000000000062" t="0.7500000000000054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tx>
        <c:rich>
          <a:bodyPr/>
          <a:lstStyle/>
          <a:p>
            <a:pPr>
              <a:defRPr lang="es-CO"/>
            </a:pPr>
            <a:r>
              <a:rPr lang="es-CO" sz="1050"/>
              <a:t>Utilidad Operacional VS Ebitda</a:t>
            </a:r>
            <a:endParaRPr lang="es-CO"/>
          </a:p>
        </c:rich>
      </c:tx>
      <c:layout>
        <c:manualLayout>
          <c:xMode val="edge"/>
          <c:yMode val="edge"/>
          <c:x val="0.34035146030609292"/>
          <c:y val="3.4161542485840656E-2"/>
        </c:manualLayout>
      </c:layout>
      <c:overlay val="1"/>
      <c:spPr>
        <a:noFill/>
        <a:ln w="25400">
          <a:noFill/>
        </a:ln>
      </c:spPr>
    </c:title>
    <c:plotArea>
      <c:layout>
        <c:manualLayout>
          <c:layoutTarget val="inner"/>
          <c:xMode val="edge"/>
          <c:yMode val="edge"/>
          <c:x val="0.19375240594925633"/>
          <c:y val="0.12547462817147856"/>
          <c:w val="0.53877624671916013"/>
          <c:h val="0.79997666958296276"/>
        </c:manualLayout>
      </c:layout>
      <c:barChart>
        <c:barDir val="col"/>
        <c:grouping val="clustered"/>
        <c:ser>
          <c:idx val="0"/>
          <c:order val="0"/>
          <c:tx>
            <c:strRef>
              <c:f>'Historico Ingresos'!$AE$38</c:f>
              <c:strCache>
                <c:ptCount val="1"/>
                <c:pt idx="0">
                  <c:v>Utilidad
 Operacional</c:v>
                </c:pt>
              </c:strCache>
            </c:strRef>
          </c:tx>
          <c:cat>
            <c:numRef>
              <c:f>'Historico Ingresos'!$AF$37:$AJ$37</c:f>
              <c:numCache>
                <c:formatCode>General</c:formatCode>
                <c:ptCount val="5"/>
                <c:pt idx="0">
                  <c:v>2009</c:v>
                </c:pt>
                <c:pt idx="1">
                  <c:v>2010</c:v>
                </c:pt>
                <c:pt idx="2">
                  <c:v>2011</c:v>
                </c:pt>
                <c:pt idx="3">
                  <c:v>2012</c:v>
                </c:pt>
                <c:pt idx="4">
                  <c:v>2013</c:v>
                </c:pt>
              </c:numCache>
            </c:numRef>
          </c:cat>
          <c:val>
            <c:numRef>
              <c:f>'Historico Ingresos'!$AF$38:$AJ$38</c:f>
              <c:numCache>
                <c:formatCode>"$"\ #,##0_);[Red]\("$"\ #,##0\)</c:formatCode>
                <c:ptCount val="5"/>
                <c:pt idx="0">
                  <c:v>-10628</c:v>
                </c:pt>
                <c:pt idx="1">
                  <c:v>-7110</c:v>
                </c:pt>
                <c:pt idx="2">
                  <c:v>-8753</c:v>
                </c:pt>
                <c:pt idx="3">
                  <c:v>-8280</c:v>
                </c:pt>
                <c:pt idx="4">
                  <c:v>-5336</c:v>
                </c:pt>
              </c:numCache>
            </c:numRef>
          </c:val>
        </c:ser>
        <c:ser>
          <c:idx val="1"/>
          <c:order val="1"/>
          <c:tx>
            <c:strRef>
              <c:f>'Historico Ingresos'!$AE$39</c:f>
              <c:strCache>
                <c:ptCount val="1"/>
                <c:pt idx="0">
                  <c:v>Ebitda</c:v>
                </c:pt>
              </c:strCache>
            </c:strRef>
          </c:tx>
          <c:cat>
            <c:numRef>
              <c:f>'Historico Ingresos'!$AF$37:$AJ$37</c:f>
              <c:numCache>
                <c:formatCode>General</c:formatCode>
                <c:ptCount val="5"/>
                <c:pt idx="0">
                  <c:v>2009</c:v>
                </c:pt>
                <c:pt idx="1">
                  <c:v>2010</c:v>
                </c:pt>
                <c:pt idx="2">
                  <c:v>2011</c:v>
                </c:pt>
                <c:pt idx="3">
                  <c:v>2012</c:v>
                </c:pt>
                <c:pt idx="4">
                  <c:v>2013</c:v>
                </c:pt>
              </c:numCache>
            </c:numRef>
          </c:cat>
          <c:val>
            <c:numRef>
              <c:f>'Historico Ingresos'!$AF$39:$AJ$39</c:f>
              <c:numCache>
                <c:formatCode>[$$-240A]\ #,##0</c:formatCode>
                <c:ptCount val="5"/>
                <c:pt idx="0">
                  <c:v>2556</c:v>
                </c:pt>
                <c:pt idx="1">
                  <c:v>5323</c:v>
                </c:pt>
                <c:pt idx="2">
                  <c:v>2632</c:v>
                </c:pt>
                <c:pt idx="3">
                  <c:v>2529</c:v>
                </c:pt>
                <c:pt idx="4">
                  <c:v>4821</c:v>
                </c:pt>
              </c:numCache>
            </c:numRef>
          </c:val>
        </c:ser>
        <c:axId val="96314496"/>
        <c:axId val="96316032"/>
      </c:barChart>
      <c:catAx>
        <c:axId val="96314496"/>
        <c:scaling>
          <c:orientation val="minMax"/>
        </c:scaling>
        <c:axPos val="b"/>
        <c:numFmt formatCode="General" sourceLinked="1"/>
        <c:tickLblPos val="nextTo"/>
        <c:txPr>
          <a:bodyPr/>
          <a:lstStyle/>
          <a:p>
            <a:pPr>
              <a:defRPr lang="es-CO"/>
            </a:pPr>
            <a:endParaRPr lang="es-CO"/>
          </a:p>
        </c:txPr>
        <c:crossAx val="96316032"/>
        <c:crosses val="autoZero"/>
        <c:auto val="1"/>
        <c:lblAlgn val="ctr"/>
        <c:lblOffset val="100"/>
      </c:catAx>
      <c:valAx>
        <c:axId val="96316032"/>
        <c:scaling>
          <c:orientation val="minMax"/>
        </c:scaling>
        <c:axPos val="l"/>
        <c:majorGridlines/>
        <c:numFmt formatCode="&quot;$&quot;\ #,##0_);[Red]\(&quot;$&quot;\ #,##0\)" sourceLinked="1"/>
        <c:tickLblPos val="nextTo"/>
        <c:txPr>
          <a:bodyPr/>
          <a:lstStyle/>
          <a:p>
            <a:pPr>
              <a:defRPr lang="es-CO" sz="700"/>
            </a:pPr>
            <a:endParaRPr lang="es-CO"/>
          </a:p>
        </c:txPr>
        <c:crossAx val="96314496"/>
        <c:crosses val="autoZero"/>
        <c:crossBetween val="between"/>
      </c:valAx>
    </c:plotArea>
    <c:legend>
      <c:legendPos val="r"/>
      <c:layout>
        <c:manualLayout>
          <c:xMode val="edge"/>
          <c:yMode val="edge"/>
          <c:x val="0.78070309193923348"/>
          <c:y val="0.36335458825848788"/>
          <c:w val="0.16666695221174652"/>
          <c:h val="0.23602520262944401"/>
        </c:manualLayout>
      </c:layout>
      <c:txPr>
        <a:bodyPr/>
        <a:lstStyle/>
        <a:p>
          <a:pPr>
            <a:defRPr lang="es-CO" sz="800"/>
          </a:pPr>
          <a:endParaRPr lang="es-CO"/>
        </a:p>
      </c:txPr>
    </c:legend>
    <c:plotVisOnly val="1"/>
    <c:dispBlanksAs val="gap"/>
  </c:chart>
  <c:printSettings>
    <c:headerFooter/>
    <c:pageMargins b="0.75000000000000544" l="0.70000000000000062" r="0.70000000000000062" t="0.750000000000005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stern.nyu.edu/~adamodar/pc/datasets/indname.xls" TargetMode="External"/><Relationship Id="rId2" Type="http://schemas.openxmlformats.org/officeDocument/2006/relationships/image" Target="../media/image1.png"/><Relationship Id="rId1" Type="http://schemas.openxmlformats.org/officeDocument/2006/relationships/hyperlink" Target="http://pages.stern.nyu.edu/~adamodar/New_Home_Page/datafile/variable.htm"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714375</xdr:colOff>
      <xdr:row>10</xdr:row>
      <xdr:rowOff>28575</xdr:rowOff>
    </xdr:to>
    <xdr:pic>
      <xdr:nvPicPr>
        <xdr:cNvPr id="45057" name="Picture 1" descr="http://pages.stern.nyu.edu/~adamodar/New_Home_Page/Budimage/variable.gif">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0" y="1571625"/>
          <a:ext cx="714375" cy="352425"/>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714375</xdr:colOff>
      <xdr:row>13</xdr:row>
      <xdr:rowOff>28575</xdr:rowOff>
    </xdr:to>
    <xdr:pic>
      <xdr:nvPicPr>
        <xdr:cNvPr id="45058" name="Picture 2" descr="http://pages.stern.nyu.edu/~adamodar/New_Home_Page/Budimage/detail.gif">
          <a:hlinkClick xmlns:r="http://schemas.openxmlformats.org/officeDocument/2006/relationships" r:id="rId3"/>
        </xdr:cNvPr>
        <xdr:cNvPicPr>
          <a:picLocks noChangeAspect="1" noChangeArrowheads="1"/>
        </xdr:cNvPicPr>
      </xdr:nvPicPr>
      <xdr:blipFill>
        <a:blip xmlns:r="http://schemas.openxmlformats.org/officeDocument/2006/relationships" r:embed="rId4"/>
        <a:srcRect/>
        <a:stretch>
          <a:fillRect/>
        </a:stretch>
      </xdr:blipFill>
      <xdr:spPr bwMode="auto">
        <a:xfrm>
          <a:off x="0" y="2057400"/>
          <a:ext cx="714375" cy="352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32</xdr:row>
      <xdr:rowOff>171450</xdr:rowOff>
    </xdr:from>
    <xdr:to>
      <xdr:col>8</xdr:col>
      <xdr:colOff>95250</xdr:colOff>
      <xdr:row>52</xdr:row>
      <xdr:rowOff>114300</xdr:rowOff>
    </xdr:to>
    <xdr:graphicFrame macro="">
      <xdr:nvGraphicFramePr>
        <xdr:cNvPr id="4608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533400</xdr:colOff>
      <xdr:row>32</xdr:row>
      <xdr:rowOff>171450</xdr:rowOff>
    </xdr:from>
    <xdr:to>
      <xdr:col>17</xdr:col>
      <xdr:colOff>381000</xdr:colOff>
      <xdr:row>51</xdr:row>
      <xdr:rowOff>47625</xdr:rowOff>
    </xdr:to>
    <xdr:graphicFrame macro="">
      <xdr:nvGraphicFramePr>
        <xdr:cNvPr id="4608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47625</xdr:colOff>
      <xdr:row>40</xdr:row>
      <xdr:rowOff>28575</xdr:rowOff>
    </xdr:from>
    <xdr:to>
      <xdr:col>35</xdr:col>
      <xdr:colOff>523875</xdr:colOff>
      <xdr:row>57</xdr:row>
      <xdr:rowOff>19050</xdr:rowOff>
    </xdr:to>
    <xdr:graphicFrame macro="">
      <xdr:nvGraphicFramePr>
        <xdr:cNvPr id="46083"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0.03863</cdr:x>
      <cdr:y>0.95524</cdr:y>
    </cdr:from>
    <cdr:to>
      <cdr:x>0.18128</cdr:x>
      <cdr:y>0.99441</cdr:y>
    </cdr:to>
    <cdr:sp macro="" textlink="">
      <cdr:nvSpPr>
        <cdr:cNvPr id="2" name="1 CuadroTexto"/>
        <cdr:cNvSpPr txBox="1"/>
      </cdr:nvSpPr>
      <cdr:spPr>
        <a:xfrm xmlns:a="http://schemas.openxmlformats.org/drawingml/2006/main">
          <a:off x="247649" y="3252789"/>
          <a:ext cx="914400" cy="133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a:p>
      </cdr:txBody>
    </cdr:sp>
  </cdr:relSizeAnchor>
  <cdr:relSizeAnchor xmlns:cdr="http://schemas.openxmlformats.org/drawingml/2006/chartDrawing">
    <cdr:from>
      <cdr:x>0.05201</cdr:x>
      <cdr:y>0.91608</cdr:y>
    </cdr:from>
    <cdr:to>
      <cdr:x>1</cdr:x>
      <cdr:y>1</cdr:y>
    </cdr:to>
    <cdr:sp macro="" textlink="">
      <cdr:nvSpPr>
        <cdr:cNvPr id="3" name="2 CuadroTexto"/>
        <cdr:cNvSpPr txBox="1"/>
      </cdr:nvSpPr>
      <cdr:spPr>
        <a:xfrm xmlns:a="http://schemas.openxmlformats.org/drawingml/2006/main">
          <a:off x="333374" y="3119439"/>
          <a:ext cx="607695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800"/>
            <a:t>Fuente: Informes de gestión 2009 - 2102. Elaboración</a:t>
          </a:r>
          <a:r>
            <a:rPr lang="es-CO" sz="800" baseline="0"/>
            <a:t> propia</a:t>
          </a:r>
          <a:r>
            <a:rPr lang="es-CO" sz="1100" baseline="0"/>
            <a:t> </a:t>
          </a:r>
          <a:endParaRPr lang="es-CO" sz="1100"/>
        </a:p>
      </cdr:txBody>
    </cdr:sp>
  </cdr:relSizeAnchor>
</c:userShapes>
</file>

<file path=xl/drawings/drawing4.xml><?xml version="1.0" encoding="utf-8"?>
<c:userShapes xmlns:c="http://schemas.openxmlformats.org/drawingml/2006/chart">
  <cdr:relSizeAnchor xmlns:cdr="http://schemas.openxmlformats.org/drawingml/2006/chartDrawing">
    <cdr:from>
      <cdr:x>0</cdr:x>
      <cdr:y>0.85575</cdr:y>
    </cdr:from>
    <cdr:to>
      <cdr:x>0</cdr:x>
      <cdr:y>0.85575</cdr:y>
    </cdr:to>
    <cdr:sp macro="" textlink="">
      <cdr:nvSpPr>
        <cdr:cNvPr id="2" name="1 CuadroTexto"/>
        <cdr:cNvSpPr txBox="1"/>
      </cdr:nvSpPr>
      <cdr:spPr>
        <a:xfrm xmlns:a="http://schemas.openxmlformats.org/drawingml/2006/main">
          <a:off x="0" y="2803029"/>
          <a:ext cx="4572000" cy="3259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800"/>
            <a:t>Fuente: Informes de gestión 2009 - 2102. Elaboración</a:t>
          </a:r>
          <a:r>
            <a:rPr lang="es-CO" sz="800" baseline="0"/>
            <a:t> propia</a:t>
          </a:r>
          <a:r>
            <a:rPr lang="es-CO" sz="1100" baseline="0"/>
            <a:t> </a:t>
          </a:r>
          <a:endParaRPr lang="es-CO"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Downloads/Files%20Soporte/S&amp;P%205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AppData/Local/Temp/ENKA%20de%20Colombia%20S%20A%20-%20V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turns by year"/>
      <sheetName val="S&amp;P 500 &amp; Raw Data"/>
      <sheetName val="T. Bill rates"/>
      <sheetName val="T. Bond return"/>
      <sheetName val="Summary for ppt"/>
      <sheetName val="Betas"/>
      <sheetName val="EMBI"/>
      <sheetName val="Sheet8"/>
      <sheetName val="Sheet9"/>
      <sheetName val="Sheet10"/>
      <sheetName val="Sheet11"/>
      <sheetName val="Sheet12"/>
      <sheetName val="Sheet13"/>
      <sheetName val="Sheet14"/>
      <sheetName val="Sheet15"/>
      <sheetName val="Sheet16"/>
    </sheetNames>
    <sheetDataSet>
      <sheetData sheetId="0"/>
      <sheetData sheetId="1">
        <row r="3">
          <cell r="B3">
            <v>17.66</v>
          </cell>
        </row>
        <row r="4">
          <cell r="B4">
            <v>24.35</v>
          </cell>
          <cell r="C4">
            <v>1.04705</v>
          </cell>
          <cell r="F4">
            <v>8.354708589799302E-3</v>
          </cell>
        </row>
        <row r="5">
          <cell r="B5">
            <v>21.45</v>
          </cell>
          <cell r="C5">
            <v>0.87944999999999995</v>
          </cell>
          <cell r="F5">
            <v>4.2038041563204259E-2</v>
          </cell>
        </row>
        <row r="6">
          <cell r="B6">
            <v>15.34</v>
          </cell>
          <cell r="C6">
            <v>0.72097999999999995</v>
          </cell>
          <cell r="F6">
            <v>4.5409314348970366E-2</v>
          </cell>
        </row>
        <row r="7">
          <cell r="B7">
            <v>8.1199999999999992</v>
          </cell>
          <cell r="C7">
            <v>0.49531999999999993</v>
          </cell>
          <cell r="F7">
            <v>-2.5588559619422531E-2</v>
          </cell>
        </row>
        <row r="8">
          <cell r="B8">
            <v>6.92</v>
          </cell>
          <cell r="C8">
            <v>0.49823999999999996</v>
          </cell>
          <cell r="F8">
            <v>8.7903069904773257E-2</v>
          </cell>
        </row>
        <row r="9">
          <cell r="B9">
            <v>9.9700000000000006</v>
          </cell>
          <cell r="C9">
            <v>0.40877000000000002</v>
          </cell>
          <cell r="F9">
            <v>1.8552720891857361E-2</v>
          </cell>
        </row>
        <row r="10">
          <cell r="B10">
            <v>9.5</v>
          </cell>
          <cell r="C10">
            <v>0.35149999999999998</v>
          </cell>
          <cell r="F10">
            <v>7.9634426179656104E-2</v>
          </cell>
        </row>
        <row r="11">
          <cell r="B11">
            <v>13.43</v>
          </cell>
          <cell r="C11">
            <v>0.51034000000000002</v>
          </cell>
          <cell r="F11">
            <v>4.4720477296566127E-2</v>
          </cell>
        </row>
        <row r="12">
          <cell r="B12">
            <v>17.18</v>
          </cell>
          <cell r="C12">
            <v>0.54</v>
          </cell>
          <cell r="F12">
            <v>5.0178754045450601E-2</v>
          </cell>
        </row>
        <row r="13">
          <cell r="B13">
            <v>10.55</v>
          </cell>
          <cell r="C13">
            <v>0.55915000000000004</v>
          </cell>
          <cell r="F13">
            <v>1.379146059646038E-2</v>
          </cell>
        </row>
        <row r="14">
          <cell r="B14">
            <v>13.14</v>
          </cell>
          <cell r="C14">
            <v>0.49931999999999999</v>
          </cell>
          <cell r="F14">
            <v>4.2132485322046068E-2</v>
          </cell>
        </row>
        <row r="15">
          <cell r="B15">
            <v>12.46</v>
          </cell>
          <cell r="C15">
            <v>0.53578000000000003</v>
          </cell>
          <cell r="F15">
            <v>4.4122613942060671E-2</v>
          </cell>
        </row>
        <row r="16">
          <cell r="B16">
            <v>10.58</v>
          </cell>
          <cell r="C16">
            <v>0.55015999999999998</v>
          </cell>
          <cell r="F16">
            <v>5.4024815962845509E-2</v>
          </cell>
        </row>
        <row r="17">
          <cell r="B17">
            <v>8.69</v>
          </cell>
          <cell r="C17">
            <v>0.53877999999999993</v>
          </cell>
          <cell r="F17">
            <v>-2.0221975848580105E-2</v>
          </cell>
        </row>
        <row r="18">
          <cell r="B18">
            <v>9.77</v>
          </cell>
          <cell r="C18">
            <v>0.58619999999999994</v>
          </cell>
          <cell r="F18">
            <v>2.2948682374484164E-2</v>
          </cell>
        </row>
        <row r="19">
          <cell r="B19">
            <v>11.67</v>
          </cell>
          <cell r="C19">
            <v>0.54849000000000003</v>
          </cell>
          <cell r="F19">
            <v>2.4899999999999999E-2</v>
          </cell>
        </row>
        <row r="20">
          <cell r="B20">
            <v>13.28</v>
          </cell>
          <cell r="C20">
            <v>0.61087999999999998</v>
          </cell>
          <cell r="F20">
            <v>2.5776111579070303E-2</v>
          </cell>
        </row>
        <row r="21">
          <cell r="B21">
            <v>17.36</v>
          </cell>
          <cell r="C21">
            <v>0.67703999999999998</v>
          </cell>
          <cell r="F21">
            <v>3.8044173419237229E-2</v>
          </cell>
        </row>
        <row r="22">
          <cell r="B22">
            <v>15.3</v>
          </cell>
          <cell r="C22">
            <v>0.59670000000000001</v>
          </cell>
          <cell r="F22">
            <v>3.1283745375695685E-2</v>
          </cell>
        </row>
        <row r="23">
          <cell r="B23">
            <v>15.3</v>
          </cell>
          <cell r="C23">
            <v>0.79559999999999997</v>
          </cell>
          <cell r="F23">
            <v>9.1969680628322358E-3</v>
          </cell>
        </row>
        <row r="24">
          <cell r="B24">
            <v>15.2</v>
          </cell>
          <cell r="C24">
            <v>0.9728</v>
          </cell>
          <cell r="F24">
            <v>1.9510369413175046E-2</v>
          </cell>
        </row>
        <row r="25">
          <cell r="B25">
            <v>16.79</v>
          </cell>
          <cell r="C25">
            <v>1.1920899999999999</v>
          </cell>
          <cell r="F25">
            <v>4.6634851827973139E-2</v>
          </cell>
        </row>
        <row r="26">
          <cell r="B26">
            <v>20.43</v>
          </cell>
          <cell r="C26">
            <v>1.5322499999999999</v>
          </cell>
          <cell r="F26">
            <v>4.2959574171096103E-3</v>
          </cell>
        </row>
        <row r="27">
          <cell r="B27">
            <v>23.77</v>
          </cell>
          <cell r="C27">
            <v>1.4975099999999999</v>
          </cell>
          <cell r="F27">
            <v>-2.9531392208319886E-3</v>
          </cell>
        </row>
        <row r="28">
          <cell r="B28">
            <v>26.57</v>
          </cell>
          <cell r="C28">
            <v>1.5144900000000001</v>
          </cell>
          <cell r="F28">
            <v>2.2679961918305656E-2</v>
          </cell>
        </row>
        <row r="29">
          <cell r="B29">
            <v>24.81</v>
          </cell>
          <cell r="C29">
            <v>1.4389799999999999</v>
          </cell>
          <cell r="F29">
            <v>4.1438402589088513E-2</v>
          </cell>
        </row>
        <row r="30">
          <cell r="B30">
            <v>35.979999999999997</v>
          </cell>
          <cell r="C30">
            <v>1.8709599999999997</v>
          </cell>
          <cell r="F30">
            <v>3.2898034558095555E-2</v>
          </cell>
        </row>
        <row r="31">
          <cell r="B31">
            <v>45.48</v>
          </cell>
          <cell r="C31">
            <v>2.2285200000000001</v>
          </cell>
          <cell r="F31">
            <v>-1.3364391288618781E-2</v>
          </cell>
        </row>
        <row r="32">
          <cell r="B32">
            <v>46.67</v>
          </cell>
          <cell r="C32">
            <v>2.1934900000000002</v>
          </cell>
          <cell r="F32">
            <v>-2.2557738173154165E-2</v>
          </cell>
        </row>
        <row r="33">
          <cell r="B33">
            <v>39.99</v>
          </cell>
          <cell r="C33">
            <v>1.79955</v>
          </cell>
          <cell r="F33">
            <v>6.7970128466249904E-2</v>
          </cell>
        </row>
        <row r="34">
          <cell r="B34">
            <v>55.21</v>
          </cell>
          <cell r="C34">
            <v>2.2636100000000003</v>
          </cell>
          <cell r="F34">
            <v>-2.0990181755274694E-2</v>
          </cell>
        </row>
        <row r="35">
          <cell r="B35">
            <v>59.89</v>
          </cell>
          <cell r="C35">
            <v>1.9763700000000002</v>
          </cell>
          <cell r="F35">
            <v>-2.6466312591385065E-2</v>
          </cell>
        </row>
        <row r="36">
          <cell r="B36">
            <v>58.11</v>
          </cell>
          <cell r="C36">
            <v>1.9815510000000001</v>
          </cell>
          <cell r="F36">
            <v>0.11639503690963365</v>
          </cell>
        </row>
        <row r="37">
          <cell r="B37">
            <v>71.55</v>
          </cell>
          <cell r="C37">
            <v>2.0391750000000002</v>
          </cell>
          <cell r="F37">
            <v>2.0609208076323167E-2</v>
          </cell>
        </row>
        <row r="38">
          <cell r="B38">
            <v>63.1</v>
          </cell>
          <cell r="C38">
            <v>2.1454</v>
          </cell>
          <cell r="F38">
            <v>5.693544054008462E-2</v>
          </cell>
        </row>
        <row r="39">
          <cell r="B39">
            <v>75.02</v>
          </cell>
          <cell r="C39">
            <v>2.3481260000000002</v>
          </cell>
          <cell r="F39">
            <v>1.6841620739546127E-2</v>
          </cell>
        </row>
        <row r="40">
          <cell r="B40">
            <v>84.75</v>
          </cell>
          <cell r="C40">
            <v>2.5848749999999998</v>
          </cell>
          <cell r="F40">
            <v>3.7280648911540815E-2</v>
          </cell>
        </row>
        <row r="41">
          <cell r="B41">
            <v>92.43</v>
          </cell>
          <cell r="C41">
            <v>2.8283580000000001</v>
          </cell>
          <cell r="F41">
            <v>7.1885509359262342E-3</v>
          </cell>
        </row>
        <row r="42">
          <cell r="B42">
            <v>80.33</v>
          </cell>
          <cell r="C42">
            <v>2.8838469999999998</v>
          </cell>
          <cell r="F42">
            <v>2.9079409324299622E-2</v>
          </cell>
        </row>
        <row r="43">
          <cell r="B43">
            <v>96.47</v>
          </cell>
          <cell r="C43">
            <v>2.9809230000000002</v>
          </cell>
          <cell r="F43">
            <v>-1.5806209932824666E-2</v>
          </cell>
        </row>
        <row r="44">
          <cell r="B44">
            <v>103.86</v>
          </cell>
          <cell r="C44">
            <v>3.0430980000000001</v>
          </cell>
          <cell r="F44">
            <v>3.2746196950768365E-2</v>
          </cell>
        </row>
        <row r="45">
          <cell r="B45">
            <v>92.06</v>
          </cell>
          <cell r="C45">
            <v>3.2405119999999998</v>
          </cell>
          <cell r="F45">
            <v>-5.0140493209926106E-2</v>
          </cell>
        </row>
        <row r="46">
          <cell r="B46">
            <v>92.15</v>
          </cell>
          <cell r="C46">
            <v>3.1883900000000001</v>
          </cell>
          <cell r="F46">
            <v>0.16754737183412338</v>
          </cell>
        </row>
        <row r="47">
          <cell r="B47">
            <v>102.09</v>
          </cell>
          <cell r="C47">
            <v>3.16479</v>
          </cell>
          <cell r="F47">
            <v>9.7868966197122972E-2</v>
          </cell>
        </row>
        <row r="48">
          <cell r="B48">
            <v>118.05</v>
          </cell>
          <cell r="C48">
            <v>3.1873499999999999</v>
          </cell>
          <cell r="F48">
            <v>2.818449050444969E-2</v>
          </cell>
        </row>
        <row r="49">
          <cell r="B49">
            <v>97.55</v>
          </cell>
          <cell r="C49">
            <v>3.6093500000000001</v>
          </cell>
          <cell r="F49">
            <v>3.6586646024150085E-2</v>
          </cell>
        </row>
        <row r="50">
          <cell r="B50">
            <v>68.56</v>
          </cell>
          <cell r="C50">
            <v>3.7228080000000001</v>
          </cell>
          <cell r="F50">
            <v>1.9886086932378574E-2</v>
          </cell>
        </row>
        <row r="51">
          <cell r="B51">
            <v>90.19</v>
          </cell>
          <cell r="C51">
            <v>3.7338659999999999</v>
          </cell>
          <cell r="F51">
            <v>3.6052536026033838E-2</v>
          </cell>
        </row>
        <row r="52">
          <cell r="B52">
            <v>107.46</v>
          </cell>
          <cell r="C52">
            <v>4.2231779999999999</v>
          </cell>
          <cell r="F52">
            <v>0.1598456074290921</v>
          </cell>
        </row>
        <row r="53">
          <cell r="B53">
            <v>95.1</v>
          </cell>
          <cell r="C53">
            <v>4.85961</v>
          </cell>
          <cell r="F53">
            <v>1.2899606071070449E-2</v>
          </cell>
        </row>
        <row r="54">
          <cell r="B54">
            <v>96.11</v>
          </cell>
          <cell r="C54">
            <v>5.1803290000000004</v>
          </cell>
          <cell r="F54">
            <v>-7.7758069075086478E-3</v>
          </cell>
        </row>
        <row r="55">
          <cell r="B55">
            <v>107.94</v>
          </cell>
          <cell r="C55">
            <v>5.9690820000000002</v>
          </cell>
          <cell r="F55">
            <v>6.7072031247235459E-3</v>
          </cell>
        </row>
        <row r="56">
          <cell r="B56">
            <v>135.76</v>
          </cell>
          <cell r="C56">
            <v>6.4350240000000003</v>
          </cell>
          <cell r="F56">
            <v>-2.989744251999403E-2</v>
          </cell>
        </row>
        <row r="57">
          <cell r="B57">
            <v>122.55</v>
          </cell>
          <cell r="C57">
            <v>6.8260350000000001</v>
          </cell>
          <cell r="F57">
            <v>8.1992153358923542E-2</v>
          </cell>
        </row>
        <row r="58">
          <cell r="B58">
            <v>140.63999999999999</v>
          </cell>
          <cell r="C58">
            <v>6.9335519999999997</v>
          </cell>
          <cell r="F58">
            <v>0.32814549486295586</v>
          </cell>
        </row>
        <row r="59">
          <cell r="B59">
            <v>164.93</v>
          </cell>
          <cell r="C59">
            <v>7.1249760000000002</v>
          </cell>
          <cell r="F59">
            <v>3.2002094451429264E-2</v>
          </cell>
        </row>
        <row r="60">
          <cell r="B60">
            <v>167.24</v>
          </cell>
          <cell r="C60">
            <v>7.8268319999999996</v>
          </cell>
          <cell r="F60">
            <v>0.13733364344102345</v>
          </cell>
        </row>
        <row r="61">
          <cell r="B61">
            <v>211.28</v>
          </cell>
          <cell r="C61">
            <v>8.1976639999999996</v>
          </cell>
          <cell r="F61">
            <v>0.2571248821260641</v>
          </cell>
        </row>
        <row r="62">
          <cell r="B62">
            <v>242.17</v>
          </cell>
          <cell r="C62">
            <v>8.1853459999999991</v>
          </cell>
          <cell r="F62">
            <v>0.24284215141767618</v>
          </cell>
        </row>
        <row r="63">
          <cell r="B63">
            <v>247.08</v>
          </cell>
          <cell r="C63">
            <v>9.1666679999999996</v>
          </cell>
          <cell r="F63">
            <v>-4.9605089379262279E-2</v>
          </cell>
        </row>
        <row r="64">
          <cell r="B64">
            <v>277.72000000000003</v>
          </cell>
          <cell r="C64">
            <v>10.220096</v>
          </cell>
          <cell r="F64">
            <v>8.2235958434841674E-2</v>
          </cell>
        </row>
        <row r="65">
          <cell r="B65">
            <v>353.4</v>
          </cell>
          <cell r="C65">
            <v>11.73288</v>
          </cell>
          <cell r="F65">
            <v>0.17693647159446219</v>
          </cell>
        </row>
        <row r="66">
          <cell r="B66">
            <v>330.22</v>
          </cell>
          <cell r="C66">
            <v>12.350228</v>
          </cell>
          <cell r="F66">
            <v>6.2353753335533363E-2</v>
          </cell>
        </row>
        <row r="67">
          <cell r="B67">
            <v>417.09</v>
          </cell>
          <cell r="C67">
            <v>12.971499</v>
          </cell>
          <cell r="F67">
            <v>0.15004510019517303</v>
          </cell>
        </row>
        <row r="68">
          <cell r="B68">
            <v>435.71</v>
          </cell>
          <cell r="C68">
            <v>12.635590000000001</v>
          </cell>
          <cell r="F68">
            <v>9.3616373162079422E-2</v>
          </cell>
        </row>
        <row r="69">
          <cell r="B69">
            <v>466.45</v>
          </cell>
          <cell r="C69">
            <v>12.68744</v>
          </cell>
          <cell r="F69">
            <v>0.14210957589263107</v>
          </cell>
        </row>
        <row r="70">
          <cell r="B70">
            <v>459.27</v>
          </cell>
          <cell r="C70">
            <v>13.364757000000001</v>
          </cell>
          <cell r="F70">
            <v>-8.0366555509985921E-2</v>
          </cell>
        </row>
        <row r="71">
          <cell r="B71">
            <v>615.92999999999995</v>
          </cell>
          <cell r="C71">
            <v>14.16639</v>
          </cell>
          <cell r="F71">
            <v>0.23480780112538907</v>
          </cell>
        </row>
        <row r="72">
          <cell r="B72">
            <v>740.74</v>
          </cell>
          <cell r="C72">
            <v>14.888873999999999</v>
          </cell>
          <cell r="F72">
            <v>1.428607793401844E-2</v>
          </cell>
        </row>
        <row r="73">
          <cell r="B73">
            <v>970.43</v>
          </cell>
          <cell r="C73">
            <v>15.522</v>
          </cell>
          <cell r="F73">
            <v>9.939130272977531E-2</v>
          </cell>
        </row>
        <row r="74">
          <cell r="B74">
            <v>1229.23</v>
          </cell>
          <cell r="C74">
            <v>16.2</v>
          </cell>
          <cell r="F74">
            <v>0.14921431922606215</v>
          </cell>
        </row>
        <row r="75">
          <cell r="B75">
            <v>1469.25</v>
          </cell>
          <cell r="C75">
            <v>16.709</v>
          </cell>
          <cell r="F75">
            <v>-8.2542147962685761E-2</v>
          </cell>
        </row>
        <row r="76">
          <cell r="B76">
            <v>1320.28</v>
          </cell>
          <cell r="C76">
            <v>16.27</v>
          </cell>
          <cell r="F76">
            <v>0.16655267125397488</v>
          </cell>
        </row>
        <row r="77">
          <cell r="B77">
            <v>1148.0899999999999</v>
          </cell>
          <cell r="C77">
            <v>15.74</v>
          </cell>
          <cell r="F77">
            <v>5.5721811892492555E-2</v>
          </cell>
        </row>
        <row r="78">
          <cell r="B78">
            <v>879.82</v>
          </cell>
          <cell r="C78">
            <v>16.079999999999998</v>
          </cell>
          <cell r="F78">
            <v>0.15116400378109285</v>
          </cell>
        </row>
        <row r="79">
          <cell r="B79">
            <v>1111.9100000000001</v>
          </cell>
          <cell r="C79">
            <v>17.39</v>
          </cell>
          <cell r="F79">
            <v>3.7531858817758529E-3</v>
          </cell>
        </row>
        <row r="80">
          <cell r="B80">
            <v>1211.92</v>
          </cell>
          <cell r="C80">
            <v>19.440000000000001</v>
          </cell>
          <cell r="F80">
            <v>4.490683702274547E-2</v>
          </cell>
        </row>
        <row r="81">
          <cell r="B81">
            <v>1248.29</v>
          </cell>
          <cell r="C81">
            <v>22.22</v>
          </cell>
          <cell r="F81">
            <v>2.8675329597779506E-2</v>
          </cell>
        </row>
        <row r="82">
          <cell r="B82">
            <v>1418.3</v>
          </cell>
          <cell r="C82">
            <v>24.88</v>
          </cell>
          <cell r="F82">
            <v>1.9610012417568386E-2</v>
          </cell>
        </row>
        <row r="83">
          <cell r="B83">
            <v>1468.36</v>
          </cell>
          <cell r="C83">
            <v>27.73</v>
          </cell>
          <cell r="F83">
            <v>0.10209921930012807</v>
          </cell>
        </row>
        <row r="84">
          <cell r="B84">
            <v>903.25</v>
          </cell>
          <cell r="C84">
            <v>28.39</v>
          </cell>
          <cell r="F84">
            <v>0.20101279926977011</v>
          </cell>
        </row>
        <row r="85">
          <cell r="B85">
            <v>1115.0999999999999</v>
          </cell>
          <cell r="C85">
            <v>22.41</v>
          </cell>
          <cell r="F85">
            <v>-0.11116695313259162</v>
          </cell>
        </row>
        <row r="86">
          <cell r="B86">
            <v>1257.6400000000001</v>
          </cell>
          <cell r="C86">
            <v>22.73</v>
          </cell>
          <cell r="F86">
            <v>8.4629338803557719E-2</v>
          </cell>
        </row>
        <row r="87">
          <cell r="B87">
            <v>1257.5999999999999</v>
          </cell>
          <cell r="C87">
            <v>26.43</v>
          </cell>
          <cell r="F87">
            <v>0.16035334999461354</v>
          </cell>
        </row>
        <row r="88">
          <cell r="B88">
            <v>1426.19</v>
          </cell>
          <cell r="C88">
            <v>31.25</v>
          </cell>
          <cell r="F88">
            <v>2.971571978018946E-2</v>
          </cell>
        </row>
        <row r="89">
          <cell r="B89">
            <v>1848.36</v>
          </cell>
          <cell r="C89">
            <v>36.28</v>
          </cell>
          <cell r="F89">
            <v>-9.104568794347262E-2</v>
          </cell>
        </row>
      </sheetData>
      <sheetData sheetId="2">
        <row r="13">
          <cell r="G13">
            <v>3.225E-3</v>
          </cell>
        </row>
        <row r="14">
          <cell r="G14">
            <v>1.7499999999999998E-3</v>
          </cell>
        </row>
        <row r="15">
          <cell r="G15">
            <v>1.7000000000000001E-3</v>
          </cell>
        </row>
        <row r="16">
          <cell r="G16">
            <v>3.0250000000000003E-3</v>
          </cell>
        </row>
        <row r="17">
          <cell r="G17">
            <v>7.7499999999999997E-4</v>
          </cell>
        </row>
        <row r="18">
          <cell r="G18">
            <v>3.7500000000000006E-4</v>
          </cell>
        </row>
        <row r="19">
          <cell r="G19">
            <v>2.5000000000000001E-4</v>
          </cell>
        </row>
        <row r="20">
          <cell r="G20">
            <v>8.2499999999999989E-4</v>
          </cell>
        </row>
        <row r="21">
          <cell r="G21">
            <v>3.3750000000000004E-3</v>
          </cell>
        </row>
        <row r="22">
          <cell r="G22">
            <v>3.8E-3</v>
          </cell>
        </row>
        <row r="23">
          <cell r="G23">
            <v>3.8E-3</v>
          </cell>
        </row>
        <row r="24">
          <cell r="G24">
            <v>3.8E-3</v>
          </cell>
        </row>
        <row r="25">
          <cell r="G25">
            <v>3.8E-3</v>
          </cell>
        </row>
        <row r="26">
          <cell r="G26">
            <v>5.6750000000000004E-3</v>
          </cell>
        </row>
        <row r="27">
          <cell r="G27">
            <v>1.0225E-2</v>
          </cell>
        </row>
        <row r="28">
          <cell r="G28">
            <v>1.1025E-2</v>
          </cell>
        </row>
        <row r="29">
          <cell r="G29">
            <v>1.1724999999999999E-2</v>
          </cell>
        </row>
        <row r="30">
          <cell r="G30">
            <v>1.4775E-2</v>
          </cell>
        </row>
        <row r="31">
          <cell r="G31">
            <v>1.6725E-2</v>
          </cell>
        </row>
        <row r="32">
          <cell r="G32">
            <v>1.8925000000000001E-2</v>
          </cell>
        </row>
        <row r="33">
          <cell r="G33">
            <v>9.6249999999999999E-3</v>
          </cell>
        </row>
        <row r="34">
          <cell r="G34">
            <v>1.66E-2</v>
          </cell>
        </row>
        <row r="35">
          <cell r="G35">
            <v>2.5550000000000003E-2</v>
          </cell>
        </row>
        <row r="36">
          <cell r="G36">
            <v>3.2300000000000002E-2</v>
          </cell>
        </row>
        <row r="37">
          <cell r="G37">
            <v>1.7774999999999999E-2</v>
          </cell>
        </row>
        <row r="38">
          <cell r="G38">
            <v>3.2549999999999996E-2</v>
          </cell>
        </row>
        <row r="39">
          <cell r="G39">
            <v>3.0449999999999998E-2</v>
          </cell>
        </row>
        <row r="40">
          <cell r="G40">
            <v>2.2675000000000001E-2</v>
          </cell>
        </row>
        <row r="41">
          <cell r="G41">
            <v>2.7775000000000005E-2</v>
          </cell>
        </row>
        <row r="42">
          <cell r="G42">
            <v>3.1100000000000003E-2</v>
          </cell>
        </row>
        <row r="43">
          <cell r="G43">
            <v>3.5049999999999998E-2</v>
          </cell>
        </row>
        <row r="44">
          <cell r="G44">
            <v>3.9024999999999997E-2</v>
          </cell>
        </row>
        <row r="45">
          <cell r="G45">
            <v>4.8399999999999999E-2</v>
          </cell>
        </row>
        <row r="46">
          <cell r="G46">
            <v>4.3324999999999995E-2</v>
          </cell>
        </row>
        <row r="47">
          <cell r="G47">
            <v>5.2600000000000001E-2</v>
          </cell>
        </row>
        <row r="48">
          <cell r="G48">
            <v>6.5625000000000003E-2</v>
          </cell>
        </row>
        <row r="49">
          <cell r="G49">
            <v>6.6849999999999993E-2</v>
          </cell>
        </row>
        <row r="50">
          <cell r="G50">
            <v>4.5400000000000003E-2</v>
          </cell>
        </row>
        <row r="51">
          <cell r="G51">
            <v>3.9525000000000005E-2</v>
          </cell>
        </row>
        <row r="52">
          <cell r="G52">
            <v>6.724999999999999E-2</v>
          </cell>
        </row>
        <row r="53">
          <cell r="G53">
            <v>7.7775000000000011E-2</v>
          </cell>
        </row>
        <row r="54">
          <cell r="G54">
            <v>5.9900000000000002E-2</v>
          </cell>
        </row>
        <row r="55">
          <cell r="G55">
            <v>4.9700000000000008E-2</v>
          </cell>
        </row>
        <row r="56">
          <cell r="G56">
            <v>5.1275000000000001E-2</v>
          </cell>
        </row>
        <row r="57">
          <cell r="G57">
            <v>6.9325000000000012E-2</v>
          </cell>
        </row>
        <row r="58">
          <cell r="G58">
            <v>9.9375000000000005E-2</v>
          </cell>
        </row>
        <row r="59">
          <cell r="G59">
            <v>0.11219999999999999</v>
          </cell>
        </row>
        <row r="60">
          <cell r="G60">
            <v>0.14299999999999999</v>
          </cell>
        </row>
        <row r="61">
          <cell r="G61">
            <v>0.1101</v>
          </cell>
        </row>
        <row r="62">
          <cell r="G62">
            <v>8.4474999999999995E-2</v>
          </cell>
        </row>
        <row r="63">
          <cell r="G63">
            <v>9.6125000000000002E-2</v>
          </cell>
        </row>
        <row r="64">
          <cell r="G64">
            <v>7.4874999999999997E-2</v>
          </cell>
        </row>
        <row r="65">
          <cell r="G65">
            <v>6.0350000000000001E-2</v>
          </cell>
        </row>
        <row r="66">
          <cell r="G66">
            <v>5.7224999999999998E-2</v>
          </cell>
        </row>
        <row r="67">
          <cell r="G67">
            <v>6.4499999999999988E-2</v>
          </cell>
        </row>
        <row r="68">
          <cell r="G68">
            <v>8.1099999999999992E-2</v>
          </cell>
        </row>
        <row r="69">
          <cell r="G69">
            <v>7.5500000000000012E-2</v>
          </cell>
        </row>
        <row r="70">
          <cell r="G70">
            <v>5.6100000000000011E-2</v>
          </cell>
        </row>
        <row r="71">
          <cell r="G71">
            <v>3.4049999999999997E-2</v>
          </cell>
        </row>
        <row r="72">
          <cell r="G72">
            <v>2.9825000000000001E-2</v>
          </cell>
        </row>
        <row r="73">
          <cell r="G73">
            <v>3.9850000000000003E-2</v>
          </cell>
        </row>
        <row r="74">
          <cell r="G74">
            <v>5.5150000000000005E-2</v>
          </cell>
        </row>
        <row r="75">
          <cell r="G75">
            <v>5.0224999999999999E-2</v>
          </cell>
        </row>
        <row r="76">
          <cell r="G76">
            <v>5.0525E-2</v>
          </cell>
        </row>
        <row r="77">
          <cell r="G77">
            <v>4.7274999999999998E-2</v>
          </cell>
        </row>
        <row r="78">
          <cell r="G78">
            <v>4.5100000000000001E-2</v>
          </cell>
        </row>
        <row r="79">
          <cell r="G79">
            <v>5.7625000000000003E-2</v>
          </cell>
        </row>
        <row r="80">
          <cell r="G80">
            <v>3.6725000000000001E-2</v>
          </cell>
        </row>
        <row r="81">
          <cell r="G81">
            <v>1.6574999999999999E-2</v>
          </cell>
        </row>
        <row r="82">
          <cell r="G82">
            <v>1.03E-2</v>
          </cell>
        </row>
        <row r="83">
          <cell r="G83">
            <v>1.2275000000000001E-2</v>
          </cell>
        </row>
        <row r="84">
          <cell r="G84">
            <v>3.0099999999999998E-2</v>
          </cell>
        </row>
        <row r="85">
          <cell r="G85">
            <v>4.6775000000000004E-2</v>
          </cell>
        </row>
        <row r="86">
          <cell r="G86">
            <v>4.6425000000000001E-2</v>
          </cell>
        </row>
        <row r="87">
          <cell r="G87">
            <v>1.585E-2</v>
          </cell>
        </row>
        <row r="88">
          <cell r="G88">
            <v>1.3500000000000001E-3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turns by Year"/>
      <sheetName val="Betas"/>
      <sheetName val="Balance"/>
      <sheetName val="KWOp."/>
      <sheetName val="Resultados"/>
      <sheetName val="Variaciones"/>
      <sheetName val="FCL"/>
      <sheetName val="Imptos."/>
      <sheetName val="CapitalFijo"/>
      <sheetName val="PasivoFciero."/>
      <sheetName val="FCL Mejorado"/>
      <sheetName val="WACC"/>
      <sheetName val="Indicadores"/>
      <sheetName val="Resultados%"/>
      <sheetName val="KWOp.%"/>
      <sheetName val="AnalVr."/>
      <sheetName val="CreaciónVr."/>
      <sheetName val="Generadores"/>
      <sheetName val="Proy.Cifras"/>
      <sheetName val="Proy.WACC"/>
      <sheetName val="AnalVr.Proy."/>
      <sheetName val="Proy.FCL"/>
      <sheetName val="Valoraciones"/>
      <sheetName val="Risk"/>
      <sheetName val="Tabla Comparación"/>
      <sheetName val="VPN Cascada"/>
      <sheetName val="proy. - ensayo"/>
      <sheetName val="Historico Ingresos"/>
      <sheetName val="Proyecciones"/>
      <sheetName val="Sup Macro"/>
      <sheetName val="Deuda"/>
      <sheetName val="Libor"/>
      <sheetName val="Anotaciones"/>
    </sheetNames>
    <sheetDataSet>
      <sheetData sheetId="0"/>
      <sheetData sheetId="1"/>
      <sheetData sheetId="2"/>
      <sheetData sheetId="3"/>
      <sheetData sheetId="4">
        <row r="4">
          <cell r="H4">
            <v>2014</v>
          </cell>
          <cell r="I4">
            <v>2015</v>
          </cell>
          <cell r="J4">
            <v>2016</v>
          </cell>
          <cell r="K4">
            <v>2017</v>
          </cell>
          <cell r="L4">
            <v>2018</v>
          </cell>
          <cell r="M4">
            <v>2019</v>
          </cell>
          <cell r="N4">
            <v>2020</v>
          </cell>
          <cell r="O4">
            <v>2021</v>
          </cell>
          <cell r="P4">
            <v>2022</v>
          </cell>
          <cell r="Q4">
            <v>2023</v>
          </cell>
          <cell r="R4">
            <v>2024</v>
          </cell>
        </row>
        <row r="6">
          <cell r="C6">
            <v>254741</v>
          </cell>
          <cell r="D6">
            <v>299637</v>
          </cell>
          <cell r="E6">
            <v>342506</v>
          </cell>
          <cell r="F6">
            <v>287266</v>
          </cell>
          <cell r="G6">
            <v>272219</v>
          </cell>
        </row>
        <row r="13">
          <cell r="A13" t="str">
            <v>GastosOperacionales:</v>
          </cell>
        </row>
        <row r="14">
          <cell r="B14" t="str">
            <v>de Ventas</v>
          </cell>
          <cell r="G14">
            <v>-14812</v>
          </cell>
        </row>
        <row r="16">
          <cell r="B16" t="str">
            <v>de Administración</v>
          </cell>
          <cell r="G16">
            <v>-12890</v>
          </cell>
        </row>
        <row r="17">
          <cell r="B17" t="str">
            <v>Depreciaciones</v>
          </cell>
          <cell r="G17">
            <v>-469</v>
          </cell>
        </row>
        <row r="18">
          <cell r="B18" t="str">
            <v>Amortizaciones</v>
          </cell>
          <cell r="G18">
            <v>-197</v>
          </cell>
        </row>
      </sheetData>
      <sheetData sheetId="5"/>
      <sheetData sheetId="6"/>
      <sheetData sheetId="7"/>
      <sheetData sheetId="8">
        <row r="8">
          <cell r="C8">
            <v>79528</v>
          </cell>
          <cell r="D8">
            <v>69738</v>
          </cell>
          <cell r="E8">
            <v>68322</v>
          </cell>
          <cell r="F8">
            <v>93794</v>
          </cell>
          <cell r="G8">
            <v>126435</v>
          </cell>
          <cell r="I8">
            <v>90093.099999999977</v>
          </cell>
          <cell r="J8">
            <v>71982.150000000023</v>
          </cell>
          <cell r="K8">
            <v>57739.200000000012</v>
          </cell>
          <cell r="L8">
            <v>48474.25</v>
          </cell>
          <cell r="M8">
            <v>40460.299999999988</v>
          </cell>
          <cell r="N8">
            <v>32446.349999999977</v>
          </cell>
          <cell r="O8">
            <v>24432.400000000023</v>
          </cell>
          <cell r="P8">
            <v>16418.450000000012</v>
          </cell>
          <cell r="Q8">
            <v>8404.5</v>
          </cell>
          <cell r="R8">
            <v>7932.75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hyperlink" Target="http://www.ambito.com/economia/mercados/riesgo-pais/info/?id=4" TargetMode="External"/><Relationship Id="rId1" Type="http://schemas.openxmlformats.org/officeDocument/2006/relationships/hyperlink" Target="http://www.stern.nyu.edu/~adamodar/pc/datasets/histretSP.xls&#8206;" TargetMode="External"/><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33.xml.rels><?xml version="1.0" encoding="UTF-8" standalone="yes"?>
<Relationships xmlns="http://schemas.openxmlformats.org/package/2006/relationships"><Relationship Id="rId3" Type="http://schemas.openxmlformats.org/officeDocument/2006/relationships/hyperlink" Target="http://www.elcolombiano.com/BancoConocimiento/E/enka_invierte_en_nueva_linea_de_pet/enka_invierte_en_nueva_linea_de_pet.asp" TargetMode="External"/><Relationship Id="rId2" Type="http://schemas.openxmlformats.org/officeDocument/2006/relationships/hyperlink" Target="http://www.portafolio.co/economia/entrevista-alvaro-hincapie-enka" TargetMode="External"/><Relationship Id="rId1" Type="http://schemas.openxmlformats.org/officeDocument/2006/relationships/hyperlink" Target="http://www.dinero.com/empresas/articulo/los-negocios-enka/191232" TargetMode="External"/><Relationship Id="rId5" Type="http://schemas.openxmlformats.org/officeDocument/2006/relationships/printerSettings" Target="../printerSettings/printerSettings9.bin"/><Relationship Id="rId4" Type="http://schemas.openxmlformats.org/officeDocument/2006/relationships/hyperlink" Target="http://www.enka.com.co/enka/docsweb/inversionistas/IR20131213.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hyperlink" Target="http://www.stern.nyu.edu/~adamodar/pc/datasets/indname.xls" TargetMode="External"/><Relationship Id="rId2" Type="http://schemas.openxmlformats.org/officeDocument/2006/relationships/hyperlink" Target="http://pages.stern.nyu.edu/~adamodar/New_Home_Page/datafile/variable.htm" TargetMode="External"/><Relationship Id="rId1" Type="http://schemas.openxmlformats.org/officeDocument/2006/relationships/hyperlink" Target="http://www.stern.nyu.edu/~adamodar/pc/datasets/betas.xl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transitionEvaluation="1" enableFormatConditionsCalculation="0">
    <tabColor rgb="FF00B050"/>
  </sheetPr>
  <dimension ref="A1:N65"/>
  <sheetViews>
    <sheetView showGridLines="0" tabSelected="1" zoomScale="70" zoomScaleNormal="70" workbookViewId="0">
      <pane ySplit="6" topLeftCell="A11" activePane="bottomLeft" state="frozen"/>
      <selection activeCell="G42" sqref="G42"/>
      <selection pane="bottomLeft" activeCell="H24" sqref="H24"/>
    </sheetView>
  </sheetViews>
  <sheetFormatPr baseColWidth="10" defaultColWidth="8.88671875" defaultRowHeight="15" outlineLevelRow="1"/>
  <cols>
    <col min="1" max="1" width="39.6640625" customWidth="1"/>
    <col min="2" max="2" width="13.109375" customWidth="1"/>
    <col min="3" max="4" width="9.6640625" bestFit="1" customWidth="1"/>
    <col min="5" max="5" width="13.88671875" bestFit="1" customWidth="1"/>
    <col min="6" max="6" width="8.77734375" bestFit="1" customWidth="1"/>
    <col min="7" max="7" width="9.88671875" bestFit="1" customWidth="1"/>
    <col min="8" max="8" width="8.77734375" bestFit="1" customWidth="1"/>
    <col min="9" max="9" width="14.6640625" customWidth="1"/>
    <col min="10" max="10" width="11.88671875" bestFit="1" customWidth="1"/>
    <col min="11" max="11" width="9.109375" bestFit="1" customWidth="1"/>
    <col min="12" max="12" width="10.33203125" customWidth="1"/>
  </cols>
  <sheetData>
    <row r="1" spans="1:14" ht="15.75">
      <c r="A1" s="1" t="str">
        <f>+Balance!A1</f>
        <v>ENKA de Colombia S.A.</v>
      </c>
      <c r="B1" s="28"/>
      <c r="C1" s="28"/>
      <c r="D1" s="28"/>
      <c r="E1" s="28"/>
      <c r="F1" s="28"/>
      <c r="G1" s="28"/>
    </row>
    <row r="2" spans="1:14" ht="15.75">
      <c r="A2" s="27" t="s">
        <v>252</v>
      </c>
      <c r="B2" s="28"/>
      <c r="C2" s="28"/>
      <c r="D2" s="28"/>
      <c r="E2" s="28"/>
      <c r="F2" s="28"/>
      <c r="G2" s="28"/>
    </row>
    <row r="4" spans="1:14" ht="15.75">
      <c r="A4" s="34" t="s">
        <v>253</v>
      </c>
      <c r="B4" s="34"/>
      <c r="C4" s="34"/>
      <c r="D4" s="34"/>
      <c r="E4" s="34"/>
      <c r="F4" s="34"/>
      <c r="G4" s="34"/>
    </row>
    <row r="5" spans="1:14" ht="15.75">
      <c r="A5" s="34"/>
      <c r="B5" s="34"/>
      <c r="C5" s="34"/>
      <c r="D5" s="34"/>
      <c r="E5" s="34"/>
      <c r="F5" s="34"/>
      <c r="G5" s="34"/>
    </row>
    <row r="6" spans="1:14" ht="16.5" thickBot="1">
      <c r="A6" s="34"/>
      <c r="B6" s="33">
        <f>+Resultados!H4</f>
        <v>2014</v>
      </c>
      <c r="C6" s="33">
        <f t="shared" ref="C6:I6" si="0">+B6+1</f>
        <v>2015</v>
      </c>
      <c r="D6" s="33">
        <f t="shared" si="0"/>
        <v>2016</v>
      </c>
      <c r="E6" s="33">
        <f t="shared" si="0"/>
        <v>2017</v>
      </c>
      <c r="F6" s="33">
        <f t="shared" si="0"/>
        <v>2018</v>
      </c>
      <c r="G6" s="33">
        <f t="shared" si="0"/>
        <v>2019</v>
      </c>
      <c r="H6" s="33">
        <f t="shared" si="0"/>
        <v>2020</v>
      </c>
      <c r="I6" s="33">
        <f t="shared" si="0"/>
        <v>2021</v>
      </c>
      <c r="J6" s="33">
        <f>+I6+1</f>
        <v>2022</v>
      </c>
      <c r="K6" s="33">
        <f>+J6+1</f>
        <v>2023</v>
      </c>
      <c r="L6" s="33">
        <f>+K6+1</f>
        <v>2024</v>
      </c>
    </row>
    <row r="8" spans="1:14">
      <c r="A8" s="28" t="s">
        <v>254</v>
      </c>
      <c r="B8" s="368">
        <f>+FCL!H26</f>
        <v>9753.5965784138098</v>
      </c>
      <c r="C8" s="368">
        <f>+FCL!I26</f>
        <v>5195.4889099695047</v>
      </c>
      <c r="D8" s="368">
        <f>+FCL!J26</f>
        <v>9252.2557810909311</v>
      </c>
      <c r="E8" s="368">
        <f>+FCL!K26</f>
        <v>15280.231191557486</v>
      </c>
      <c r="F8" s="368">
        <f>+FCL!L26</f>
        <v>18680.078454235532</v>
      </c>
      <c r="G8" s="368">
        <f>+FCL!M26</f>
        <v>12056.661310697538</v>
      </c>
      <c r="H8" s="368">
        <f>+FCL!N26</f>
        <v>14831.734041767133</v>
      </c>
      <c r="I8" s="368">
        <f>+FCL!O26</f>
        <v>19520.75956551393</v>
      </c>
      <c r="J8" s="369">
        <f>+FCL!P26</f>
        <v>23425.311326980089</v>
      </c>
      <c r="K8" s="342">
        <f>+FCL!Q26</f>
        <v>24948.067982299435</v>
      </c>
      <c r="L8" s="342">
        <f>+FCL!R26</f>
        <v>27900.239310990713</v>
      </c>
    </row>
    <row r="9" spans="1:14">
      <c r="A9" s="28" t="s">
        <v>255</v>
      </c>
      <c r="B9" s="28"/>
      <c r="C9" s="7">
        <f t="shared" ref="C9:L9" si="1">(C8-B8)/B8</f>
        <v>-0.46732583532643635</v>
      </c>
      <c r="D9" s="7">
        <f t="shared" si="1"/>
        <v>0.78082485429561588</v>
      </c>
      <c r="E9" s="7">
        <f t="shared" si="1"/>
        <v>0.65151413375169343</v>
      </c>
      <c r="F9" s="7">
        <f t="shared" si="1"/>
        <v>0.22249972661123757</v>
      </c>
      <c r="G9" s="7">
        <f t="shared" si="1"/>
        <v>-0.35457116305826841</v>
      </c>
      <c r="H9" s="7">
        <f t="shared" si="1"/>
        <v>0.23016925329131957</v>
      </c>
      <c r="I9" s="7">
        <f t="shared" si="1"/>
        <v>0.31614816652875483</v>
      </c>
      <c r="J9" s="7">
        <f t="shared" si="1"/>
        <v>0.20002048323796165</v>
      </c>
      <c r="K9" s="7">
        <f t="shared" si="1"/>
        <v>6.500475635367596E-2</v>
      </c>
      <c r="L9" s="7">
        <f t="shared" si="1"/>
        <v>0.11833266330626617</v>
      </c>
    </row>
    <row r="10" spans="1:14">
      <c r="A10" s="28" t="s">
        <v>256</v>
      </c>
      <c r="B10" s="88">
        <f>((L8/K8)^(1/(L6-K6)))-1</f>
        <v>0.11833266330626624</v>
      </c>
      <c r="C10" s="7"/>
      <c r="D10" s="7"/>
      <c r="E10" s="7"/>
      <c r="F10" s="7"/>
      <c r="G10" s="7"/>
      <c r="H10" s="7"/>
      <c r="I10" s="7"/>
    </row>
    <row r="11" spans="1:14">
      <c r="A11" s="28"/>
      <c r="B11" s="88"/>
      <c r="C11" s="7"/>
      <c r="D11" s="7"/>
      <c r="E11" s="7"/>
      <c r="F11" s="7"/>
      <c r="G11" s="7"/>
      <c r="H11" s="7"/>
      <c r="I11" s="7"/>
    </row>
    <row r="12" spans="1:14">
      <c r="A12" s="28"/>
      <c r="B12" s="88"/>
      <c r="C12" s="88"/>
      <c r="D12" s="88"/>
      <c r="E12" s="88"/>
      <c r="F12" s="88"/>
      <c r="G12" s="88"/>
      <c r="H12" s="88"/>
      <c r="I12" s="88"/>
      <c r="J12" s="88"/>
      <c r="K12" s="88"/>
      <c r="L12" s="88"/>
    </row>
    <row r="13" spans="1:14">
      <c r="B13" s="303"/>
      <c r="C13" s="303"/>
      <c r="D13" s="303"/>
      <c r="E13" s="303"/>
      <c r="F13" s="303"/>
      <c r="G13" s="303"/>
      <c r="H13" s="303"/>
      <c r="I13" s="303"/>
      <c r="J13" s="303"/>
      <c r="K13" s="303"/>
      <c r="L13" s="303"/>
      <c r="M13" s="299"/>
      <c r="N13" s="299"/>
    </row>
    <row r="14" spans="1:14">
      <c r="A14" t="s">
        <v>257</v>
      </c>
      <c r="B14" s="48">
        <f>+Proyecciones!B80</f>
        <v>0.12136750586087719</v>
      </c>
      <c r="C14" s="48">
        <f>+Proyecciones!C80</f>
        <v>0.11660496481028981</v>
      </c>
      <c r="D14" s="48">
        <f>+Proyecciones!D80</f>
        <v>0.11854457043821198</v>
      </c>
      <c r="E14" s="48">
        <f>+Proyecciones!E80</f>
        <v>0.12015777640710756</v>
      </c>
      <c r="F14" s="48">
        <f>+Proyecciones!F80</f>
        <v>0.12208140832765024</v>
      </c>
      <c r="G14" s="48">
        <f>+Proyecciones!G80</f>
        <v>0.12267692409830366</v>
      </c>
      <c r="H14" s="48">
        <f>+Proyecciones!H80</f>
        <v>0.12485633344957536</v>
      </c>
      <c r="I14" s="48">
        <f>+Proyecciones!I80</f>
        <v>0.12377970313073328</v>
      </c>
      <c r="J14" s="48">
        <f>+Proyecciones!J80</f>
        <v>0.12875249001806122</v>
      </c>
      <c r="K14" s="48">
        <f>+Proyecciones!K80</f>
        <v>0.12733817781205281</v>
      </c>
      <c r="L14" s="48">
        <f>+Proyecciones!L80</f>
        <v>0.12733817781205281</v>
      </c>
    </row>
    <row r="15" spans="1:14">
      <c r="A15" s="28" t="s">
        <v>258</v>
      </c>
      <c r="B15" s="7">
        <f>+WACC!D36</f>
        <v>0.13370922131773488</v>
      </c>
      <c r="C15" s="28"/>
      <c r="D15" s="28"/>
      <c r="E15" s="28"/>
      <c r="F15" s="28"/>
      <c r="G15" s="28"/>
    </row>
    <row r="16" spans="1:14">
      <c r="A16" s="468" t="s">
        <v>259</v>
      </c>
      <c r="B16" s="151">
        <v>0</v>
      </c>
      <c r="C16" s="28"/>
      <c r="D16" s="28"/>
      <c r="E16" s="28"/>
      <c r="F16" s="28"/>
      <c r="G16" s="28"/>
    </row>
    <row r="17" spans="1:8">
      <c r="A17" s="28"/>
      <c r="B17" s="7"/>
      <c r="C17" s="28"/>
      <c r="D17" s="28"/>
      <c r="E17" s="28"/>
      <c r="F17" s="28"/>
      <c r="G17" s="28"/>
    </row>
    <row r="18" spans="1:8" ht="15.75">
      <c r="A18" s="27" t="s">
        <v>260</v>
      </c>
      <c r="B18" s="44">
        <f>NPV(B15,B8:K8)</f>
        <v>71895.055269110657</v>
      </c>
      <c r="C18" s="28"/>
      <c r="D18" s="28"/>
      <c r="E18" s="28"/>
      <c r="F18" s="28"/>
      <c r="G18" s="28"/>
    </row>
    <row r="19" spans="1:8" ht="15.75">
      <c r="A19" s="27" t="s">
        <v>261</v>
      </c>
      <c r="B19" s="44">
        <f>SUM('VPN Cascada'!B12:'VPN Cascada'!B21)</f>
        <v>76545.488907865292</v>
      </c>
      <c r="C19" s="28"/>
      <c r="D19" s="28"/>
      <c r="E19" s="28"/>
      <c r="F19" s="28"/>
      <c r="G19" s="28"/>
    </row>
    <row r="20" spans="1:8">
      <c r="B20" s="41"/>
    </row>
    <row r="21" spans="1:8">
      <c r="A21" s="28" t="s">
        <v>262</v>
      </c>
      <c r="B21" s="40">
        <f>L8/(L14-B16)</f>
        <v>219103.49111615683</v>
      </c>
      <c r="C21" s="28"/>
      <c r="D21" s="28"/>
      <c r="E21" s="28"/>
      <c r="F21" s="28"/>
      <c r="G21" s="28"/>
    </row>
    <row r="22" spans="1:8" ht="15.75">
      <c r="A22" s="27" t="s">
        <v>263</v>
      </c>
      <c r="B22" s="44">
        <f>B21*(1/(1+B15)^(L6-B6))</f>
        <v>62464.390478767556</v>
      </c>
      <c r="C22" s="28"/>
      <c r="D22" s="28"/>
      <c r="E22" s="28"/>
      <c r="F22" s="28"/>
      <c r="G22" s="28"/>
    </row>
    <row r="23" spans="1:8" ht="15.75">
      <c r="A23" s="27"/>
      <c r="B23" s="44"/>
      <c r="C23" s="28"/>
      <c r="D23" s="28"/>
      <c r="E23" s="28"/>
      <c r="F23" s="28"/>
      <c r="G23" s="28"/>
    </row>
    <row r="24" spans="1:8">
      <c r="A24" s="28" t="s">
        <v>264</v>
      </c>
      <c r="B24" s="91">
        <f>'VPN Cascada'!L22</f>
        <v>219103.49111615683</v>
      </c>
      <c r="C24" s="88"/>
      <c r="D24" s="28"/>
      <c r="E24" s="28"/>
      <c r="F24" s="28"/>
      <c r="G24" s="28"/>
    </row>
    <row r="25" spans="1:8" ht="15.75">
      <c r="A25" s="27" t="s">
        <v>265</v>
      </c>
      <c r="B25" s="44">
        <f>'VPN Cascada'!B22</f>
        <v>68922.169997930134</v>
      </c>
      <c r="C25" s="373"/>
      <c r="D25" s="28"/>
      <c r="E25" s="28"/>
      <c r="F25" s="28"/>
      <c r="G25" s="28"/>
    </row>
    <row r="26" spans="1:8" ht="15.75" thickBot="1">
      <c r="A26" s="28"/>
      <c r="B26" s="40"/>
      <c r="C26" s="28"/>
      <c r="D26" s="28"/>
      <c r="E26" s="28"/>
      <c r="F26" s="28"/>
      <c r="G26" s="28"/>
    </row>
    <row r="27" spans="1:8" ht="17.25" thickTop="1" thickBot="1">
      <c r="A27" s="29" t="s">
        <v>266</v>
      </c>
      <c r="B27" s="45">
        <f>B22+B18</f>
        <v>134359.44574787823</v>
      </c>
      <c r="C27" s="28"/>
      <c r="D27" s="28"/>
      <c r="E27" s="28"/>
      <c r="F27" s="28"/>
      <c r="G27" s="28"/>
    </row>
    <row r="28" spans="1:8" ht="17.25" thickTop="1" thickBot="1">
      <c r="A28" s="29" t="s">
        <v>267</v>
      </c>
      <c r="B28" s="45">
        <f>B19+B25</f>
        <v>145467.65890579543</v>
      </c>
      <c r="C28" s="88"/>
      <c r="D28" s="28"/>
      <c r="E28" s="28"/>
      <c r="F28" s="28"/>
      <c r="G28" s="28"/>
    </row>
    <row r="29" spans="1:8" ht="16.5" thickTop="1" thickBot="1">
      <c r="A29" s="28"/>
      <c r="B29" s="28"/>
      <c r="C29" s="28"/>
      <c r="D29" s="28"/>
      <c r="E29" s="28"/>
      <c r="F29" s="28"/>
      <c r="G29" s="28"/>
    </row>
    <row r="30" spans="1:8" ht="17.25" thickTop="1" thickBot="1">
      <c r="A30" s="60" t="s">
        <v>268</v>
      </c>
      <c r="B30" s="45">
        <f>-Balance!H32-Balance!H33-Balance!H39-Balance!H43-Balance!H44-Balance!H50</f>
        <v>-62459</v>
      </c>
      <c r="C30" s="28"/>
      <c r="D30" s="28"/>
      <c r="E30" s="28"/>
      <c r="F30" s="28"/>
      <c r="G30" s="28"/>
    </row>
    <row r="31" spans="1:8" ht="17.25" thickTop="1" thickBot="1">
      <c r="A31" s="59"/>
      <c r="B31" s="28"/>
      <c r="C31" s="28"/>
      <c r="D31" s="469" t="s">
        <v>1153</v>
      </c>
      <c r="E31" s="470" t="s">
        <v>1154</v>
      </c>
      <c r="F31" s="28"/>
      <c r="G31" s="28"/>
    </row>
    <row r="32" spans="1:8" ht="17.25" thickTop="1" thickBot="1">
      <c r="A32" s="29" t="s">
        <v>269</v>
      </c>
      <c r="B32" s="45">
        <f>+B27+B30</f>
        <v>71900.445747878228</v>
      </c>
      <c r="C32" s="373"/>
      <c r="D32" s="599">
        <v>11774.724183</v>
      </c>
      <c r="E32" s="471">
        <f>+B32/D32</f>
        <v>6.106338002522893</v>
      </c>
      <c r="F32" s="28"/>
      <c r="G32" s="28"/>
      <c r="H32" s="299"/>
    </row>
    <row r="33" spans="1:12" ht="17.25" thickTop="1" thickBot="1">
      <c r="A33" s="29" t="s">
        <v>270</v>
      </c>
      <c r="B33" s="45">
        <f>B28+B30</f>
        <v>83008.658905795426</v>
      </c>
      <c r="C33" s="373"/>
      <c r="D33" s="600"/>
      <c r="E33" s="472">
        <f>+B33/D32</f>
        <v>7.0497327678928468</v>
      </c>
      <c r="F33" s="28"/>
      <c r="G33" s="581"/>
      <c r="H33" s="299"/>
    </row>
    <row r="34" spans="1:12" ht="16.5" thickTop="1">
      <c r="A34" s="56"/>
      <c r="B34" s="57"/>
      <c r="C34" s="28"/>
      <c r="D34" s="28"/>
      <c r="E34" s="28"/>
      <c r="F34" s="28"/>
      <c r="G34" s="28"/>
    </row>
    <row r="35" spans="1:12" ht="15.75" hidden="1" outlineLevel="1">
      <c r="A35" s="34" t="s">
        <v>271</v>
      </c>
      <c r="B35" s="46"/>
      <c r="C35" s="34"/>
      <c r="D35" s="34"/>
      <c r="E35" s="34"/>
      <c r="F35" s="34"/>
      <c r="G35" s="34"/>
    </row>
    <row r="36" spans="1:12" ht="15.75" hidden="1" outlineLevel="1">
      <c r="A36" s="34"/>
      <c r="B36" s="46"/>
      <c r="C36" s="34"/>
      <c r="D36" s="34"/>
      <c r="E36" s="34"/>
      <c r="F36" s="34"/>
      <c r="G36" s="34"/>
    </row>
    <row r="37" spans="1:12" ht="16.5" hidden="1" outlineLevel="1" thickBot="1">
      <c r="A37" s="34"/>
      <c r="B37" s="33">
        <f t="shared" ref="B37:L37" si="2">B6</f>
        <v>2014</v>
      </c>
      <c r="C37" s="33">
        <f t="shared" si="2"/>
        <v>2015</v>
      </c>
      <c r="D37" s="33">
        <f t="shared" si="2"/>
        <v>2016</v>
      </c>
      <c r="E37" s="33">
        <f t="shared" si="2"/>
        <v>2017</v>
      </c>
      <c r="F37" s="33">
        <f t="shared" si="2"/>
        <v>2018</v>
      </c>
      <c r="G37" s="33">
        <f t="shared" si="2"/>
        <v>2019</v>
      </c>
      <c r="H37" s="33">
        <f t="shared" si="2"/>
        <v>2020</v>
      </c>
      <c r="I37" s="33">
        <f t="shared" si="2"/>
        <v>2021</v>
      </c>
      <c r="J37" s="33">
        <f t="shared" si="2"/>
        <v>2022</v>
      </c>
      <c r="K37" s="33">
        <f t="shared" si="2"/>
        <v>2023</v>
      </c>
      <c r="L37" s="33">
        <f t="shared" si="2"/>
        <v>2024</v>
      </c>
    </row>
    <row r="38" spans="1:12" hidden="1" outlineLevel="1">
      <c r="B38" s="41"/>
    </row>
    <row r="39" spans="1:12" hidden="1" outlineLevel="1">
      <c r="A39" s="28" t="s">
        <v>162</v>
      </c>
      <c r="B39" s="40">
        <f>+AnalVr.Proy.!C23</f>
        <v>198073.38090180967</v>
      </c>
      <c r="C39" s="40">
        <f>+AnalVr.Proy.!D23</f>
        <v>182236.86880627202</v>
      </c>
      <c r="D39" s="40">
        <f>+AnalVr.Proy.!E23</f>
        <v>171049.05256440051</v>
      </c>
      <c r="E39" s="40">
        <f>+AnalVr.Proy.!F23</f>
        <v>167192.83965617756</v>
      </c>
      <c r="F39" s="40">
        <f>+AnalVr.Proy.!G23</f>
        <v>169945.2283840288</v>
      </c>
      <c r="G39" s="40">
        <f>+AnalVr.Proy.!H23</f>
        <v>181258.81325611772</v>
      </c>
      <c r="H39" s="40">
        <f>+AnalVr.Proy.!I23</f>
        <v>196548.93084063003</v>
      </c>
      <c r="I39" s="40">
        <f>+AnalVr.Proy.!J23</f>
        <v>216022.41679706509</v>
      </c>
      <c r="J39" s="40">
        <f>+AnalVr.Proy.!K23</f>
        <v>241141.13849155395</v>
      </c>
      <c r="K39" s="40">
        <f>+AnalVr.Proy.!L23</f>
        <v>268873.93862416071</v>
      </c>
      <c r="L39" s="40">
        <f>+AnalVr.Proy.!M23</f>
        <v>303711.62892435695</v>
      </c>
    </row>
    <row r="40" spans="1:12" hidden="1" outlineLevel="1">
      <c r="A40" t="str">
        <f>+AnalVr.Proy.!A25</f>
        <v>Rentabilidad del Capital Invertido</v>
      </c>
      <c r="B40" s="48">
        <f>+AnalVr.Proy.!C25</f>
        <v>-5.0246715696632756E-2</v>
      </c>
      <c r="C40" s="48">
        <f>+AnalVr.Proy.!D25</f>
        <v>-3.3915335265341365E-2</v>
      </c>
      <c r="D40" s="48">
        <f>+AnalVr.Proy.!E25</f>
        <v>-1.4433023848643952E-2</v>
      </c>
      <c r="E40" s="48">
        <f>+AnalVr.Proy.!F25</f>
        <v>2.8605855111004084E-2</v>
      </c>
      <c r="F40" s="48">
        <f>+AnalVr.Proy.!G25</f>
        <v>7.7136015439984398E-2</v>
      </c>
      <c r="G40" s="48">
        <f>+AnalVr.Proy.!H25</f>
        <v>8.4351394965837989E-2</v>
      </c>
      <c r="H40" s="48">
        <f>+AnalVr.Proy.!I25</f>
        <v>0.10526577130669501</v>
      </c>
      <c r="I40" s="48">
        <f>+AnalVr.Proy.!J25</f>
        <v>0.11396818653655792</v>
      </c>
      <c r="J40" s="48">
        <f>+AnalVr.Proy.!K25</f>
        <v>0.11926588283773339</v>
      </c>
      <c r="K40" s="48">
        <f>+AnalVr.Proy.!L25</f>
        <v>0.11449602686645995</v>
      </c>
      <c r="L40" s="48">
        <f>+AnalVr.Proy.!M25</f>
        <v>0.1114637738658686</v>
      </c>
    </row>
    <row r="41" spans="1:12" hidden="1" outlineLevel="1">
      <c r="A41" t="s">
        <v>272</v>
      </c>
      <c r="B41" s="48">
        <f>+WACC!H30</f>
        <v>0.12136750586087716</v>
      </c>
      <c r="C41" s="48">
        <f>+WACC!I30</f>
        <v>0.11660496481028976</v>
      </c>
      <c r="D41" s="48">
        <f>+WACC!J30</f>
        <v>0.11854457043821189</v>
      </c>
      <c r="E41" s="48">
        <f>+WACC!K30</f>
        <v>0.12015777640710752</v>
      </c>
      <c r="F41" s="48">
        <f>+WACC!L30</f>
        <v>0.1220814083276502</v>
      </c>
      <c r="G41" s="48">
        <f>+WACC!M30</f>
        <v>0.12267692409830372</v>
      </c>
      <c r="H41" s="48">
        <f>+WACC!N30</f>
        <v>0.12485633344957546</v>
      </c>
      <c r="I41" s="48">
        <f>+WACC!O30</f>
        <v>0.12377970313073336</v>
      </c>
      <c r="J41" s="303">
        <f>+WACC!P30</f>
        <v>0.1287524900180613</v>
      </c>
      <c r="K41" s="303">
        <f>+WACC!Q30</f>
        <v>0.12733817781205278</v>
      </c>
      <c r="L41" s="303">
        <f>+WACC!R30</f>
        <v>0.12733817781205278</v>
      </c>
    </row>
    <row r="42" spans="1:12" hidden="1" outlineLevel="1"/>
    <row r="43" spans="1:12" hidden="1" outlineLevel="1">
      <c r="A43" t="s">
        <v>166</v>
      </c>
      <c r="B43" s="48">
        <f t="shared" ref="B43:L43" si="3">+B40-B41</f>
        <v>-0.17161422155750991</v>
      </c>
      <c r="C43" s="48">
        <f t="shared" si="3"/>
        <v>-0.15052030007563111</v>
      </c>
      <c r="D43" s="48">
        <f t="shared" si="3"/>
        <v>-0.13297759428685585</v>
      </c>
      <c r="E43" s="48">
        <f t="shared" si="3"/>
        <v>-9.1551921296103442E-2</v>
      </c>
      <c r="F43" s="48">
        <f t="shared" si="3"/>
        <v>-4.4945392887665803E-2</v>
      </c>
      <c r="G43" s="48">
        <f t="shared" si="3"/>
        <v>-3.832552913246573E-2</v>
      </c>
      <c r="H43" s="48">
        <f t="shared" si="3"/>
        <v>-1.9590562142880449E-2</v>
      </c>
      <c r="I43" s="48">
        <f t="shared" si="3"/>
        <v>-9.8115165941754373E-3</v>
      </c>
      <c r="J43" s="48">
        <f t="shared" si="3"/>
        <v>-9.4866071803279134E-3</v>
      </c>
      <c r="K43" s="48">
        <f t="shared" si="3"/>
        <v>-1.2842150945592837E-2</v>
      </c>
      <c r="L43" s="48">
        <f t="shared" si="3"/>
        <v>-1.5874403946184182E-2</v>
      </c>
    </row>
    <row r="44" spans="1:12" hidden="1" outlineLevel="1"/>
    <row r="45" spans="1:12" hidden="1" outlineLevel="1">
      <c r="A45" t="s">
        <v>273</v>
      </c>
      <c r="B45" s="41">
        <f t="shared" ref="B45:L45" si="4">+B43*B39</f>
        <v>-33992.209074728213</v>
      </c>
      <c r="C45" s="41">
        <f t="shared" si="4"/>
        <v>-27430.348177563483</v>
      </c>
      <c r="D45" s="41">
        <f t="shared" si="4"/>
        <v>-22745.691515059931</v>
      </c>
      <c r="E45" s="41">
        <f t="shared" si="4"/>
        <v>-15306.825697474411</v>
      </c>
      <c r="F45" s="41">
        <f t="shared" si="4"/>
        <v>-7638.2550591042682</v>
      </c>
      <c r="G45" s="41">
        <f t="shared" si="4"/>
        <v>-6946.839927963505</v>
      </c>
      <c r="H45" s="41">
        <f t="shared" si="4"/>
        <v>-3850.5040437500743</v>
      </c>
      <c r="I45" s="41">
        <f t="shared" si="4"/>
        <v>-2119.5075271182868</v>
      </c>
      <c r="J45" s="41">
        <f t="shared" si="4"/>
        <v>-2287.6112558864234</v>
      </c>
      <c r="K45" s="41">
        <f t="shared" si="4"/>
        <v>-3452.9197051475358</v>
      </c>
      <c r="L45" s="41">
        <f t="shared" si="4"/>
        <v>-4821.2410806988382</v>
      </c>
    </row>
    <row r="46" spans="1:12" hidden="1" outlineLevel="1"/>
    <row r="47" spans="1:12" ht="15.75" hidden="1" outlineLevel="1">
      <c r="A47" s="27" t="s">
        <v>274</v>
      </c>
      <c r="B47" s="44">
        <f>NPV(B15,B45:L45)</f>
        <v>-88862.689485546536</v>
      </c>
    </row>
    <row r="48" spans="1:12" ht="15.75" hidden="1" outlineLevel="1">
      <c r="A48" s="27" t="s">
        <v>275</v>
      </c>
      <c r="B48" s="44">
        <f>SUM('VPN Cascada'!B32:B38)</f>
        <v>-87803.505939806913</v>
      </c>
    </row>
    <row r="49" spans="1:5" hidden="1" outlineLevel="1"/>
    <row r="50" spans="1:5" hidden="1" outlineLevel="1">
      <c r="A50" s="28" t="s">
        <v>262</v>
      </c>
      <c r="B50" s="41">
        <f>+L45/(B15-B16)</f>
        <v>-36057.655808510492</v>
      </c>
    </row>
    <row r="51" spans="1:5" ht="15.75" hidden="1" outlineLevel="1">
      <c r="A51" s="27" t="s">
        <v>263</v>
      </c>
      <c r="B51" s="52">
        <f>+B50/(1+B15)^10</f>
        <v>-10279.706090934635</v>
      </c>
      <c r="C51" s="55"/>
    </row>
    <row r="52" spans="1:5" ht="15.75" hidden="1" outlineLevel="1">
      <c r="A52" s="27"/>
      <c r="B52" s="52"/>
      <c r="C52" s="55"/>
    </row>
    <row r="53" spans="1:5" hidden="1" outlineLevel="1">
      <c r="A53" s="28" t="s">
        <v>264</v>
      </c>
      <c r="B53" s="91">
        <f>+'VPN Cascada'!L42</f>
        <v>-37861.70937528916</v>
      </c>
      <c r="C53" s="55"/>
    </row>
    <row r="54" spans="1:5" ht="15.75" hidden="1" outlineLevel="1">
      <c r="A54" s="27" t="s">
        <v>265</v>
      </c>
      <c r="B54" s="44">
        <f>+'VPN Cascada'!B42</f>
        <v>-11909.947927723721</v>
      </c>
      <c r="C54" s="55"/>
    </row>
    <row r="55" spans="1:5" ht="15.75" hidden="1" outlineLevel="1">
      <c r="A55" s="51"/>
      <c r="B55" s="52"/>
    </row>
    <row r="56" spans="1:5" hidden="1" outlineLevel="1">
      <c r="A56" s="53" t="s">
        <v>276</v>
      </c>
      <c r="B56" s="54">
        <f>+B39</f>
        <v>198073.38090180967</v>
      </c>
    </row>
    <row r="57" spans="1:5" ht="15.75" hidden="1" outlineLevel="1" thickBot="1"/>
    <row r="58" spans="1:5" ht="17.25" hidden="1" outlineLevel="1" thickTop="1" thickBot="1">
      <c r="A58" s="29" t="s">
        <v>266</v>
      </c>
      <c r="B58" s="45">
        <f>B47+B51+B56</f>
        <v>98930.985325328496</v>
      </c>
    </row>
    <row r="59" spans="1:5" ht="17.25" hidden="1" outlineLevel="1" thickTop="1" thickBot="1">
      <c r="A59" s="29" t="s">
        <v>267</v>
      </c>
      <c r="B59" s="45">
        <f>B48+B54+B56</f>
        <v>98359.927034279026</v>
      </c>
      <c r="C59" s="88"/>
    </row>
    <row r="60" spans="1:5" ht="16.5" hidden="1" outlineLevel="1" thickTop="1" thickBot="1">
      <c r="A60" s="28"/>
      <c r="B60" s="28"/>
    </row>
    <row r="61" spans="1:5" ht="17.25" hidden="1" outlineLevel="1" thickTop="1" thickBot="1">
      <c r="A61" s="60" t="s">
        <v>268</v>
      </c>
      <c r="B61" s="45">
        <f>B30</f>
        <v>-62459</v>
      </c>
    </row>
    <row r="62" spans="1:5" ht="17.25" hidden="1" outlineLevel="1" thickTop="1" thickBot="1">
      <c r="A62" s="59"/>
      <c r="B62" s="28"/>
      <c r="D62" s="469" t="s">
        <v>1153</v>
      </c>
      <c r="E62" s="470" t="s">
        <v>1154</v>
      </c>
    </row>
    <row r="63" spans="1:5" ht="17.25" hidden="1" outlineLevel="1" thickTop="1" thickBot="1">
      <c r="A63" s="29" t="s">
        <v>269</v>
      </c>
      <c r="B63" s="45">
        <f>B58+B61</f>
        <v>36471.985325328496</v>
      </c>
      <c r="D63" s="599">
        <v>11774.724183</v>
      </c>
      <c r="E63" s="471">
        <f>+B63/D63</f>
        <v>3.0974810754366269</v>
      </c>
    </row>
    <row r="64" spans="1:5" ht="17.25" hidden="1" outlineLevel="1" thickTop="1" thickBot="1">
      <c r="A64" s="29" t="s">
        <v>270</v>
      </c>
      <c r="B64" s="45">
        <f>B59+B61</f>
        <v>35900.927034279026</v>
      </c>
      <c r="C64" s="88"/>
      <c r="D64" s="600"/>
      <c r="E64" s="472">
        <f>+B64/D63</f>
        <v>3.0489824199968716</v>
      </c>
    </row>
    <row r="65" collapsed="1"/>
  </sheetData>
  <mergeCells count="2">
    <mergeCell ref="D32:D33"/>
    <mergeCell ref="D63:D64"/>
  </mergeCells>
  <phoneticPr fontId="0" type="noConversion"/>
  <printOptions horizontalCentered="1" verticalCentered="1"/>
  <pageMargins left="0.51181102362204722" right="0.51181102362204722" top="0.51181102362204722" bottom="0.51181102362204722" header="0.51181102362204722" footer="0.51181102362204722"/>
  <pageSetup scale="95" firstPageNumber="18" fitToHeight="2" orientation="landscape" blackAndWhite="1" horizontalDpi="300" verticalDpi="300"/>
  <headerFooter>
    <oddHeader>&amp;C&amp;A</oddHeader>
    <oddFooter>&amp;CCia.Modelo -  EVA&amp;RPágina &amp;P</oddFooter>
  </headerFooter>
  <legacyDrawing r:id="rId1"/>
</worksheet>
</file>

<file path=xl/worksheets/sheet10.xml><?xml version="1.0" encoding="utf-8"?>
<worksheet xmlns="http://schemas.openxmlformats.org/spreadsheetml/2006/main" xmlns:r="http://schemas.openxmlformats.org/officeDocument/2006/relationships">
  <dimension ref="A1:K130"/>
  <sheetViews>
    <sheetView showGridLines="0" topLeftCell="C106" workbookViewId="0">
      <selection activeCell="F114" sqref="F114"/>
    </sheetView>
  </sheetViews>
  <sheetFormatPr baseColWidth="10" defaultColWidth="8.33203125" defaultRowHeight="15.75" outlineLevelRow="1"/>
  <cols>
    <col min="1" max="1" width="14.88671875" style="195" customWidth="1"/>
    <col min="2" max="2" width="8.6640625" style="195" bestFit="1" customWidth="1"/>
    <col min="3" max="3" width="11.6640625" style="195" bestFit="1" customWidth="1"/>
    <col min="4" max="4" width="12.88671875" style="195" bestFit="1" customWidth="1"/>
    <col min="5" max="5" width="10.88671875" style="195" bestFit="1" customWidth="1"/>
    <col min="6" max="6" width="11" style="195" customWidth="1"/>
    <col min="7" max="11" width="15.6640625" style="195" customWidth="1"/>
    <col min="12" max="16384" width="8.33203125" style="195"/>
  </cols>
  <sheetData>
    <row r="1" spans="1:10">
      <c r="A1" s="195" t="s">
        <v>382</v>
      </c>
      <c r="B1" s="196">
        <v>40182</v>
      </c>
    </row>
    <row r="2" spans="1:10" s="198" customFormat="1" ht="18.75">
      <c r="A2" s="197" t="s">
        <v>383</v>
      </c>
      <c r="B2" s="197"/>
      <c r="C2" s="197"/>
      <c r="D2" s="197"/>
      <c r="E2" s="197"/>
      <c r="F2" s="197"/>
      <c r="G2" s="197"/>
    </row>
    <row r="3" spans="1:10">
      <c r="A3" s="195" t="s">
        <v>384</v>
      </c>
      <c r="C3" s="199" t="s">
        <v>385</v>
      </c>
      <c r="F3" s="195" t="s">
        <v>386</v>
      </c>
    </row>
    <row r="4" spans="1:10">
      <c r="A4" s="195" t="s">
        <v>387</v>
      </c>
      <c r="C4" s="199">
        <v>1960</v>
      </c>
      <c r="F4" s="195" t="s">
        <v>388</v>
      </c>
    </row>
    <row r="5" spans="1:10">
      <c r="E5" s="200"/>
    </row>
    <row r="6" spans="1:10">
      <c r="A6" s="195" t="s">
        <v>389</v>
      </c>
      <c r="E6" s="201">
        <f>IF(C4=1928,100,VLOOKUP(C4-1,A13:G98,5))</f>
        <v>1608.9516371948275</v>
      </c>
    </row>
    <row r="7" spans="1:10">
      <c r="A7" s="195" t="s">
        <v>390</v>
      </c>
      <c r="E7" s="201">
        <f>IF(C4=1928,100,VLOOKUP(C4-1,A13:G98,6))</f>
        <v>149.2712211368007</v>
      </c>
    </row>
    <row r="8" spans="1:10">
      <c r="A8" s="195" t="s">
        <v>391</v>
      </c>
      <c r="E8" s="201">
        <f>IF(C4=1928,100,VLOOKUP(C4-1,A12:G98,7))</f>
        <v>214.55509182219998</v>
      </c>
    </row>
    <row r="9" spans="1:10" ht="16.5" thickBot="1">
      <c r="A9" s="195" t="s">
        <v>392</v>
      </c>
      <c r="E9" s="202">
        <f>IF(C3="ST",(E98/E6)^(1/(A98-C4+1))-(F98/E7)^(1/(A98-C4+1)),(E98/E6)^(1/(A98-C4+1))-(G98/E8)^(1/(A98-C4+1)))</f>
        <v>3.3819244322894182E-2</v>
      </c>
    </row>
    <row r="10" spans="1:10" ht="16.5" thickBot="1"/>
    <row r="11" spans="1:10">
      <c r="B11" s="203" t="s">
        <v>393</v>
      </c>
      <c r="C11" s="204"/>
      <c r="D11" s="205"/>
      <c r="E11" s="203" t="s">
        <v>394</v>
      </c>
      <c r="F11" s="204"/>
      <c r="G11" s="205"/>
    </row>
    <row r="12" spans="1:10">
      <c r="A12" s="206" t="s">
        <v>395</v>
      </c>
      <c r="B12" s="206" t="s">
        <v>396</v>
      </c>
      <c r="C12" s="206" t="s">
        <v>397</v>
      </c>
      <c r="D12" s="206" t="s">
        <v>398</v>
      </c>
      <c r="E12" s="207" t="s">
        <v>399</v>
      </c>
      <c r="F12" s="207" t="s">
        <v>400</v>
      </c>
      <c r="G12" s="207" t="s">
        <v>401</v>
      </c>
      <c r="H12" s="207" t="s">
        <v>402</v>
      </c>
      <c r="I12" s="207" t="s">
        <v>403</v>
      </c>
      <c r="J12" s="207" t="s">
        <v>404</v>
      </c>
    </row>
    <row r="13" spans="1:10">
      <c r="A13" s="208">
        <v>1928</v>
      </c>
      <c r="B13" s="209">
        <f>('[1]S&amp;P 500 &amp; Raw Data'!B4-'[1]S&amp;P 500 &amp; Raw Data'!B3+'[1]S&amp;P 500 &amp; Raw Data'!C4)/'[1]S&amp;P 500 &amp; Raw Data'!B3</f>
        <v>0.43811155152887893</v>
      </c>
      <c r="C13" s="209">
        <v>3.0800000000000001E-2</v>
      </c>
      <c r="D13" s="209">
        <f>'[1]S&amp;P 500 &amp; Raw Data'!F4</f>
        <v>8.354708589799302E-3</v>
      </c>
      <c r="E13" s="210">
        <f>100*(1+B13)</f>
        <v>143.81115515288789</v>
      </c>
      <c r="F13" s="210">
        <f>100*(1+C13)</f>
        <v>103.08</v>
      </c>
      <c r="G13" s="210">
        <f>100*(1+D13)</f>
        <v>100.83547085897993</v>
      </c>
      <c r="H13" s="211">
        <f>B13-C13</f>
        <v>0.40731155152887893</v>
      </c>
      <c r="I13" s="209">
        <f>B13-D13</f>
        <v>0.42975684293907962</v>
      </c>
      <c r="J13" s="212"/>
    </row>
    <row r="14" spans="1:10">
      <c r="A14" s="208">
        <v>1929</v>
      </c>
      <c r="B14" s="209">
        <f>('[1]S&amp;P 500 &amp; Raw Data'!B5-'[1]S&amp;P 500 &amp; Raw Data'!B4+'[1]S&amp;P 500 &amp; Raw Data'!C5)/'[1]S&amp;P 500 &amp; Raw Data'!B4</f>
        <v>-8.2979466119096595E-2</v>
      </c>
      <c r="C14" s="209">
        <v>3.1600000000000003E-2</v>
      </c>
      <c r="D14" s="209">
        <f>'[1]S&amp;P 500 &amp; Raw Data'!F5</f>
        <v>4.2038041563204259E-2</v>
      </c>
      <c r="E14" s="210">
        <f t="shared" ref="E14:G29" si="0">E13*(1+B14)</f>
        <v>131.87778227633069</v>
      </c>
      <c r="F14" s="210">
        <f t="shared" si="0"/>
        <v>106.337328</v>
      </c>
      <c r="G14" s="210">
        <f t="shared" si="0"/>
        <v>105.074396573995</v>
      </c>
      <c r="H14" s="211">
        <f t="shared" ref="H14:H77" si="1">B14-C14</f>
        <v>-0.1145794661190966</v>
      </c>
      <c r="I14" s="209">
        <f t="shared" ref="I14:I77" si="2">B14-D14</f>
        <v>-0.12501750768230085</v>
      </c>
      <c r="J14" s="212"/>
    </row>
    <row r="15" spans="1:10">
      <c r="A15" s="208">
        <v>1930</v>
      </c>
      <c r="B15" s="209">
        <f>('[1]S&amp;P 500 &amp; Raw Data'!B6-'[1]S&amp;P 500 &amp; Raw Data'!B5+'[1]S&amp;P 500 &amp; Raw Data'!C6)/'[1]S&amp;P 500 &amp; Raw Data'!B5</f>
        <v>-0.25123636363636365</v>
      </c>
      <c r="C15" s="209">
        <v>4.5499999999999999E-2</v>
      </c>
      <c r="D15" s="209">
        <f>'[1]S&amp;P 500 &amp; Raw Data'!F6</f>
        <v>4.5409314348970366E-2</v>
      </c>
      <c r="E15" s="210">
        <f t="shared" si="0"/>
        <v>98.745287812797272</v>
      </c>
      <c r="F15" s="210">
        <f t="shared" si="0"/>
        <v>111.17567642400002</v>
      </c>
      <c r="G15" s="210">
        <f t="shared" si="0"/>
        <v>109.84575287805193</v>
      </c>
      <c r="H15" s="211">
        <f t="shared" si="1"/>
        <v>-0.29673636363636363</v>
      </c>
      <c r="I15" s="209">
        <f t="shared" si="2"/>
        <v>-0.29664567798533403</v>
      </c>
      <c r="J15" s="212"/>
    </row>
    <row r="16" spans="1:10">
      <c r="A16" s="208">
        <v>1931</v>
      </c>
      <c r="B16" s="209">
        <f>('[1]S&amp;P 500 &amp; Raw Data'!B7-'[1]S&amp;P 500 &amp; Raw Data'!B6+'[1]S&amp;P 500 &amp; Raw Data'!C7)/'[1]S&amp;P 500 &amp; Raw Data'!B6</f>
        <v>-0.43837548891786188</v>
      </c>
      <c r="C16" s="209">
        <v>2.3099999999999999E-2</v>
      </c>
      <c r="D16" s="209">
        <f>'[1]S&amp;P 500 &amp; Raw Data'!F7</f>
        <v>-2.5588559619422531E-2</v>
      </c>
      <c r="E16" s="210">
        <f t="shared" si="0"/>
        <v>55.457773989527276</v>
      </c>
      <c r="F16" s="210">
        <f t="shared" si="0"/>
        <v>113.74383454939441</v>
      </c>
      <c r="G16" s="210">
        <f t="shared" si="0"/>
        <v>107.03495828159154</v>
      </c>
      <c r="H16" s="211">
        <f t="shared" si="1"/>
        <v>-0.46147548891786189</v>
      </c>
      <c r="I16" s="209">
        <f t="shared" si="2"/>
        <v>-0.41278692929843935</v>
      </c>
      <c r="J16" s="212"/>
    </row>
    <row r="17" spans="1:10">
      <c r="A17" s="208">
        <v>1932</v>
      </c>
      <c r="B17" s="209">
        <f>('[1]S&amp;P 500 &amp; Raw Data'!B8-'[1]S&amp;P 500 &amp; Raw Data'!B7+'[1]S&amp;P 500 &amp; Raw Data'!C8)/'[1]S&amp;P 500 &amp; Raw Data'!B7</f>
        <v>-8.642364532019696E-2</v>
      </c>
      <c r="C17" s="209">
        <v>1.0699999999999999E-2</v>
      </c>
      <c r="D17" s="209">
        <f>'[1]S&amp;P 500 &amp; Raw Data'!F8</f>
        <v>8.7903069904773257E-2</v>
      </c>
      <c r="E17" s="210">
        <f t="shared" si="0"/>
        <v>50.664911000008722</v>
      </c>
      <c r="F17" s="210">
        <f t="shared" si="0"/>
        <v>114.96089357907292</v>
      </c>
      <c r="G17" s="210">
        <f t="shared" si="0"/>
        <v>116.44365970167279</v>
      </c>
      <c r="H17" s="211">
        <f t="shared" si="1"/>
        <v>-9.7123645320196961E-2</v>
      </c>
      <c r="I17" s="209">
        <f t="shared" si="2"/>
        <v>-0.17432671522497023</v>
      </c>
      <c r="J17" s="212"/>
    </row>
    <row r="18" spans="1:10">
      <c r="A18" s="208">
        <v>1933</v>
      </c>
      <c r="B18" s="209">
        <f>('[1]S&amp;P 500 &amp; Raw Data'!B9-'[1]S&amp;P 500 &amp; Raw Data'!B8+'[1]S&amp;P 500 &amp; Raw Data'!C9)/'[1]S&amp;P 500 &amp; Raw Data'!B8</f>
        <v>0.49982225433526023</v>
      </c>
      <c r="C18" s="209">
        <v>9.5999999999999992E-3</v>
      </c>
      <c r="D18" s="209">
        <f>'[1]S&amp;P 500 &amp; Raw Data'!F9</f>
        <v>1.8552720891857361E-2</v>
      </c>
      <c r="E18" s="210">
        <f t="shared" si="0"/>
        <v>75.988361031728402</v>
      </c>
      <c r="F18" s="210">
        <f t="shared" si="0"/>
        <v>116.06451815743202</v>
      </c>
      <c r="G18" s="210">
        <f t="shared" si="0"/>
        <v>118.60400641974435</v>
      </c>
      <c r="H18" s="211">
        <f t="shared" si="1"/>
        <v>0.49022225433526023</v>
      </c>
      <c r="I18" s="209">
        <f t="shared" si="2"/>
        <v>0.48126953344340284</v>
      </c>
      <c r="J18" s="212"/>
    </row>
    <row r="19" spans="1:10">
      <c r="A19" s="208">
        <v>1934</v>
      </c>
      <c r="B19" s="209">
        <f>('[1]S&amp;P 500 &amp; Raw Data'!B10-'[1]S&amp;P 500 &amp; Raw Data'!B9+'[1]S&amp;P 500 &amp; Raw Data'!C10)/'[1]S&amp;P 500 &amp; Raw Data'!B9</f>
        <v>-1.1885656970912803E-2</v>
      </c>
      <c r="C19" s="209">
        <f>'[1]T. Bill rates'!G13</f>
        <v>3.225E-3</v>
      </c>
      <c r="D19" s="209">
        <f>'[1]S&amp;P 500 &amp; Raw Data'!F10</f>
        <v>7.9634426179656104E-2</v>
      </c>
      <c r="E19" s="210">
        <f t="shared" si="0"/>
        <v>75.085189438723404</v>
      </c>
      <c r="F19" s="210">
        <f t="shared" si="0"/>
        <v>116.43882622848975</v>
      </c>
      <c r="G19" s="210">
        <f t="shared" si="0"/>
        <v>128.04896841358894</v>
      </c>
      <c r="H19" s="211">
        <f t="shared" si="1"/>
        <v>-1.5110656970912803E-2</v>
      </c>
      <c r="I19" s="209">
        <f t="shared" si="2"/>
        <v>-9.1520083150568907E-2</v>
      </c>
      <c r="J19" s="212"/>
    </row>
    <row r="20" spans="1:10">
      <c r="A20" s="208">
        <v>1935</v>
      </c>
      <c r="B20" s="209">
        <f>('[1]S&amp;P 500 &amp; Raw Data'!B11-'[1]S&amp;P 500 &amp; Raw Data'!B10+'[1]S&amp;P 500 &amp; Raw Data'!C11)/'[1]S&amp;P 500 &amp; Raw Data'!B10</f>
        <v>0.46740421052631581</v>
      </c>
      <c r="C20" s="209">
        <f>'[1]T. Bill rates'!G14</f>
        <v>1.7499999999999998E-3</v>
      </c>
      <c r="D20" s="209">
        <f>'[1]S&amp;P 500 &amp; Raw Data'!F11</f>
        <v>4.4720477296566127E-2</v>
      </c>
      <c r="E20" s="210">
        <f t="shared" si="0"/>
        <v>110.18032313054879</v>
      </c>
      <c r="F20" s="210">
        <f t="shared" si="0"/>
        <v>116.64259417438959</v>
      </c>
      <c r="G20" s="210">
        <f t="shared" si="0"/>
        <v>133.77537939837757</v>
      </c>
      <c r="H20" s="211">
        <f t="shared" si="1"/>
        <v>0.46565421052631584</v>
      </c>
      <c r="I20" s="209">
        <f t="shared" si="2"/>
        <v>0.42268373322974967</v>
      </c>
      <c r="J20" s="212"/>
    </row>
    <row r="21" spans="1:10">
      <c r="A21" s="208">
        <v>1936</v>
      </c>
      <c r="B21" s="209">
        <f>('[1]S&amp;P 500 &amp; Raw Data'!B12-'[1]S&amp;P 500 &amp; Raw Data'!B11+'[1]S&amp;P 500 &amp; Raw Data'!C12)/'[1]S&amp;P 500 &amp; Raw Data'!B11</f>
        <v>0.31943410275502609</v>
      </c>
      <c r="C21" s="209">
        <f>'[1]T. Bill rates'!G15</f>
        <v>1.7000000000000001E-3</v>
      </c>
      <c r="D21" s="209">
        <f>'[1]S&amp;P 500 &amp; Raw Data'!F12</f>
        <v>5.0178754045450601E-2</v>
      </c>
      <c r="E21" s="210">
        <f t="shared" si="0"/>
        <v>145.37567579101449</v>
      </c>
      <c r="F21" s="210">
        <f t="shared" si="0"/>
        <v>116.84088658448606</v>
      </c>
      <c r="G21" s="210">
        <f t="shared" si="0"/>
        <v>140.4880612585456</v>
      </c>
      <c r="H21" s="211">
        <f t="shared" si="1"/>
        <v>0.31773410275502612</v>
      </c>
      <c r="I21" s="209">
        <f t="shared" si="2"/>
        <v>0.26925534870957551</v>
      </c>
      <c r="J21" s="212"/>
    </row>
    <row r="22" spans="1:10">
      <c r="A22" s="208">
        <v>1937</v>
      </c>
      <c r="B22" s="209">
        <f>('[1]S&amp;P 500 &amp; Raw Data'!B13-'[1]S&amp;P 500 &amp; Raw Data'!B12+'[1]S&amp;P 500 &amp; Raw Data'!C13)/'[1]S&amp;P 500 &amp; Raw Data'!B12</f>
        <v>-0.35336728754365537</v>
      </c>
      <c r="C22" s="209">
        <f>'[1]T. Bill rates'!G16</f>
        <v>3.0250000000000003E-3</v>
      </c>
      <c r="D22" s="209">
        <f>'[1]S&amp;P 500 &amp; Raw Data'!F13</f>
        <v>1.379146059646038E-2</v>
      </c>
      <c r="E22" s="210">
        <f t="shared" si="0"/>
        <v>94.004667561917856</v>
      </c>
      <c r="F22" s="210">
        <f t="shared" si="0"/>
        <v>117.19433026640414</v>
      </c>
      <c r="G22" s="210">
        <f t="shared" si="0"/>
        <v>142.42559681966594</v>
      </c>
      <c r="H22" s="211">
        <f t="shared" si="1"/>
        <v>-0.35639228754365537</v>
      </c>
      <c r="I22" s="209">
        <f t="shared" si="2"/>
        <v>-0.36715874814011573</v>
      </c>
      <c r="J22" s="212"/>
    </row>
    <row r="23" spans="1:10">
      <c r="A23" s="208">
        <v>1938</v>
      </c>
      <c r="B23" s="209">
        <f>('[1]S&amp;P 500 &amp; Raw Data'!B14-'[1]S&amp;P 500 &amp; Raw Data'!B13+'[1]S&amp;P 500 &amp; Raw Data'!C14)/'[1]S&amp;P 500 &amp; Raw Data'!B13</f>
        <v>0.29282654028436017</v>
      </c>
      <c r="C23" s="209">
        <f>'[1]T. Bill rates'!G17</f>
        <v>7.7499999999999997E-4</v>
      </c>
      <c r="D23" s="209">
        <f>'[1]S&amp;P 500 &amp; Raw Data'!F14</f>
        <v>4.2132485322046068E-2</v>
      </c>
      <c r="E23" s="210">
        <f t="shared" si="0"/>
        <v>121.53172913465568</v>
      </c>
      <c r="F23" s="210">
        <f t="shared" si="0"/>
        <v>117.28515587236059</v>
      </c>
      <c r="G23" s="210">
        <f t="shared" si="0"/>
        <v>148.42634118715418</v>
      </c>
      <c r="H23" s="211">
        <f t="shared" si="1"/>
        <v>0.29205154028436014</v>
      </c>
      <c r="I23" s="209">
        <f t="shared" si="2"/>
        <v>0.25069405496231412</v>
      </c>
      <c r="J23" s="212"/>
    </row>
    <row r="24" spans="1:10">
      <c r="A24" s="208">
        <v>1939</v>
      </c>
      <c r="B24" s="209">
        <f>('[1]S&amp;P 500 &amp; Raw Data'!B15-'[1]S&amp;P 500 &amp; Raw Data'!B14+'[1]S&amp;P 500 &amp; Raw Data'!C15)/'[1]S&amp;P 500 &amp; Raw Data'!B14</f>
        <v>-1.0975646879756443E-2</v>
      </c>
      <c r="C24" s="209">
        <f>'[1]T. Bill rates'!G18</f>
        <v>3.7500000000000006E-4</v>
      </c>
      <c r="D24" s="209">
        <f>'[1]S&amp;P 500 &amp; Raw Data'!F15</f>
        <v>4.4122613942060671E-2</v>
      </c>
      <c r="E24" s="210">
        <f t="shared" si="0"/>
        <v>120.19783979098749</v>
      </c>
      <c r="F24" s="210">
        <f t="shared" si="0"/>
        <v>117.32913780581272</v>
      </c>
      <c r="G24" s="210">
        <f t="shared" si="0"/>
        <v>154.97529933818757</v>
      </c>
      <c r="H24" s="211">
        <f t="shared" si="1"/>
        <v>-1.1350646879756444E-2</v>
      </c>
      <c r="I24" s="209">
        <f t="shared" si="2"/>
        <v>-5.509826082181711E-2</v>
      </c>
      <c r="J24" s="212"/>
    </row>
    <row r="25" spans="1:10">
      <c r="A25" s="208">
        <v>1940</v>
      </c>
      <c r="B25" s="209">
        <f>('[1]S&amp;P 500 &amp; Raw Data'!B16-'[1]S&amp;P 500 &amp; Raw Data'!B15+'[1]S&amp;P 500 &amp; Raw Data'!C16)/'[1]S&amp;P 500 &amp; Raw Data'!B15</f>
        <v>-0.10672873194221515</v>
      </c>
      <c r="C25" s="209">
        <f>'[1]T. Bill rates'!G19</f>
        <v>2.5000000000000001E-4</v>
      </c>
      <c r="D25" s="209">
        <f>'[1]S&amp;P 500 &amp; Raw Data'!F16</f>
        <v>5.4024815962845509E-2</v>
      </c>
      <c r="E25" s="210">
        <f t="shared" si="0"/>
        <v>107.36927676790187</v>
      </c>
      <c r="F25" s="210">
        <f t="shared" si="0"/>
        <v>117.35847009026418</v>
      </c>
      <c r="G25" s="210">
        <f t="shared" si="0"/>
        <v>163.34781136372007</v>
      </c>
      <c r="H25" s="211">
        <f t="shared" si="1"/>
        <v>-0.10697873194221515</v>
      </c>
      <c r="I25" s="209">
        <f t="shared" si="2"/>
        <v>-0.16075354790506066</v>
      </c>
      <c r="J25" s="212"/>
    </row>
    <row r="26" spans="1:10">
      <c r="A26" s="208">
        <v>1941</v>
      </c>
      <c r="B26" s="209">
        <f>('[1]S&amp;P 500 &amp; Raw Data'!B17-'[1]S&amp;P 500 &amp; Raw Data'!B16+'[1]S&amp;P 500 &amp; Raw Data'!C17)/'[1]S&amp;P 500 &amp; Raw Data'!B16</f>
        <v>-0.12771455576559551</v>
      </c>
      <c r="C26" s="209">
        <f>'[1]T. Bill rates'!G20</f>
        <v>8.2499999999999989E-4</v>
      </c>
      <c r="D26" s="209">
        <f>'[1]S&amp;P 500 &amp; Raw Data'!F17</f>
        <v>-2.0221975848580105E-2</v>
      </c>
      <c r="E26" s="210">
        <f t="shared" si="0"/>
        <v>93.656657282615996</v>
      </c>
      <c r="F26" s="210">
        <f t="shared" si="0"/>
        <v>117.45529082808865</v>
      </c>
      <c r="G26" s="210">
        <f t="shared" si="0"/>
        <v>160.0445958674045</v>
      </c>
      <c r="H26" s="211">
        <f t="shared" si="1"/>
        <v>-0.1285395557655955</v>
      </c>
      <c r="I26" s="209">
        <f t="shared" si="2"/>
        <v>-0.10749257991701541</v>
      </c>
      <c r="J26" s="212"/>
    </row>
    <row r="27" spans="1:10">
      <c r="A27" s="208">
        <v>1942</v>
      </c>
      <c r="B27" s="209">
        <f>('[1]S&amp;P 500 &amp; Raw Data'!B18-'[1]S&amp;P 500 &amp; Raw Data'!B17+'[1]S&amp;P 500 &amp; Raw Data'!C18)/'[1]S&amp;P 500 &amp; Raw Data'!B17</f>
        <v>0.19173762945914843</v>
      </c>
      <c r="C27" s="209">
        <f>'[1]T. Bill rates'!G21</f>
        <v>3.3750000000000004E-3</v>
      </c>
      <c r="D27" s="209">
        <f>'[1]S&amp;P 500 &amp; Raw Data'!F18</f>
        <v>2.2948682374484164E-2</v>
      </c>
      <c r="E27" s="210">
        <f t="shared" si="0"/>
        <v>111.61416273305268</v>
      </c>
      <c r="F27" s="210">
        <f t="shared" si="0"/>
        <v>117.85170243463344</v>
      </c>
      <c r="G27" s="210">
        <f t="shared" si="0"/>
        <v>163.71740846371824</v>
      </c>
      <c r="H27" s="211">
        <f t="shared" si="1"/>
        <v>0.18836262945914845</v>
      </c>
      <c r="I27" s="209">
        <f t="shared" si="2"/>
        <v>0.16878894708466427</v>
      </c>
      <c r="J27" s="212"/>
    </row>
    <row r="28" spans="1:10">
      <c r="A28" s="208">
        <v>1943</v>
      </c>
      <c r="B28" s="209">
        <f>('[1]S&amp;P 500 &amp; Raw Data'!B19-'[1]S&amp;P 500 &amp; Raw Data'!B18+'[1]S&amp;P 500 &amp; Raw Data'!C19)/'[1]S&amp;P 500 &amp; Raw Data'!B18</f>
        <v>0.25061310133060394</v>
      </c>
      <c r="C28" s="209">
        <f>'[1]T. Bill rates'!G22</f>
        <v>3.8E-3</v>
      </c>
      <c r="D28" s="209">
        <f>'[1]S&amp;P 500 &amp; Raw Data'!F19</f>
        <v>2.4899999999999999E-2</v>
      </c>
      <c r="E28" s="210">
        <f t="shared" si="0"/>
        <v>139.58613420800171</v>
      </c>
      <c r="F28" s="210">
        <f t="shared" si="0"/>
        <v>118.29953890388505</v>
      </c>
      <c r="G28" s="210">
        <f t="shared" si="0"/>
        <v>167.79397193446482</v>
      </c>
      <c r="H28" s="211">
        <f t="shared" si="1"/>
        <v>0.24681310133060394</v>
      </c>
      <c r="I28" s="209">
        <f t="shared" si="2"/>
        <v>0.22571310133060393</v>
      </c>
      <c r="J28" s="212"/>
    </row>
    <row r="29" spans="1:10">
      <c r="A29" s="208">
        <v>1944</v>
      </c>
      <c r="B29" s="209">
        <f>('[1]S&amp;P 500 &amp; Raw Data'!B20-'[1]S&amp;P 500 &amp; Raw Data'!B19+'[1]S&amp;P 500 &amp; Raw Data'!C20)/'[1]S&amp;P 500 &amp; Raw Data'!B19</f>
        <v>0.19030676949443009</v>
      </c>
      <c r="C29" s="209">
        <f>'[1]T. Bill rates'!G23</f>
        <v>3.8E-3</v>
      </c>
      <c r="D29" s="209">
        <f>'[1]S&amp;P 500 &amp; Raw Data'!F20</f>
        <v>2.5776111579070303E-2</v>
      </c>
      <c r="E29" s="210">
        <f t="shared" si="0"/>
        <v>166.15032047534245</v>
      </c>
      <c r="F29" s="210">
        <f t="shared" si="0"/>
        <v>118.74907715171982</v>
      </c>
      <c r="G29" s="210">
        <f t="shared" si="0"/>
        <v>172.11904807734297</v>
      </c>
      <c r="H29" s="211">
        <f t="shared" si="1"/>
        <v>0.1865067694944301</v>
      </c>
      <c r="I29" s="209">
        <f t="shared" si="2"/>
        <v>0.16453065791535978</v>
      </c>
      <c r="J29" s="212"/>
    </row>
    <row r="30" spans="1:10">
      <c r="A30" s="208">
        <v>1945</v>
      </c>
      <c r="B30" s="209">
        <f>('[1]S&amp;P 500 &amp; Raw Data'!B21-'[1]S&amp;P 500 &amp; Raw Data'!B20+'[1]S&amp;P 500 &amp; Raw Data'!C21)/'[1]S&amp;P 500 &amp; Raw Data'!B20</f>
        <v>0.35821084337349401</v>
      </c>
      <c r="C30" s="209">
        <f>'[1]T. Bill rates'!G24</f>
        <v>3.8E-3</v>
      </c>
      <c r="D30" s="209">
        <f>'[1]S&amp;P 500 &amp; Raw Data'!F21</f>
        <v>3.8044173419237229E-2</v>
      </c>
      <c r="E30" s="210">
        <f t="shared" ref="E30:G45" si="3">E29*(1+B30)</f>
        <v>225.66716689959119</v>
      </c>
      <c r="F30" s="210">
        <f t="shared" si="3"/>
        <v>119.20032364489636</v>
      </c>
      <c r="G30" s="210">
        <f t="shared" si="3"/>
        <v>178.66717499115143</v>
      </c>
      <c r="H30" s="211">
        <f t="shared" si="1"/>
        <v>0.35441084337349399</v>
      </c>
      <c r="I30" s="209">
        <f t="shared" si="2"/>
        <v>0.3201666699542568</v>
      </c>
      <c r="J30" s="212"/>
    </row>
    <row r="31" spans="1:10">
      <c r="A31" s="208">
        <v>1946</v>
      </c>
      <c r="B31" s="209">
        <f>('[1]S&amp;P 500 &amp; Raw Data'!B22-'[1]S&amp;P 500 &amp; Raw Data'!B21+'[1]S&amp;P 500 &amp; Raw Data'!C22)/'[1]S&amp;P 500 &amp; Raw Data'!B21</f>
        <v>-8.4291474654377807E-2</v>
      </c>
      <c r="C31" s="209">
        <f>'[1]T. Bill rates'!G25</f>
        <v>3.8E-3</v>
      </c>
      <c r="D31" s="209">
        <f>'[1]S&amp;P 500 &amp; Raw Data'!F22</f>
        <v>3.1283745375695685E-2</v>
      </c>
      <c r="E31" s="210">
        <f t="shared" si="3"/>
        <v>206.64534862054904</v>
      </c>
      <c r="F31" s="210">
        <f t="shared" si="3"/>
        <v>119.65328487474697</v>
      </c>
      <c r="G31" s="210">
        <f t="shared" si="3"/>
        <v>184.25655340056949</v>
      </c>
      <c r="H31" s="211">
        <f t="shared" si="1"/>
        <v>-8.8091474654377805E-2</v>
      </c>
      <c r="I31" s="209">
        <f t="shared" si="2"/>
        <v>-0.11557522003007349</v>
      </c>
      <c r="J31" s="212"/>
    </row>
    <row r="32" spans="1:10">
      <c r="A32" s="208">
        <v>1947</v>
      </c>
      <c r="B32" s="209">
        <f>('[1]S&amp;P 500 &amp; Raw Data'!B23-'[1]S&amp;P 500 &amp; Raw Data'!B22+'[1]S&amp;P 500 &amp; Raw Data'!C23)/'[1]S&amp;P 500 &amp; Raw Data'!B22</f>
        <v>5.1999999999999998E-2</v>
      </c>
      <c r="C32" s="209">
        <f>'[1]T. Bill rates'!G26</f>
        <v>5.6750000000000004E-3</v>
      </c>
      <c r="D32" s="209">
        <f>'[1]S&amp;P 500 &amp; Raw Data'!F23</f>
        <v>9.1969680628322358E-3</v>
      </c>
      <c r="E32" s="210">
        <f t="shared" si="3"/>
        <v>217.3909067488176</v>
      </c>
      <c r="F32" s="210">
        <f t="shared" si="3"/>
        <v>120.33231726641117</v>
      </c>
      <c r="G32" s="210">
        <f t="shared" si="3"/>
        <v>185.95115503756207</v>
      </c>
      <c r="H32" s="211">
        <f t="shared" si="1"/>
        <v>4.6324999999999998E-2</v>
      </c>
      <c r="I32" s="209">
        <f t="shared" si="2"/>
        <v>4.2803031937167765E-2</v>
      </c>
      <c r="J32" s="212"/>
    </row>
    <row r="33" spans="1:10">
      <c r="A33" s="208">
        <v>1948</v>
      </c>
      <c r="B33" s="209">
        <f>('[1]S&amp;P 500 &amp; Raw Data'!B24-'[1]S&amp;P 500 &amp; Raw Data'!B23+'[1]S&amp;P 500 &amp; Raw Data'!C24)/'[1]S&amp;P 500 &amp; Raw Data'!B23</f>
        <v>5.7045751633986834E-2</v>
      </c>
      <c r="C33" s="209">
        <f>'[1]T. Bill rates'!G27</f>
        <v>1.0225E-2</v>
      </c>
      <c r="D33" s="209">
        <f>'[1]S&amp;P 500 &amp; Raw Data'!F24</f>
        <v>1.9510369413175046E-2</v>
      </c>
      <c r="E33" s="210">
        <f t="shared" si="3"/>
        <v>229.79213442269784</v>
      </c>
      <c r="F33" s="210">
        <f t="shared" si="3"/>
        <v>121.56271521046021</v>
      </c>
      <c r="G33" s="210">
        <f t="shared" si="3"/>
        <v>189.57913076515149</v>
      </c>
      <c r="H33" s="211">
        <f t="shared" si="1"/>
        <v>4.6820751633986836E-2</v>
      </c>
      <c r="I33" s="209">
        <f t="shared" si="2"/>
        <v>3.7535382220811792E-2</v>
      </c>
      <c r="J33" s="212"/>
    </row>
    <row r="34" spans="1:10">
      <c r="A34" s="208">
        <v>1949</v>
      </c>
      <c r="B34" s="209">
        <f>('[1]S&amp;P 500 &amp; Raw Data'!B25-'[1]S&amp;P 500 &amp; Raw Data'!B24+'[1]S&amp;P 500 &amp; Raw Data'!C25)/'[1]S&amp;P 500 &amp; Raw Data'!B24</f>
        <v>0.18303223684210526</v>
      </c>
      <c r="C34" s="209">
        <f>'[1]T. Bill rates'!G28</f>
        <v>1.1025E-2</v>
      </c>
      <c r="D34" s="209">
        <f>'[1]S&amp;P 500 &amp; Raw Data'!F25</f>
        <v>4.6634851827973139E-2</v>
      </c>
      <c r="E34" s="210">
        <f t="shared" si="3"/>
        <v>271.85150279480598</v>
      </c>
      <c r="F34" s="210">
        <f t="shared" si="3"/>
        <v>122.90294414565554</v>
      </c>
      <c r="G34" s="210">
        <f t="shared" si="3"/>
        <v>198.42012543806027</v>
      </c>
      <c r="H34" s="211">
        <f t="shared" si="1"/>
        <v>0.17200723684210525</v>
      </c>
      <c r="I34" s="209">
        <f t="shared" si="2"/>
        <v>0.13639738501413212</v>
      </c>
      <c r="J34" s="212"/>
    </row>
    <row r="35" spans="1:10">
      <c r="A35" s="208">
        <v>1950</v>
      </c>
      <c r="B35" s="209">
        <f>('[1]S&amp;P 500 &amp; Raw Data'!B26-'[1]S&amp;P 500 &amp; Raw Data'!B25+'[1]S&amp;P 500 &amp; Raw Data'!C26)/'[1]S&amp;P 500 &amp; Raw Data'!B25</f>
        <v>0.30805539011316263</v>
      </c>
      <c r="C35" s="209">
        <f>'[1]T. Bill rates'!G29</f>
        <v>1.1724999999999999E-2</v>
      </c>
      <c r="D35" s="209">
        <f>'[1]S&amp;P 500 &amp; Raw Data'!F26</f>
        <v>4.2959574171096103E-3</v>
      </c>
      <c r="E35" s="210">
        <f t="shared" si="3"/>
        <v>355.59682354110947</v>
      </c>
      <c r="F35" s="210">
        <f t="shared" si="3"/>
        <v>124.34398116576335</v>
      </c>
      <c r="G35" s="210">
        <f t="shared" si="3"/>
        <v>199.2725298476397</v>
      </c>
      <c r="H35" s="211">
        <f t="shared" si="1"/>
        <v>0.29633039011316264</v>
      </c>
      <c r="I35" s="209">
        <f t="shared" si="2"/>
        <v>0.30375943269605304</v>
      </c>
      <c r="J35" s="212"/>
    </row>
    <row r="36" spans="1:10">
      <c r="A36" s="208">
        <v>1951</v>
      </c>
      <c r="B36" s="209">
        <f>('[1]S&amp;P 500 &amp; Raw Data'!B27-'[1]S&amp;P 500 &amp; Raw Data'!B26+'[1]S&amp;P 500 &amp; Raw Data'!C27)/'[1]S&amp;P 500 &amp; Raw Data'!B26</f>
        <v>0.23678463044542339</v>
      </c>
      <c r="C36" s="209">
        <f>'[1]T. Bill rates'!G30</f>
        <v>1.4775E-2</v>
      </c>
      <c r="D36" s="209">
        <f>'[1]S&amp;P 500 &amp; Raw Data'!F27</f>
        <v>-2.9531392208319886E-3</v>
      </c>
      <c r="E36" s="210">
        <f t="shared" si="3"/>
        <v>439.7966859908575</v>
      </c>
      <c r="F36" s="210">
        <f t="shared" si="3"/>
        <v>126.18116348748751</v>
      </c>
      <c r="G36" s="210">
        <f t="shared" si="3"/>
        <v>198.68405032411223</v>
      </c>
      <c r="H36" s="211">
        <f t="shared" si="1"/>
        <v>0.22200963044542338</v>
      </c>
      <c r="I36" s="209">
        <f t="shared" si="2"/>
        <v>0.23973776966625537</v>
      </c>
      <c r="J36" s="212"/>
    </row>
    <row r="37" spans="1:10">
      <c r="A37" s="208">
        <v>1952</v>
      </c>
      <c r="B37" s="209">
        <f>('[1]S&amp;P 500 &amp; Raw Data'!B28-'[1]S&amp;P 500 &amp; Raw Data'!B27+'[1]S&amp;P 500 &amp; Raw Data'!C28)/'[1]S&amp;P 500 &amp; Raw Data'!B27</f>
        <v>0.18150988641144306</v>
      </c>
      <c r="C37" s="209">
        <f>'[1]T. Bill rates'!G31</f>
        <v>1.6725E-2</v>
      </c>
      <c r="D37" s="209">
        <f>'[1]S&amp;P 500 &amp; Raw Data'!F28</f>
        <v>2.2679961918305656E-2</v>
      </c>
      <c r="E37" s="210">
        <f t="shared" si="3"/>
        <v>519.62413250918712</v>
      </c>
      <c r="F37" s="210">
        <f t="shared" si="3"/>
        <v>128.29154344681575</v>
      </c>
      <c r="G37" s="210">
        <f t="shared" si="3"/>
        <v>203.19019701923781</v>
      </c>
      <c r="H37" s="211">
        <f t="shared" si="1"/>
        <v>0.16478488641144307</v>
      </c>
      <c r="I37" s="209">
        <f t="shared" si="2"/>
        <v>0.1588299244931374</v>
      </c>
      <c r="J37" s="212"/>
    </row>
    <row r="38" spans="1:10">
      <c r="A38" s="208">
        <v>1953</v>
      </c>
      <c r="B38" s="209">
        <f>('[1]S&amp;P 500 &amp; Raw Data'!B29-'[1]S&amp;P 500 &amp; Raw Data'!B28+'[1]S&amp;P 500 &amp; Raw Data'!C29)/'[1]S&amp;P 500 &amp; Raw Data'!B28</f>
        <v>-1.2082047421904465E-2</v>
      </c>
      <c r="C38" s="209">
        <f>'[1]T. Bill rates'!G32</f>
        <v>1.8925000000000001E-2</v>
      </c>
      <c r="D38" s="209">
        <f>'[1]S&amp;P 500 &amp; Raw Data'!F29</f>
        <v>4.1438402589088513E-2</v>
      </c>
      <c r="E38" s="210">
        <f t="shared" si="3"/>
        <v>513.34600909864514</v>
      </c>
      <c r="F38" s="210">
        <f t="shared" si="3"/>
        <v>130.71946090654674</v>
      </c>
      <c r="G38" s="210">
        <f t="shared" si="3"/>
        <v>211.61007420547722</v>
      </c>
      <c r="H38" s="211">
        <f t="shared" si="1"/>
        <v>-3.1007047421904466E-2</v>
      </c>
      <c r="I38" s="209">
        <f t="shared" si="2"/>
        <v>-5.3520450010992981E-2</v>
      </c>
      <c r="J38" s="212"/>
    </row>
    <row r="39" spans="1:10">
      <c r="A39" s="208">
        <v>1954</v>
      </c>
      <c r="B39" s="209">
        <f>('[1]S&amp;P 500 &amp; Raw Data'!B30-'[1]S&amp;P 500 &amp; Raw Data'!B29+'[1]S&amp;P 500 &amp; Raw Data'!C30)/'[1]S&amp;P 500 &amp; Raw Data'!B29</f>
        <v>0.52563321241434902</v>
      </c>
      <c r="C39" s="209">
        <f>'[1]T. Bill rates'!G33</f>
        <v>9.6249999999999999E-3</v>
      </c>
      <c r="D39" s="209">
        <f>'[1]S&amp;P 500 &amp; Raw Data'!F30</f>
        <v>3.2898034558095555E-2</v>
      </c>
      <c r="E39" s="210">
        <f t="shared" si="3"/>
        <v>783.17772094125166</v>
      </c>
      <c r="F39" s="210">
        <f t="shared" si="3"/>
        <v>131.97763571777224</v>
      </c>
      <c r="G39" s="210">
        <f t="shared" si="3"/>
        <v>218.57162973953018</v>
      </c>
      <c r="H39" s="211">
        <f t="shared" si="1"/>
        <v>0.51600821241434902</v>
      </c>
      <c r="I39" s="209">
        <f t="shared" si="2"/>
        <v>0.49273517785625348</v>
      </c>
      <c r="J39" s="212"/>
    </row>
    <row r="40" spans="1:10">
      <c r="A40" s="208">
        <v>1955</v>
      </c>
      <c r="B40" s="209">
        <f>('[1]S&amp;P 500 &amp; Raw Data'!B31-'[1]S&amp;P 500 &amp; Raw Data'!B30+'[1]S&amp;P 500 &amp; Raw Data'!C31)/'[1]S&amp;P 500 &amp; Raw Data'!B30</f>
        <v>0.32597331851028349</v>
      </c>
      <c r="C40" s="209">
        <f>'[1]T. Bill rates'!G34</f>
        <v>1.66E-2</v>
      </c>
      <c r="D40" s="209">
        <f>'[1]S&amp;P 500 &amp; Raw Data'!F31</f>
        <v>-1.3364391288618781E-2</v>
      </c>
      <c r="E40" s="210">
        <f t="shared" si="3"/>
        <v>1038.4727616197922</v>
      </c>
      <c r="F40" s="210">
        <f t="shared" si="3"/>
        <v>134.16846447068727</v>
      </c>
      <c r="G40" s="210">
        <f t="shared" si="3"/>
        <v>215.65055295509998</v>
      </c>
      <c r="H40" s="211">
        <f t="shared" si="1"/>
        <v>0.30937331851028349</v>
      </c>
      <c r="I40" s="209">
        <f t="shared" si="2"/>
        <v>0.33933770979890227</v>
      </c>
      <c r="J40" s="212"/>
    </row>
    <row r="41" spans="1:10">
      <c r="A41" s="208">
        <v>1956</v>
      </c>
      <c r="B41" s="209">
        <f>('[1]S&amp;P 500 &amp; Raw Data'!B32-'[1]S&amp;P 500 &amp; Raw Data'!B31+'[1]S&amp;P 500 &amp; Raw Data'!C32)/'[1]S&amp;P 500 &amp; Raw Data'!B31</f>
        <v>7.4395118733509347E-2</v>
      </c>
      <c r="C41" s="209">
        <f>'[1]T. Bill rates'!G35</f>
        <v>2.5550000000000003E-2</v>
      </c>
      <c r="D41" s="209">
        <f>'[1]S&amp;P 500 &amp; Raw Data'!F32</f>
        <v>-2.2557738173154165E-2</v>
      </c>
      <c r="E41" s="210">
        <f t="shared" si="3"/>
        <v>1115.7300660220119</v>
      </c>
      <c r="F41" s="210">
        <f t="shared" si="3"/>
        <v>137.59646873791331</v>
      </c>
      <c r="G41" s="210">
        <f t="shared" si="3"/>
        <v>210.78596424464291</v>
      </c>
      <c r="H41" s="211">
        <f t="shared" si="1"/>
        <v>4.8845118733509343E-2</v>
      </c>
      <c r="I41" s="209">
        <f t="shared" si="2"/>
        <v>9.6952856906663512E-2</v>
      </c>
      <c r="J41" s="212"/>
    </row>
    <row r="42" spans="1:10">
      <c r="A42" s="208">
        <v>1957</v>
      </c>
      <c r="B42" s="209">
        <f>('[1]S&amp;P 500 &amp; Raw Data'!B33-'[1]S&amp;P 500 &amp; Raw Data'!B32+'[1]S&amp;P 500 &amp; Raw Data'!C33)/'[1]S&amp;P 500 &amp; Raw Data'!B32</f>
        <v>-0.1045736018855796</v>
      </c>
      <c r="C42" s="209">
        <f>'[1]T. Bill rates'!G36</f>
        <v>3.2300000000000002E-2</v>
      </c>
      <c r="D42" s="209">
        <f>'[1]S&amp;P 500 &amp; Raw Data'!F33</f>
        <v>6.7970128466249904E-2</v>
      </c>
      <c r="E42" s="210">
        <f t="shared" si="3"/>
        <v>999.05415428605454</v>
      </c>
      <c r="F42" s="210">
        <f t="shared" si="3"/>
        <v>142.04083467814792</v>
      </c>
      <c r="G42" s="210">
        <f t="shared" si="3"/>
        <v>225.11311331323367</v>
      </c>
      <c r="H42" s="211">
        <f t="shared" si="1"/>
        <v>-0.13687360188557959</v>
      </c>
      <c r="I42" s="209">
        <f t="shared" si="2"/>
        <v>-0.17254373035182952</v>
      </c>
      <c r="J42" s="212"/>
    </row>
    <row r="43" spans="1:10">
      <c r="A43" s="208">
        <v>1958</v>
      </c>
      <c r="B43" s="209">
        <f>('[1]S&amp;P 500 &amp; Raw Data'!B34-'[1]S&amp;P 500 &amp; Raw Data'!B33+'[1]S&amp;P 500 &amp; Raw Data'!C34)/'[1]S&amp;P 500 &amp; Raw Data'!B33</f>
        <v>0.43719954988747184</v>
      </c>
      <c r="C43" s="209">
        <f>'[1]T. Bill rates'!G37</f>
        <v>1.7774999999999999E-2</v>
      </c>
      <c r="D43" s="209">
        <f>'[1]S&amp;P 500 &amp; Raw Data'!F34</f>
        <v>-2.0990181755274694E-2</v>
      </c>
      <c r="E43" s="210">
        <f t="shared" si="3"/>
        <v>1435.8401808531264</v>
      </c>
      <c r="F43" s="210">
        <f t="shared" si="3"/>
        <v>144.56561051455202</v>
      </c>
      <c r="G43" s="210">
        <f t="shared" si="3"/>
        <v>220.38794814929315</v>
      </c>
      <c r="H43" s="211">
        <f t="shared" si="1"/>
        <v>0.41942454988747185</v>
      </c>
      <c r="I43" s="209">
        <f t="shared" si="2"/>
        <v>0.45818973164274651</v>
      </c>
      <c r="J43" s="212"/>
    </row>
    <row r="44" spans="1:10">
      <c r="A44" s="208">
        <v>1959</v>
      </c>
      <c r="B44" s="209">
        <f>('[1]S&amp;P 500 &amp; Raw Data'!B35-'[1]S&amp;P 500 &amp; Raw Data'!B34+'[1]S&amp;P 500 &amp; Raw Data'!C35)/'[1]S&amp;P 500 &amp; Raw Data'!B34</f>
        <v>0.12056457163557326</v>
      </c>
      <c r="C44" s="209">
        <f>'[1]T. Bill rates'!G38</f>
        <v>3.2549999999999996E-2</v>
      </c>
      <c r="D44" s="209">
        <f>'[1]S&amp;P 500 &amp; Raw Data'!F35</f>
        <v>-2.6466312591385065E-2</v>
      </c>
      <c r="E44" s="210">
        <f t="shared" si="3"/>
        <v>1608.9516371948275</v>
      </c>
      <c r="F44" s="210">
        <f t="shared" si="3"/>
        <v>149.2712211368007</v>
      </c>
      <c r="G44" s="210">
        <f t="shared" si="3"/>
        <v>214.55509182219998</v>
      </c>
      <c r="H44" s="211">
        <f t="shared" si="1"/>
        <v>8.801457163557326E-2</v>
      </c>
      <c r="I44" s="209">
        <f t="shared" si="2"/>
        <v>0.14703088422695831</v>
      </c>
      <c r="J44" s="212"/>
    </row>
    <row r="45" spans="1:10">
      <c r="A45" s="208">
        <v>1960</v>
      </c>
      <c r="B45" s="209">
        <f>('[1]S&amp;P 500 &amp; Raw Data'!B36-'[1]S&amp;P 500 &amp; Raw Data'!B35+'[1]S&amp;P 500 &amp; Raw Data'!C36)/'[1]S&amp;P 500 &amp; Raw Data'!B35</f>
        <v>3.36535314743695E-3</v>
      </c>
      <c r="C45" s="209">
        <f>'[1]T. Bill rates'!G39</f>
        <v>3.0449999999999998E-2</v>
      </c>
      <c r="D45" s="209">
        <f>'[1]S&amp;P 500 &amp; Raw Data'!F36</f>
        <v>0.11639503690963365</v>
      </c>
      <c r="E45" s="210">
        <f t="shared" si="3"/>
        <v>1614.366327651135</v>
      </c>
      <c r="F45" s="210">
        <f t="shared" si="3"/>
        <v>153.81652982041629</v>
      </c>
      <c r="G45" s="210">
        <f t="shared" si="3"/>
        <v>239.52823965399477</v>
      </c>
      <c r="H45" s="211">
        <f t="shared" si="1"/>
        <v>-2.7084646852563048E-2</v>
      </c>
      <c r="I45" s="209">
        <f t="shared" si="2"/>
        <v>-0.1130296837621967</v>
      </c>
      <c r="J45" s="211">
        <f>((E45/100)^(1/(A45-$A$13+1)))-((G45/100)^(1/(A45-$A$13+1)))</f>
        <v>6.1119788031217315E-2</v>
      </c>
    </row>
    <row r="46" spans="1:10">
      <c r="A46" s="208">
        <v>1961</v>
      </c>
      <c r="B46" s="209">
        <f>('[1]S&amp;P 500 &amp; Raw Data'!B37-'[1]S&amp;P 500 &amp; Raw Data'!B36+'[1]S&amp;P 500 &amp; Raw Data'!C37)/'[1]S&amp;P 500 &amp; Raw Data'!B36</f>
        <v>0.26637712958182752</v>
      </c>
      <c r="C46" s="209">
        <f>'[1]T. Bill rates'!G40</f>
        <v>2.2675000000000001E-2</v>
      </c>
      <c r="D46" s="209">
        <f>'[1]S&amp;P 500 &amp; Raw Data'!F37</f>
        <v>2.0609208076323167E-2</v>
      </c>
      <c r="E46" s="210">
        <f t="shared" ref="E46:G61" si="4">E45*(1+B46)</f>
        <v>2044.3965961044005</v>
      </c>
      <c r="F46" s="210">
        <f t="shared" si="4"/>
        <v>157.30431963409424</v>
      </c>
      <c r="G46" s="210">
        <f t="shared" si="4"/>
        <v>244.46472698517934</v>
      </c>
      <c r="H46" s="211">
        <f t="shared" si="1"/>
        <v>0.24370212958182752</v>
      </c>
      <c r="I46" s="209">
        <f t="shared" si="2"/>
        <v>0.24576792150550436</v>
      </c>
      <c r="J46" s="211">
        <f t="shared" ref="J46:J94" si="5">((E46/100)^(1/(A46-$A$13+1)))-((G46/100)^(1/(A46-$A$13+1)))</f>
        <v>6.6173591829972622E-2</v>
      </c>
    </row>
    <row r="47" spans="1:10">
      <c r="A47" s="208">
        <v>1962</v>
      </c>
      <c r="B47" s="209">
        <f>('[1]S&amp;P 500 &amp; Raw Data'!B38-'[1]S&amp;P 500 &amp; Raw Data'!B37+'[1]S&amp;P 500 &amp; Raw Data'!C38)/'[1]S&amp;P 500 &amp; Raw Data'!B37</f>
        <v>-8.8114605171208879E-2</v>
      </c>
      <c r="C47" s="209">
        <f>'[1]T. Bill rates'!G41</f>
        <v>2.7775000000000005E-2</v>
      </c>
      <c r="D47" s="209">
        <f>'[1]S&amp;P 500 &amp; Raw Data'!F38</f>
        <v>5.693544054008462E-2</v>
      </c>
      <c r="E47" s="210">
        <f t="shared" si="4"/>
        <v>1864.2553972252979</v>
      </c>
      <c r="F47" s="210">
        <f t="shared" si="4"/>
        <v>161.67344711193124</v>
      </c>
      <c r="G47" s="210">
        <f t="shared" si="4"/>
        <v>258.38343391259201</v>
      </c>
      <c r="H47" s="211">
        <f t="shared" si="1"/>
        <v>-0.11588960517120889</v>
      </c>
      <c r="I47" s="209">
        <f t="shared" si="2"/>
        <v>-0.14505004571129348</v>
      </c>
      <c r="J47" s="211">
        <f t="shared" si="5"/>
        <v>5.9683465378989942E-2</v>
      </c>
    </row>
    <row r="48" spans="1:10">
      <c r="A48" s="208">
        <v>1963</v>
      </c>
      <c r="B48" s="209">
        <f>('[1]S&amp;P 500 &amp; Raw Data'!B39-'[1]S&amp;P 500 &amp; Raw Data'!B38+'[1]S&amp;P 500 &amp; Raw Data'!C39)/'[1]S&amp;P 500 &amp; Raw Data'!B38</f>
        <v>0.22611927099841514</v>
      </c>
      <c r="C48" s="209">
        <f>'[1]T. Bill rates'!G42</f>
        <v>3.1100000000000003E-2</v>
      </c>
      <c r="D48" s="209">
        <f>'[1]S&amp;P 500 &amp; Raw Data'!F39</f>
        <v>1.6841620739546127E-2</v>
      </c>
      <c r="E48" s="210">
        <f t="shared" si="4"/>
        <v>2285.7994686007432</v>
      </c>
      <c r="F48" s="210">
        <f t="shared" si="4"/>
        <v>166.70149131711227</v>
      </c>
      <c r="G48" s="210">
        <f t="shared" si="4"/>
        <v>262.73502971192949</v>
      </c>
      <c r="H48" s="211">
        <f t="shared" si="1"/>
        <v>0.19501927099841515</v>
      </c>
      <c r="I48" s="209">
        <f t="shared" si="2"/>
        <v>0.20927765025886902</v>
      </c>
      <c r="J48" s="211">
        <f t="shared" si="5"/>
        <v>6.3618993911514821E-2</v>
      </c>
    </row>
    <row r="49" spans="1:10">
      <c r="A49" s="208">
        <v>1964</v>
      </c>
      <c r="B49" s="209">
        <f>('[1]S&amp;P 500 &amp; Raw Data'!B40-'[1]S&amp;P 500 &amp; Raw Data'!B39+'[1]S&amp;P 500 &amp; Raw Data'!C40)/'[1]S&amp;P 500 &amp; Raw Data'!B39</f>
        <v>0.16415455878432425</v>
      </c>
      <c r="C49" s="209">
        <f>'[1]T. Bill rates'!G43</f>
        <v>3.5049999999999998E-2</v>
      </c>
      <c r="D49" s="209">
        <f>'[1]S&amp;P 500 &amp; Raw Data'!F40</f>
        <v>3.7280648911540815E-2</v>
      </c>
      <c r="E49" s="210">
        <f t="shared" si="4"/>
        <v>2661.0238718383412</v>
      </c>
      <c r="F49" s="210">
        <f t="shared" si="4"/>
        <v>172.54437858777706</v>
      </c>
      <c r="G49" s="210">
        <f t="shared" si="4"/>
        <v>272.52996211138321</v>
      </c>
      <c r="H49" s="211">
        <f t="shared" si="1"/>
        <v>0.12910455878432425</v>
      </c>
      <c r="I49" s="209">
        <f t="shared" si="2"/>
        <v>0.12687390987278344</v>
      </c>
      <c r="J49" s="211">
        <f t="shared" si="5"/>
        <v>6.5267777442658215E-2</v>
      </c>
    </row>
    <row r="50" spans="1:10">
      <c r="A50" s="208">
        <v>1965</v>
      </c>
      <c r="B50" s="209">
        <f>('[1]S&amp;P 500 &amp; Raw Data'!B41-'[1]S&amp;P 500 &amp; Raw Data'!B40+'[1]S&amp;P 500 &amp; Raw Data'!C41)/'[1]S&amp;P 500 &amp; Raw Data'!B40</f>
        <v>0.12399242477876114</v>
      </c>
      <c r="C50" s="209">
        <f>'[1]T. Bill rates'!G44</f>
        <v>3.9024999999999997E-2</v>
      </c>
      <c r="D50" s="209">
        <f>'[1]S&amp;P 500 &amp; Raw Data'!F41</f>
        <v>7.1885509359262342E-3</v>
      </c>
      <c r="E50" s="210">
        <f t="shared" si="4"/>
        <v>2990.9706741017444</v>
      </c>
      <c r="F50" s="210">
        <f t="shared" si="4"/>
        <v>179.27792296216506</v>
      </c>
      <c r="G50" s="210">
        <f t="shared" si="4"/>
        <v>274.48905762558695</v>
      </c>
      <c r="H50" s="211">
        <f t="shared" si="1"/>
        <v>8.4967424778761153E-2</v>
      </c>
      <c r="I50" s="209">
        <f t="shared" si="2"/>
        <v>0.11680387384283492</v>
      </c>
      <c r="J50" s="211">
        <f t="shared" si="5"/>
        <v>6.6617941689874449E-2</v>
      </c>
    </row>
    <row r="51" spans="1:10">
      <c r="A51" s="208">
        <v>1966</v>
      </c>
      <c r="B51" s="209">
        <f>('[1]S&amp;P 500 &amp; Raw Data'!B42-'[1]S&amp;P 500 &amp; Raw Data'!B41+'[1]S&amp;P 500 &amp; Raw Data'!C42)/'[1]S&amp;P 500 &amp; Raw Data'!B41</f>
        <v>-9.9709542356377898E-2</v>
      </c>
      <c r="C51" s="209">
        <f>'[1]T. Bill rates'!G45</f>
        <v>4.8399999999999999E-2</v>
      </c>
      <c r="D51" s="209">
        <f>'[1]S&amp;P 500 &amp; Raw Data'!F42</f>
        <v>2.9079409324299622E-2</v>
      </c>
      <c r="E51" s="210">
        <f t="shared" si="4"/>
        <v>2692.7423569857124</v>
      </c>
      <c r="F51" s="210">
        <f t="shared" si="4"/>
        <v>187.95497443353386</v>
      </c>
      <c r="G51" s="210">
        <f t="shared" si="4"/>
        <v>282.47103728732264</v>
      </c>
      <c r="H51" s="211">
        <f t="shared" si="1"/>
        <v>-0.14810954235637791</v>
      </c>
      <c r="I51" s="209">
        <f t="shared" si="2"/>
        <v>-0.12878895168067753</v>
      </c>
      <c r="J51" s="211">
        <f t="shared" si="5"/>
        <v>6.1123719679815336E-2</v>
      </c>
    </row>
    <row r="52" spans="1:10">
      <c r="A52" s="208">
        <v>1967</v>
      </c>
      <c r="B52" s="209">
        <f>('[1]S&amp;P 500 &amp; Raw Data'!B43-'[1]S&amp;P 500 &amp; Raw Data'!B42+'[1]S&amp;P 500 &amp; Raw Data'!C43)/'[1]S&amp;P 500 &amp; Raw Data'!B42</f>
        <v>0.23802966513133328</v>
      </c>
      <c r="C52" s="209">
        <f>'[1]T. Bill rates'!G46</f>
        <v>4.3324999999999995E-2</v>
      </c>
      <c r="D52" s="209">
        <f>'[1]S&amp;P 500 &amp; Raw Data'!F43</f>
        <v>-1.5806209932824666E-2</v>
      </c>
      <c r="E52" s="210">
        <f t="shared" si="4"/>
        <v>3333.6949185039784</v>
      </c>
      <c r="F52" s="210">
        <f t="shared" si="4"/>
        <v>196.09812370086672</v>
      </c>
      <c r="G52" s="210">
        <f t="shared" si="4"/>
        <v>278.0062407720165</v>
      </c>
      <c r="H52" s="211">
        <f t="shared" si="1"/>
        <v>0.19470466513133328</v>
      </c>
      <c r="I52" s="209">
        <f t="shared" si="2"/>
        <v>0.25383587506415795</v>
      </c>
      <c r="J52" s="211">
        <f t="shared" si="5"/>
        <v>6.5732838776739522E-2</v>
      </c>
    </row>
    <row r="53" spans="1:10">
      <c r="A53" s="208">
        <v>1968</v>
      </c>
      <c r="B53" s="209">
        <f>('[1]S&amp;P 500 &amp; Raw Data'!B44-'[1]S&amp;P 500 &amp; Raw Data'!B43+'[1]S&amp;P 500 &amp; Raw Data'!C44)/'[1]S&amp;P 500 &amp; Raw Data'!B43</f>
        <v>0.10814862651601535</v>
      </c>
      <c r="C53" s="209">
        <f>'[1]T. Bill rates'!G47</f>
        <v>5.2600000000000001E-2</v>
      </c>
      <c r="D53" s="209">
        <f>'[1]S&amp;P 500 &amp; Raw Data'!F44</f>
        <v>3.2746196950768365E-2</v>
      </c>
      <c r="E53" s="210">
        <f t="shared" si="4"/>
        <v>3694.2294451636035</v>
      </c>
      <c r="F53" s="210">
        <f t="shared" si="4"/>
        <v>206.41288500753231</v>
      </c>
      <c r="G53" s="210">
        <f t="shared" si="4"/>
        <v>287.10988788587969</v>
      </c>
      <c r="H53" s="211">
        <f t="shared" si="1"/>
        <v>5.5548626516015352E-2</v>
      </c>
      <c r="I53" s="209">
        <f t="shared" si="2"/>
        <v>7.5402429565246981E-2</v>
      </c>
      <c r="J53" s="211">
        <f t="shared" si="5"/>
        <v>6.596627828748769E-2</v>
      </c>
    </row>
    <row r="54" spans="1:10">
      <c r="A54" s="208">
        <v>1969</v>
      </c>
      <c r="B54" s="209">
        <f>('[1]S&amp;P 500 &amp; Raw Data'!B45-'[1]S&amp;P 500 &amp; Raw Data'!B44+'[1]S&amp;P 500 &amp; Raw Data'!C45)/'[1]S&amp;P 500 &amp; Raw Data'!B44</f>
        <v>-8.2413710764490639E-2</v>
      </c>
      <c r="C54" s="209">
        <f>'[1]T. Bill rates'!G48</f>
        <v>6.5625000000000003E-2</v>
      </c>
      <c r="D54" s="209">
        <f>'[1]S&amp;P 500 &amp; Raw Data'!F45</f>
        <v>-5.0140493209926106E-2</v>
      </c>
      <c r="E54" s="210">
        <f t="shared" si="4"/>
        <v>3389.7742881722256</v>
      </c>
      <c r="F54" s="210">
        <f t="shared" si="4"/>
        <v>219.95873058615163</v>
      </c>
      <c r="G54" s="210">
        <f t="shared" si="4"/>
        <v>272.7140565018351</v>
      </c>
      <c r="H54" s="211">
        <f t="shared" si="1"/>
        <v>-0.14803871076449066</v>
      </c>
      <c r="I54" s="209">
        <f t="shared" si="2"/>
        <v>-3.2273217554564533E-2</v>
      </c>
      <c r="J54" s="211">
        <f t="shared" si="5"/>
        <v>6.3333872734198771E-2</v>
      </c>
    </row>
    <row r="55" spans="1:10">
      <c r="A55" s="208">
        <v>1970</v>
      </c>
      <c r="B55" s="209">
        <f>('[1]S&amp;P 500 &amp; Raw Data'!B46-'[1]S&amp;P 500 &amp; Raw Data'!B45+'[1]S&amp;P 500 &amp; Raw Data'!C46)/'[1]S&amp;P 500 &amp; Raw Data'!B45</f>
        <v>3.5611449054964189E-2</v>
      </c>
      <c r="C55" s="209">
        <f>'[1]T. Bill rates'!G49</f>
        <v>6.6849999999999993E-2</v>
      </c>
      <c r="D55" s="209">
        <f>'[1]S&amp;P 500 &amp; Raw Data'!F46</f>
        <v>0.16754737183412338</v>
      </c>
      <c r="E55" s="210">
        <f t="shared" si="4"/>
        <v>3510.4890625432981</v>
      </c>
      <c r="F55" s="210">
        <f t="shared" si="4"/>
        <v>234.66297172583589</v>
      </c>
      <c r="G55" s="210">
        <f t="shared" si="4"/>
        <v>318.40657993094021</v>
      </c>
      <c r="H55" s="211">
        <f t="shared" si="1"/>
        <v>-3.1238550945035803E-2</v>
      </c>
      <c r="I55" s="209">
        <f t="shared" si="2"/>
        <v>-0.13193592277915919</v>
      </c>
      <c r="J55" s="211">
        <f t="shared" si="5"/>
        <v>5.8972566666315007E-2</v>
      </c>
    </row>
    <row r="56" spans="1:10">
      <c r="A56" s="208">
        <v>1971</v>
      </c>
      <c r="B56" s="209">
        <f>('[1]S&amp;P 500 &amp; Raw Data'!B47-'[1]S&amp;P 500 &amp; Raw Data'!B46+'[1]S&amp;P 500 &amp; Raw Data'!C47)/'[1]S&amp;P 500 &amp; Raw Data'!B46</f>
        <v>0.14221150298426474</v>
      </c>
      <c r="C56" s="209">
        <f>'[1]T. Bill rates'!G50</f>
        <v>4.5400000000000003E-2</v>
      </c>
      <c r="D56" s="209">
        <f>'[1]S&amp;P 500 &amp; Raw Data'!F47</f>
        <v>9.7868966197122972E-2</v>
      </c>
      <c r="E56" s="210">
        <f t="shared" si="4"/>
        <v>4009.720988337403</v>
      </c>
      <c r="F56" s="210">
        <f t="shared" si="4"/>
        <v>245.31667064218885</v>
      </c>
      <c r="G56" s="210">
        <f t="shared" si="4"/>
        <v>349.56870273914296</v>
      </c>
      <c r="H56" s="211">
        <f t="shared" si="1"/>
        <v>9.6811502984264747E-2</v>
      </c>
      <c r="I56" s="209">
        <f t="shared" si="2"/>
        <v>4.434253678714177E-2</v>
      </c>
      <c r="J56" s="211">
        <f t="shared" si="5"/>
        <v>5.8660636809878541E-2</v>
      </c>
    </row>
    <row r="57" spans="1:10">
      <c r="A57" s="208">
        <v>1972</v>
      </c>
      <c r="B57" s="209">
        <f>('[1]S&amp;P 500 &amp; Raw Data'!B48-'[1]S&amp;P 500 &amp; Raw Data'!B47+'[1]S&amp;P 500 &amp; Raw Data'!C48)/'[1]S&amp;P 500 &amp; Raw Data'!B47</f>
        <v>0.18755362915074925</v>
      </c>
      <c r="C57" s="209">
        <f>'[1]T. Bill rates'!G51</f>
        <v>3.9525000000000005E-2</v>
      </c>
      <c r="D57" s="209">
        <f>'[1]S&amp;P 500 &amp; Raw Data'!F48</f>
        <v>2.818449050444969E-2</v>
      </c>
      <c r="E57" s="210">
        <f t="shared" si="4"/>
        <v>4761.7587115820115</v>
      </c>
      <c r="F57" s="210">
        <f t="shared" si="4"/>
        <v>255.01281204932138</v>
      </c>
      <c r="G57" s="210">
        <f t="shared" si="4"/>
        <v>359.42111852214714</v>
      </c>
      <c r="H57" s="211">
        <f t="shared" si="1"/>
        <v>0.14802862915074924</v>
      </c>
      <c r="I57" s="209">
        <f t="shared" si="2"/>
        <v>0.15936913864629956</v>
      </c>
      <c r="J57" s="211">
        <f t="shared" si="5"/>
        <v>6.0804303728189568E-2</v>
      </c>
    </row>
    <row r="58" spans="1:10">
      <c r="A58" s="208">
        <v>1973</v>
      </c>
      <c r="B58" s="209">
        <f>('[1]S&amp;P 500 &amp; Raw Data'!B49-'[1]S&amp;P 500 &amp; Raw Data'!B48+'[1]S&amp;P 500 &amp; Raw Data'!C49)/'[1]S&amp;P 500 &amp; Raw Data'!B48</f>
        <v>-0.14308047437526472</v>
      </c>
      <c r="C58" s="209">
        <f>'[1]T. Bill rates'!G52</f>
        <v>6.724999999999999E-2</v>
      </c>
      <c r="D58" s="209">
        <f>'[1]S&amp;P 500 &amp; Raw Data'!F49</f>
        <v>3.6586646024150085E-2</v>
      </c>
      <c r="E58" s="210">
        <f t="shared" si="4"/>
        <v>4080.4440162683081</v>
      </c>
      <c r="F58" s="210">
        <f t="shared" si="4"/>
        <v>272.16242365963825</v>
      </c>
      <c r="G58" s="210">
        <f t="shared" si="4"/>
        <v>372.57113175912104</v>
      </c>
      <c r="H58" s="211">
        <f t="shared" si="1"/>
        <v>-0.2103304743752647</v>
      </c>
      <c r="I58" s="209">
        <f t="shared" si="2"/>
        <v>-0.17966712039941479</v>
      </c>
      <c r="J58" s="211">
        <f t="shared" si="5"/>
        <v>5.4960045718843054E-2</v>
      </c>
    </row>
    <row r="59" spans="1:10">
      <c r="A59" s="208">
        <v>1974</v>
      </c>
      <c r="B59" s="209">
        <f>('[1]S&amp;P 500 &amp; Raw Data'!B50-'[1]S&amp;P 500 &amp; Raw Data'!B49+'[1]S&amp;P 500 &amp; Raw Data'!C50)/'[1]S&amp;P 500 &amp; Raw Data'!B49</f>
        <v>-0.25901785750896972</v>
      </c>
      <c r="C59" s="209">
        <f>'[1]T. Bill rates'!G53</f>
        <v>7.7775000000000011E-2</v>
      </c>
      <c r="D59" s="209">
        <f>'[1]S&amp;P 500 &amp; Raw Data'!F50</f>
        <v>1.9886086932378574E-2</v>
      </c>
      <c r="E59" s="210">
        <f t="shared" si="4"/>
        <v>3023.5361494891954</v>
      </c>
      <c r="F59" s="210">
        <f t="shared" si="4"/>
        <v>293.32985615976662</v>
      </c>
      <c r="G59" s="210">
        <f t="shared" si="4"/>
        <v>379.98011367377757</v>
      </c>
      <c r="H59" s="211">
        <f t="shared" si="1"/>
        <v>-0.3367928575089697</v>
      </c>
      <c r="I59" s="209">
        <f t="shared" si="2"/>
        <v>-0.27890394444134831</v>
      </c>
      <c r="J59" s="211">
        <f t="shared" si="5"/>
        <v>4.6417018581159875E-2</v>
      </c>
    </row>
    <row r="60" spans="1:10">
      <c r="A60" s="208">
        <v>1975</v>
      </c>
      <c r="B60" s="209">
        <f>('[1]S&amp;P 500 &amp; Raw Data'!B51-'[1]S&amp;P 500 &amp; Raw Data'!B50+'[1]S&amp;P 500 &amp; Raw Data'!C51)/'[1]S&amp;P 500 &amp; Raw Data'!B50</f>
        <v>0.36995137106184356</v>
      </c>
      <c r="C60" s="209">
        <f>'[1]T. Bill rates'!G54</f>
        <v>5.9900000000000002E-2</v>
      </c>
      <c r="D60" s="209">
        <f>'[1]S&amp;P 500 &amp; Raw Data'!F51</f>
        <v>3.6052536026033838E-2</v>
      </c>
      <c r="E60" s="210">
        <f t="shared" si="4"/>
        <v>4142.0974934477708</v>
      </c>
      <c r="F60" s="210">
        <f t="shared" si="4"/>
        <v>310.90031454373667</v>
      </c>
      <c r="G60" s="210">
        <f t="shared" si="4"/>
        <v>393.67936041117781</v>
      </c>
      <c r="H60" s="211">
        <f t="shared" si="1"/>
        <v>0.31005137106184355</v>
      </c>
      <c r="I60" s="209">
        <f t="shared" si="2"/>
        <v>0.33389883503580975</v>
      </c>
      <c r="J60" s="211">
        <f t="shared" si="5"/>
        <v>5.1706756781676244E-2</v>
      </c>
    </row>
    <row r="61" spans="1:10">
      <c r="A61" s="208">
        <v>1976</v>
      </c>
      <c r="B61" s="209">
        <f>('[1]S&amp;P 500 &amp; Raw Data'!B52-'[1]S&amp;P 500 &amp; Raw Data'!B51+'[1]S&amp;P 500 &amp; Raw Data'!C52)/'[1]S&amp;P 500 &amp; Raw Data'!B51</f>
        <v>0.23830999002106662</v>
      </c>
      <c r="C61" s="209">
        <f>'[1]T. Bill rates'!G55</f>
        <v>4.9700000000000008E-2</v>
      </c>
      <c r="D61" s="209">
        <f>'[1]S&amp;P 500 &amp; Raw Data'!F52</f>
        <v>0.1598456074290921</v>
      </c>
      <c r="E61" s="210">
        <f t="shared" si="4"/>
        <v>5129.2007057775936</v>
      </c>
      <c r="F61" s="210">
        <f t="shared" si="4"/>
        <v>326.35206017656043</v>
      </c>
      <c r="G61" s="210">
        <f t="shared" si="4"/>
        <v>456.607276908399</v>
      </c>
      <c r="H61" s="211">
        <f t="shared" si="1"/>
        <v>0.1886099900210666</v>
      </c>
      <c r="I61" s="209">
        <f t="shared" si="2"/>
        <v>7.8464382591974524E-2</v>
      </c>
      <c r="J61" s="211">
        <f t="shared" si="5"/>
        <v>5.2196588038950109E-2</v>
      </c>
    </row>
    <row r="62" spans="1:10">
      <c r="A62" s="208">
        <v>1977</v>
      </c>
      <c r="B62" s="209">
        <f>('[1]S&amp;P 500 &amp; Raw Data'!B53-'[1]S&amp;P 500 &amp; Raw Data'!B52+'[1]S&amp;P 500 &amp; Raw Data'!C53)/'[1]S&amp;P 500 &amp; Raw Data'!B52</f>
        <v>-6.9797040759352322E-2</v>
      </c>
      <c r="C62" s="209">
        <f>'[1]T. Bill rates'!G56</f>
        <v>5.1275000000000001E-2</v>
      </c>
      <c r="D62" s="209">
        <f>'[1]S&amp;P 500 &amp; Raw Data'!F53</f>
        <v>1.2899606071070449E-2</v>
      </c>
      <c r="E62" s="210">
        <f t="shared" ref="E62:G77" si="6">E61*(1+B62)</f>
        <v>4771.1976750535359</v>
      </c>
      <c r="F62" s="210">
        <f t="shared" si="6"/>
        <v>343.08576206211353</v>
      </c>
      <c r="G62" s="210">
        <f t="shared" si="6"/>
        <v>462.49733090970153</v>
      </c>
      <c r="H62" s="211">
        <f t="shared" si="1"/>
        <v>-0.12107204075935232</v>
      </c>
      <c r="I62" s="209">
        <f t="shared" si="2"/>
        <v>-8.2696646830422771E-2</v>
      </c>
      <c r="J62" s="211">
        <f t="shared" si="5"/>
        <v>4.9266761357046551E-2</v>
      </c>
    </row>
    <row r="63" spans="1:10">
      <c r="A63" s="208">
        <v>1978</v>
      </c>
      <c r="B63" s="209">
        <f>('[1]S&amp;P 500 &amp; Raw Data'!B54-'[1]S&amp;P 500 &amp; Raw Data'!B53+'[1]S&amp;P 500 &amp; Raw Data'!C54)/'[1]S&amp;P 500 &amp; Raw Data'!B53</f>
        <v>6.50928391167193E-2</v>
      </c>
      <c r="C63" s="209">
        <f>'[1]T. Bill rates'!G57</f>
        <v>6.9325000000000012E-2</v>
      </c>
      <c r="D63" s="209">
        <f>'[1]S&amp;P 500 &amp; Raw Data'!F54</f>
        <v>-7.7758069075086478E-3</v>
      </c>
      <c r="E63" s="210">
        <f t="shared" si="6"/>
        <v>5081.7684777098611</v>
      </c>
      <c r="F63" s="210">
        <f t="shared" si="6"/>
        <v>366.87018251706957</v>
      </c>
      <c r="G63" s="210">
        <f t="shared" si="6"/>
        <v>458.90104096930958</v>
      </c>
      <c r="H63" s="211">
        <f t="shared" si="1"/>
        <v>-4.2321608832807112E-3</v>
      </c>
      <c r="I63" s="209">
        <f t="shared" si="2"/>
        <v>7.2868646024227948E-2</v>
      </c>
      <c r="J63" s="211">
        <f t="shared" si="5"/>
        <v>4.9741898913203242E-2</v>
      </c>
    </row>
    <row r="64" spans="1:10">
      <c r="A64" s="208">
        <v>1979</v>
      </c>
      <c r="B64" s="209">
        <f>('[1]S&amp;P 500 &amp; Raw Data'!B55-'[1]S&amp;P 500 &amp; Raw Data'!B54+'[1]S&amp;P 500 &amp; Raw Data'!C55)/'[1]S&amp;P 500 &amp; Raw Data'!B54</f>
        <v>0.18519490167516386</v>
      </c>
      <c r="C64" s="209">
        <f>'[1]T. Bill rates'!G58</f>
        <v>9.9375000000000005E-2</v>
      </c>
      <c r="D64" s="209">
        <f>'[1]S&amp;P 500 &amp; Raw Data'!F55</f>
        <v>6.7072031247235459E-3</v>
      </c>
      <c r="E64" s="210">
        <f t="shared" si="6"/>
        <v>6022.8860912752862</v>
      </c>
      <c r="F64" s="210">
        <f t="shared" si="6"/>
        <v>403.32790690470335</v>
      </c>
      <c r="G64" s="210">
        <f t="shared" si="6"/>
        <v>461.97898346523777</v>
      </c>
      <c r="H64" s="211">
        <f t="shared" si="1"/>
        <v>8.5819901675163859E-2</v>
      </c>
      <c r="I64" s="209">
        <f t="shared" si="2"/>
        <v>0.17848769855044033</v>
      </c>
      <c r="J64" s="211">
        <f t="shared" si="5"/>
        <v>5.2132252828986925E-2</v>
      </c>
    </row>
    <row r="65" spans="1:10">
      <c r="A65" s="208">
        <v>1980</v>
      </c>
      <c r="B65" s="209">
        <f>('[1]S&amp;P 500 &amp; Raw Data'!B56-'[1]S&amp;P 500 &amp; Raw Data'!B55+'[1]S&amp;P 500 &amp; Raw Data'!C56)/'[1]S&amp;P 500 &amp; Raw Data'!B55</f>
        <v>0.3173524550676301</v>
      </c>
      <c r="C65" s="209">
        <f>'[1]T. Bill rates'!G59</f>
        <v>0.11219999999999999</v>
      </c>
      <c r="D65" s="209">
        <f>'[1]S&amp;P 500 &amp; Raw Data'!F56</f>
        <v>-2.989744251999403E-2</v>
      </c>
      <c r="E65" s="210">
        <f t="shared" si="6"/>
        <v>7934.2637789341807</v>
      </c>
      <c r="F65" s="210">
        <f t="shared" si="6"/>
        <v>448.5812980594111</v>
      </c>
      <c r="G65" s="210">
        <f t="shared" si="6"/>
        <v>448.16699336164055</v>
      </c>
      <c r="H65" s="211">
        <f t="shared" si="1"/>
        <v>0.20515245506763011</v>
      </c>
      <c r="I65" s="209">
        <f t="shared" si="2"/>
        <v>0.34724989758762415</v>
      </c>
      <c r="J65" s="211">
        <f t="shared" si="5"/>
        <v>5.7318705257589642E-2</v>
      </c>
    </row>
    <row r="66" spans="1:10">
      <c r="A66" s="208">
        <v>1981</v>
      </c>
      <c r="B66" s="209">
        <f>('[1]S&amp;P 500 &amp; Raw Data'!B57-'[1]S&amp;P 500 &amp; Raw Data'!B56+'[1]S&amp;P 500 &amp; Raw Data'!C57)/'[1]S&amp;P 500 &amp; Raw Data'!B56</f>
        <v>-4.7023902474955762E-2</v>
      </c>
      <c r="C66" s="209">
        <f>'[1]T. Bill rates'!G60</f>
        <v>0.14299999999999999</v>
      </c>
      <c r="D66" s="209">
        <f>'[1]S&amp;P 500 &amp; Raw Data'!F57</f>
        <v>8.1992153358923542E-2</v>
      </c>
      <c r="E66" s="210">
        <f t="shared" si="6"/>
        <v>7561.1637327830058</v>
      </c>
      <c r="F66" s="210">
        <f t="shared" si="6"/>
        <v>512.72842368190686</v>
      </c>
      <c r="G66" s="210">
        <f t="shared" si="6"/>
        <v>484.91317021175587</v>
      </c>
      <c r="H66" s="211">
        <f t="shared" si="1"/>
        <v>-0.19002390247495576</v>
      </c>
      <c r="I66" s="209">
        <f t="shared" si="2"/>
        <v>-0.12901605583387932</v>
      </c>
      <c r="J66" s="211">
        <f t="shared" si="5"/>
        <v>5.3730990468644491E-2</v>
      </c>
    </row>
    <row r="67" spans="1:10">
      <c r="A67" s="208">
        <v>1982</v>
      </c>
      <c r="B67" s="209">
        <f>('[1]S&amp;P 500 &amp; Raw Data'!B58-'[1]S&amp;P 500 &amp; Raw Data'!B57+'[1]S&amp;P 500 &amp; Raw Data'!C58)/'[1]S&amp;P 500 &amp; Raw Data'!B57</f>
        <v>0.20419055079559353</v>
      </c>
      <c r="C67" s="209">
        <f>'[1]T. Bill rates'!G61</f>
        <v>0.1101</v>
      </c>
      <c r="D67" s="209">
        <f>'[1]S&amp;P 500 &amp; Raw Data'!F58</f>
        <v>0.32814549486295586</v>
      </c>
      <c r="E67" s="210">
        <f t="shared" si="6"/>
        <v>9105.0819200356327</v>
      </c>
      <c r="F67" s="210">
        <f t="shared" si="6"/>
        <v>569.17982312928484</v>
      </c>
      <c r="G67" s="210">
        <f t="shared" si="6"/>
        <v>644.03524241645721</v>
      </c>
      <c r="H67" s="211">
        <f t="shared" si="1"/>
        <v>9.4090550795593531E-2</v>
      </c>
      <c r="I67" s="209">
        <f t="shared" si="2"/>
        <v>-0.12395494406736232</v>
      </c>
      <c r="J67" s="211">
        <f t="shared" si="5"/>
        <v>5.1038688692139678E-2</v>
      </c>
    </row>
    <row r="68" spans="1:10">
      <c r="A68" s="208">
        <v>1983</v>
      </c>
      <c r="B68" s="209">
        <f>('[1]S&amp;P 500 &amp; Raw Data'!B59-'[1]S&amp;P 500 &amp; Raw Data'!B58+'[1]S&amp;P 500 &amp; Raw Data'!C59)/'[1]S&amp;P 500 &amp; Raw Data'!B58</f>
        <v>0.22337155858930619</v>
      </c>
      <c r="C68" s="209">
        <f>'[1]T. Bill rates'!G62</f>
        <v>8.4474999999999995E-2</v>
      </c>
      <c r="D68" s="209">
        <f>'[1]S&amp;P 500 &amp; Raw Data'!F59</f>
        <v>3.2002094451429264E-2</v>
      </c>
      <c r="E68" s="210">
        <f t="shared" si="6"/>
        <v>11138.898259597305</v>
      </c>
      <c r="F68" s="210">
        <f t="shared" si="6"/>
        <v>617.26128868813123</v>
      </c>
      <c r="G68" s="210">
        <f t="shared" si="6"/>
        <v>664.64571907431775</v>
      </c>
      <c r="H68" s="211">
        <f t="shared" si="1"/>
        <v>0.13889655858930619</v>
      </c>
      <c r="I68" s="209">
        <f t="shared" si="2"/>
        <v>0.19136946413787692</v>
      </c>
      <c r="J68" s="211">
        <f t="shared" si="5"/>
        <v>5.3402830654563971E-2</v>
      </c>
    </row>
    <row r="69" spans="1:10">
      <c r="A69" s="208">
        <v>1984</v>
      </c>
      <c r="B69" s="209">
        <f>('[1]S&amp;P 500 &amp; Raw Data'!B60-'[1]S&amp;P 500 &amp; Raw Data'!B59+'[1]S&amp;P 500 &amp; Raw Data'!C60)/'[1]S&amp;P 500 &amp; Raw Data'!B59</f>
        <v>6.14614199963621E-2</v>
      </c>
      <c r="C69" s="209">
        <f>'[1]T. Bill rates'!G63</f>
        <v>9.6125000000000002E-2</v>
      </c>
      <c r="D69" s="209">
        <f>'[1]S&amp;P 500 &amp; Raw Data'!F60</f>
        <v>0.13733364344102345</v>
      </c>
      <c r="E69" s="210">
        <f t="shared" si="6"/>
        <v>11823.510763827162</v>
      </c>
      <c r="F69" s="210">
        <f t="shared" si="6"/>
        <v>676.59553006327781</v>
      </c>
      <c r="G69" s="210">
        <f t="shared" si="6"/>
        <v>755.92393727227272</v>
      </c>
      <c r="H69" s="211">
        <f t="shared" si="1"/>
        <v>-3.4663580003637902E-2</v>
      </c>
      <c r="I69" s="209">
        <f t="shared" si="2"/>
        <v>-7.5872223444661352E-2</v>
      </c>
      <c r="J69" s="211">
        <f t="shared" si="5"/>
        <v>5.1212126318051387E-2</v>
      </c>
    </row>
    <row r="70" spans="1:10">
      <c r="A70" s="208">
        <v>1985</v>
      </c>
      <c r="B70" s="209">
        <f>('[1]S&amp;P 500 &amp; Raw Data'!B61-'[1]S&amp;P 500 &amp; Raw Data'!B60+'[1]S&amp;P 500 &amp; Raw Data'!C61)/'[1]S&amp;P 500 &amp; Raw Data'!B60</f>
        <v>0.31235149485768948</v>
      </c>
      <c r="C70" s="209">
        <f>'[1]T. Bill rates'!G64</f>
        <v>7.4874999999999997E-2</v>
      </c>
      <c r="D70" s="209">
        <f>'[1]S&amp;P 500 &amp; Raw Data'!F61</f>
        <v>0.2571248821260641</v>
      </c>
      <c r="E70" s="210">
        <f t="shared" si="6"/>
        <v>15516.602025374559</v>
      </c>
      <c r="F70" s="210">
        <f t="shared" si="6"/>
        <v>727.25562037676571</v>
      </c>
      <c r="G70" s="210">
        <f t="shared" si="6"/>
        <v>950.2907905396761</v>
      </c>
      <c r="H70" s="211">
        <f t="shared" si="1"/>
        <v>0.23747649485768949</v>
      </c>
      <c r="I70" s="209">
        <f t="shared" si="2"/>
        <v>5.522661273162538E-2</v>
      </c>
      <c r="J70" s="211">
        <f t="shared" si="5"/>
        <v>5.1284365102581608E-2</v>
      </c>
    </row>
    <row r="71" spans="1:10">
      <c r="A71" s="208">
        <v>1986</v>
      </c>
      <c r="B71" s="209">
        <f>('[1]S&amp;P 500 &amp; Raw Data'!B62-'[1]S&amp;P 500 &amp; Raw Data'!B61+'[1]S&amp;P 500 &amp; Raw Data'!C62)/'[1]S&amp;P 500 &amp; Raw Data'!B61</f>
        <v>0.18494578758046187</v>
      </c>
      <c r="C71" s="209">
        <f>'[1]T. Bill rates'!G65</f>
        <v>6.0350000000000001E-2</v>
      </c>
      <c r="D71" s="209">
        <f>'[1]S&amp;P 500 &amp; Raw Data'!F62</f>
        <v>0.24284215141767618</v>
      </c>
      <c r="E71" s="210">
        <f t="shared" si="6"/>
        <v>18386.332207530046</v>
      </c>
      <c r="F71" s="210">
        <f t="shared" si="6"/>
        <v>771.14549706650348</v>
      </c>
      <c r="G71" s="210">
        <f t="shared" si="6"/>
        <v>1181.0614505867354</v>
      </c>
      <c r="H71" s="211">
        <f t="shared" si="1"/>
        <v>0.12459578758046187</v>
      </c>
      <c r="I71" s="209">
        <f t="shared" si="2"/>
        <v>-5.7896363837214304E-2</v>
      </c>
      <c r="J71" s="211">
        <f t="shared" si="5"/>
        <v>4.9663565599739057E-2</v>
      </c>
    </row>
    <row r="72" spans="1:10">
      <c r="A72" s="208">
        <v>1987</v>
      </c>
      <c r="B72" s="209">
        <f>('[1]S&amp;P 500 &amp; Raw Data'!B63-'[1]S&amp;P 500 &amp; Raw Data'!B62+'[1]S&amp;P 500 &amp; Raw Data'!C63)/'[1]S&amp;P 500 &amp; Raw Data'!B62</f>
        <v>5.8127216418218712E-2</v>
      </c>
      <c r="C72" s="209">
        <f>'[1]T. Bill rates'!G66</f>
        <v>5.7224999999999998E-2</v>
      </c>
      <c r="D72" s="209">
        <f>'[1]S&amp;P 500 &amp; Raw Data'!F63</f>
        <v>-4.9605089379262279E-2</v>
      </c>
      <c r="E72" s="210">
        <f t="shared" si="6"/>
        <v>19455.07851889441</v>
      </c>
      <c r="F72" s="210">
        <f t="shared" si="6"/>
        <v>815.27429813613423</v>
      </c>
      <c r="G72" s="210">
        <f t="shared" si="6"/>
        <v>1122.4747917679792</v>
      </c>
      <c r="H72" s="211">
        <f t="shared" si="1"/>
        <v>9.0221641821871396E-4</v>
      </c>
      <c r="I72" s="209">
        <f t="shared" si="2"/>
        <v>0.107732305797481</v>
      </c>
      <c r="J72" s="211">
        <f t="shared" si="5"/>
        <v>5.0693590437507208E-2</v>
      </c>
    </row>
    <row r="73" spans="1:10">
      <c r="A73" s="208">
        <v>1988</v>
      </c>
      <c r="B73" s="209">
        <f>('[1]S&amp;P 500 &amp; Raw Data'!B64-'[1]S&amp;P 500 &amp; Raw Data'!B63+'[1]S&amp;P 500 &amp; Raw Data'!C64)/'[1]S&amp;P 500 &amp; Raw Data'!B63</f>
        <v>0.16537192812044688</v>
      </c>
      <c r="C73" s="209">
        <f>'[1]T. Bill rates'!G67</f>
        <v>6.4499999999999988E-2</v>
      </c>
      <c r="D73" s="209">
        <f>'[1]S&amp;P 500 &amp; Raw Data'!F64</f>
        <v>8.2235958434841674E-2</v>
      </c>
      <c r="E73" s="210">
        <f t="shared" si="6"/>
        <v>22672.402365298665</v>
      </c>
      <c r="F73" s="210">
        <f t="shared" si="6"/>
        <v>867.85949036591489</v>
      </c>
      <c r="G73" s="210">
        <f t="shared" si="6"/>
        <v>1214.7825820879684</v>
      </c>
      <c r="H73" s="211">
        <f t="shared" si="1"/>
        <v>0.10087192812044689</v>
      </c>
      <c r="I73" s="209">
        <f t="shared" si="2"/>
        <v>8.3135969685605202E-2</v>
      </c>
      <c r="J73" s="211">
        <f t="shared" si="5"/>
        <v>5.1199933578993884E-2</v>
      </c>
    </row>
    <row r="74" spans="1:10">
      <c r="A74" s="208">
        <v>1989</v>
      </c>
      <c r="B74" s="209">
        <f>('[1]S&amp;P 500 &amp; Raw Data'!B65-'[1]S&amp;P 500 &amp; Raw Data'!B64+'[1]S&amp;P 500 &amp; Raw Data'!C65)/'[1]S&amp;P 500 &amp; Raw Data'!B64</f>
        <v>0.31475183638196724</v>
      </c>
      <c r="C74" s="209">
        <f>'[1]T. Bill rates'!G68</f>
        <v>8.1099999999999992E-2</v>
      </c>
      <c r="D74" s="209">
        <f>'[1]S&amp;P 500 &amp; Raw Data'!F65</f>
        <v>0.17693647159446219</v>
      </c>
      <c r="E74" s="210">
        <f t="shared" si="6"/>
        <v>29808.582644967279</v>
      </c>
      <c r="F74" s="210">
        <f t="shared" si="6"/>
        <v>938.24289503459056</v>
      </c>
      <c r="G74" s="210">
        <f t="shared" si="6"/>
        <v>1429.7219259170236</v>
      </c>
      <c r="H74" s="211">
        <f t="shared" si="1"/>
        <v>0.23365183638196724</v>
      </c>
      <c r="I74" s="209">
        <f t="shared" si="2"/>
        <v>0.13781536478750506</v>
      </c>
      <c r="J74" s="211">
        <f t="shared" si="5"/>
        <v>5.240982169336883E-2</v>
      </c>
    </row>
    <row r="75" spans="1:10">
      <c r="A75" s="208">
        <v>1990</v>
      </c>
      <c r="B75" s="209">
        <f>('[1]S&amp;P 500 &amp; Raw Data'!B66-'[1]S&amp;P 500 &amp; Raw Data'!B65+'[1]S&amp;P 500 &amp; Raw Data'!C66)/'[1]S&amp;P 500 &amp; Raw Data'!B65</f>
        <v>-3.0644516129032118E-2</v>
      </c>
      <c r="C75" s="209">
        <f>'[1]T. Bill rates'!G69</f>
        <v>7.5500000000000012E-2</v>
      </c>
      <c r="D75" s="209">
        <f>'[1]S&amp;P 500 &amp; Raw Data'!F66</f>
        <v>6.2353753335533363E-2</v>
      </c>
      <c r="E75" s="210">
        <f t="shared" si="6"/>
        <v>28895.113053319994</v>
      </c>
      <c r="F75" s="210">
        <f t="shared" si="6"/>
        <v>1009.0802336097021</v>
      </c>
      <c r="G75" s="210">
        <f t="shared" si="6"/>
        <v>1518.8704542240573</v>
      </c>
      <c r="H75" s="211">
        <f t="shared" si="1"/>
        <v>-0.10614451612903213</v>
      </c>
      <c r="I75" s="209">
        <f t="shared" si="2"/>
        <v>-9.2998269464565478E-2</v>
      </c>
      <c r="J75" s="211">
        <f t="shared" si="5"/>
        <v>4.9979953137364364E-2</v>
      </c>
    </row>
    <row r="76" spans="1:10">
      <c r="A76" s="208">
        <v>1991</v>
      </c>
      <c r="B76" s="209">
        <f>('[1]S&amp;P 500 &amp; Raw Data'!B67-'[1]S&amp;P 500 &amp; Raw Data'!B66+'[1]S&amp;P 500 &amp; Raw Data'!C67)/'[1]S&amp;P 500 &amp; Raw Data'!B66</f>
        <v>0.30234843134879757</v>
      </c>
      <c r="C76" s="209">
        <f>'[1]T. Bill rates'!G70</f>
        <v>5.6100000000000011E-2</v>
      </c>
      <c r="D76" s="209">
        <f>'[1]S&amp;P 500 &amp; Raw Data'!F67</f>
        <v>0.15004510019517303</v>
      </c>
      <c r="E76" s="210">
        <f t="shared" si="6"/>
        <v>37631.505158637461</v>
      </c>
      <c r="F76" s="210">
        <f t="shared" si="6"/>
        <v>1065.6896347152065</v>
      </c>
      <c r="G76" s="210">
        <f t="shared" si="6"/>
        <v>1746.769523711594</v>
      </c>
      <c r="H76" s="211">
        <f t="shared" si="1"/>
        <v>0.24624843134879756</v>
      </c>
      <c r="I76" s="209">
        <f t="shared" si="2"/>
        <v>0.15230333115362454</v>
      </c>
      <c r="J76" s="211">
        <f t="shared" si="5"/>
        <v>5.13850639844049E-2</v>
      </c>
    </row>
    <row r="77" spans="1:10">
      <c r="A77" s="208">
        <v>1992</v>
      </c>
      <c r="B77" s="209">
        <f>('[1]S&amp;P 500 &amp; Raw Data'!B68-'[1]S&amp;P 500 &amp; Raw Data'!B67+'[1]S&amp;P 500 &amp; Raw Data'!C68)/'[1]S&amp;P 500 &amp; Raw Data'!B67</f>
        <v>7.493727972380064E-2</v>
      </c>
      <c r="C77" s="209">
        <f>'[1]T. Bill rates'!G71</f>
        <v>3.4049999999999997E-2</v>
      </c>
      <c r="D77" s="209">
        <f>'[1]S&amp;P 500 &amp; Raw Data'!F68</f>
        <v>9.3616373162079422E-2</v>
      </c>
      <c r="E77" s="210">
        <f t="shared" si="6"/>
        <v>40451.507787137925</v>
      </c>
      <c r="F77" s="210">
        <f t="shared" si="6"/>
        <v>1101.976366777259</v>
      </c>
      <c r="G77" s="210">
        <f t="shared" si="6"/>
        <v>1910.2957512715263</v>
      </c>
      <c r="H77" s="211">
        <f t="shared" si="1"/>
        <v>4.0887279723800643E-2</v>
      </c>
      <c r="I77" s="209">
        <f t="shared" si="2"/>
        <v>-1.8679093438278782E-2</v>
      </c>
      <c r="J77" s="211">
        <f t="shared" si="5"/>
        <v>5.0319857010869606E-2</v>
      </c>
    </row>
    <row r="78" spans="1:10">
      <c r="A78" s="208">
        <v>1993</v>
      </c>
      <c r="B78" s="209">
        <f>('[1]S&amp;P 500 &amp; Raw Data'!B69-'[1]S&amp;P 500 &amp; Raw Data'!B68+'[1]S&amp;P 500 &amp; Raw Data'!C69)/'[1]S&amp;P 500 &amp; Raw Data'!B68</f>
        <v>9.96705147919488E-2</v>
      </c>
      <c r="C78" s="209">
        <f>'[1]T. Bill rates'!G72</f>
        <v>2.9825000000000001E-2</v>
      </c>
      <c r="D78" s="209">
        <f>'[1]S&amp;P 500 &amp; Raw Data'!F69</f>
        <v>0.14210957589263107</v>
      </c>
      <c r="E78" s="210">
        <f t="shared" ref="E78:G93" si="7">E77*(1+B78)</f>
        <v>44483.33039239249</v>
      </c>
      <c r="F78" s="210">
        <f t="shared" si="7"/>
        <v>1134.8428119163907</v>
      </c>
      <c r="G78" s="210">
        <f t="shared" si="7"/>
        <v>2181.7670703142176</v>
      </c>
      <c r="H78" s="211">
        <f t="shared" ref="H78:H93" si="8">B78-C78</f>
        <v>6.9845514791948796E-2</v>
      </c>
      <c r="I78" s="209">
        <f t="shared" ref="I78:I93" si="9">B78-D78</f>
        <v>-4.2439061100682268E-2</v>
      </c>
      <c r="J78" s="211">
        <f t="shared" si="5"/>
        <v>4.8975937931758473E-2</v>
      </c>
    </row>
    <row r="79" spans="1:10">
      <c r="A79" s="208">
        <v>1994</v>
      </c>
      <c r="B79" s="209">
        <f>('[1]S&amp;P 500 &amp; Raw Data'!B70-'[1]S&amp;P 500 &amp; Raw Data'!B69+'[1]S&amp;P 500 &amp; Raw Data'!C70)/'[1]S&amp;P 500 &amp; Raw Data'!B69</f>
        <v>1.3259206774573897E-2</v>
      </c>
      <c r="C79" s="209">
        <f>'[1]T. Bill rates'!G73</f>
        <v>3.9850000000000003E-2</v>
      </c>
      <c r="D79" s="209">
        <f>'[1]S&amp;P 500 &amp; Raw Data'!F70</f>
        <v>-8.0366555509985921E-2</v>
      </c>
      <c r="E79" s="210">
        <f t="shared" si="7"/>
        <v>45073.144068086905</v>
      </c>
      <c r="F79" s="210">
        <f t="shared" si="7"/>
        <v>1180.0662979712588</v>
      </c>
      <c r="G79" s="210">
        <f t="shared" si="7"/>
        <v>2006.4259659479505</v>
      </c>
      <c r="H79" s="211">
        <f t="shared" si="8"/>
        <v>-2.6590793225426106E-2</v>
      </c>
      <c r="I79" s="209">
        <f t="shared" si="9"/>
        <v>9.3625762284559821E-2</v>
      </c>
      <c r="J79" s="211">
        <f t="shared" si="5"/>
        <v>4.9718636171719899E-2</v>
      </c>
    </row>
    <row r="80" spans="1:10">
      <c r="A80" s="208">
        <v>1995</v>
      </c>
      <c r="B80" s="209">
        <f>('[1]S&amp;P 500 &amp; Raw Data'!B71-'[1]S&amp;P 500 &amp; Raw Data'!B70+'[1]S&amp;P 500 &amp; Raw Data'!C71)/'[1]S&amp;P 500 &amp; Raw Data'!B70</f>
        <v>0.37195198902606308</v>
      </c>
      <c r="C80" s="209">
        <f>'[1]T. Bill rates'!G74</f>
        <v>5.5150000000000005E-2</v>
      </c>
      <c r="D80" s="209">
        <f>'[1]S&amp;P 500 &amp; Raw Data'!F71</f>
        <v>0.23480780112538907</v>
      </c>
      <c r="E80" s="210">
        <f t="shared" si="7"/>
        <v>61838.189655870119</v>
      </c>
      <c r="F80" s="210">
        <f t="shared" si="7"/>
        <v>1245.1469543043738</v>
      </c>
      <c r="G80" s="210">
        <f t="shared" si="7"/>
        <v>2477.5504351330737</v>
      </c>
      <c r="H80" s="211">
        <f t="shared" si="8"/>
        <v>0.31680198902606305</v>
      </c>
      <c r="I80" s="209">
        <f t="shared" si="9"/>
        <v>0.13714418790067401</v>
      </c>
      <c r="J80" s="211">
        <f t="shared" si="5"/>
        <v>5.0791451119413633E-2</v>
      </c>
    </row>
    <row r="81" spans="1:10">
      <c r="A81" s="208">
        <v>1996</v>
      </c>
      <c r="B81" s="209">
        <f>('[1]S&amp;P 500 &amp; Raw Data'!B72-'[1]S&amp;P 500 &amp; Raw Data'!B71+'[1]S&amp;P 500 &amp; Raw Data'!C72)/'[1]S&amp;P 500 &amp; Raw Data'!B71</f>
        <v>0.22680966018865789</v>
      </c>
      <c r="C81" s="209">
        <f>'[1]T. Bill rates'!G75</f>
        <v>5.0224999999999999E-2</v>
      </c>
      <c r="D81" s="209">
        <f>'[1]S&amp;P 500 &amp; Raw Data'!F72</f>
        <v>1.428607793401844E-2</v>
      </c>
      <c r="E81" s="210">
        <f t="shared" si="7"/>
        <v>75863.688438399797</v>
      </c>
      <c r="F81" s="210">
        <f t="shared" si="7"/>
        <v>1307.684460084311</v>
      </c>
      <c r="G81" s="210">
        <f t="shared" si="7"/>
        <v>2512.9449137348461</v>
      </c>
      <c r="H81" s="211">
        <f t="shared" si="8"/>
        <v>0.1765846601886579</v>
      </c>
      <c r="I81" s="209">
        <f t="shared" si="9"/>
        <v>0.21252358225463946</v>
      </c>
      <c r="J81" s="211">
        <f t="shared" si="5"/>
        <v>5.304503967737495E-2</v>
      </c>
    </row>
    <row r="82" spans="1:10">
      <c r="A82" s="208">
        <v>1997</v>
      </c>
      <c r="B82" s="209">
        <f>('[1]S&amp;P 500 &amp; Raw Data'!B73-'[1]S&amp;P 500 &amp; Raw Data'!B72+'[1]S&amp;P 500 &amp; Raw Data'!C73)/'[1]S&amp;P 500 &amp; Raw Data'!B72</f>
        <v>0.33103653103653097</v>
      </c>
      <c r="C82" s="209">
        <f>'[1]T. Bill rates'!G76</f>
        <v>5.0525E-2</v>
      </c>
      <c r="D82" s="209">
        <f>'[1]S&amp;P 500 &amp; Raw Data'!F73</f>
        <v>9.939130272977531E-2</v>
      </c>
      <c r="E82" s="210">
        <f t="shared" si="7"/>
        <v>100977.34069068384</v>
      </c>
      <c r="F82" s="210">
        <f t="shared" si="7"/>
        <v>1373.7552174300708</v>
      </c>
      <c r="G82" s="210">
        <f t="shared" si="7"/>
        <v>2762.7097823991153</v>
      </c>
      <c r="H82" s="211">
        <f t="shared" si="8"/>
        <v>0.28051153103653098</v>
      </c>
      <c r="I82" s="209">
        <f t="shared" si="9"/>
        <v>0.23164522830675566</v>
      </c>
      <c r="J82" s="211">
        <f t="shared" si="5"/>
        <v>5.5315584903303572E-2</v>
      </c>
    </row>
    <row r="83" spans="1:10">
      <c r="A83" s="208">
        <v>1998</v>
      </c>
      <c r="B83" s="209">
        <f>('[1]S&amp;P 500 &amp; Raw Data'!B74-'[1]S&amp;P 500 &amp; Raw Data'!B73+'[1]S&amp;P 500 &amp; Raw Data'!C74)/'[1]S&amp;P 500 &amp; Raw Data'!B73</f>
        <v>0.28337953278443584</v>
      </c>
      <c r="C83" s="209">
        <f>'[1]T. Bill rates'!G77</f>
        <v>4.7274999999999998E-2</v>
      </c>
      <c r="D83" s="209">
        <f>'[1]S&amp;P 500 &amp; Raw Data'!F74</f>
        <v>0.14921431922606215</v>
      </c>
      <c r="E83" s="210">
        <f t="shared" si="7"/>
        <v>129592.25231742462</v>
      </c>
      <c r="F83" s="210">
        <f t="shared" si="7"/>
        <v>1438.6994953340775</v>
      </c>
      <c r="G83" s="210">
        <f t="shared" si="7"/>
        <v>3174.9456417989818</v>
      </c>
      <c r="H83" s="211">
        <f t="shared" si="8"/>
        <v>0.23610453278443583</v>
      </c>
      <c r="I83" s="209">
        <f t="shared" si="9"/>
        <v>0.13416521355837369</v>
      </c>
      <c r="J83" s="211">
        <f t="shared" si="5"/>
        <v>5.6306048135548625E-2</v>
      </c>
    </row>
    <row r="84" spans="1:10">
      <c r="A84" s="208">
        <v>1999</v>
      </c>
      <c r="B84" s="209">
        <f>('[1]S&amp;P 500 &amp; Raw Data'!B75-'[1]S&amp;P 500 &amp; Raw Data'!B74+'[1]S&amp;P 500 &amp; Raw Data'!C75)/'[1]S&amp;P 500 &amp; Raw Data'!B74</f>
        <v>0.20885350992084475</v>
      </c>
      <c r="C84" s="209">
        <f>'[1]T. Bill rates'!G78</f>
        <v>4.5100000000000001E-2</v>
      </c>
      <c r="D84" s="209">
        <f>'[1]S&amp;P 500 &amp; Raw Data'!F75</f>
        <v>-8.2542147962685761E-2</v>
      </c>
      <c r="E84" s="210">
        <f t="shared" si="7"/>
        <v>156658.0490724665</v>
      </c>
      <c r="F84" s="210">
        <f t="shared" si="7"/>
        <v>1503.5848425736442</v>
      </c>
      <c r="G84" s="210">
        <f t="shared" si="7"/>
        <v>2912.8788088601259</v>
      </c>
      <c r="H84" s="211">
        <f t="shared" si="8"/>
        <v>0.16375350992084475</v>
      </c>
      <c r="I84" s="209">
        <f t="shared" si="9"/>
        <v>0.2913956578835305</v>
      </c>
      <c r="J84" s="211">
        <f t="shared" si="5"/>
        <v>5.9634694818320177E-2</v>
      </c>
    </row>
    <row r="85" spans="1:10">
      <c r="A85" s="208">
        <v>2000</v>
      </c>
      <c r="B85" s="209">
        <f>('[1]S&amp;P 500 &amp; Raw Data'!B76-'[1]S&amp;P 500 &amp; Raw Data'!B75+'[1]S&amp;P 500 &amp; Raw Data'!C76)/'[1]S&amp;P 500 &amp; Raw Data'!B75</f>
        <v>-9.0318189552492781E-2</v>
      </c>
      <c r="C85" s="209">
        <f>'[1]T. Bill rates'!G79</f>
        <v>5.7625000000000003E-2</v>
      </c>
      <c r="D85" s="209">
        <f>'[1]S&amp;P 500 &amp; Raw Data'!F76</f>
        <v>0.16655267125397488</v>
      </c>
      <c r="E85" s="210">
        <f t="shared" si="7"/>
        <v>142508.97770141574</v>
      </c>
      <c r="F85" s="210">
        <f t="shared" si="7"/>
        <v>1590.2289191269506</v>
      </c>
      <c r="G85" s="210">
        <f t="shared" si="7"/>
        <v>3398.0265555148762</v>
      </c>
      <c r="H85" s="211">
        <f t="shared" si="8"/>
        <v>-0.14794318955249278</v>
      </c>
      <c r="I85" s="209">
        <f t="shared" si="9"/>
        <v>-0.25687086080646765</v>
      </c>
      <c r="J85" s="211">
        <f t="shared" si="5"/>
        <v>5.5111895842923087E-2</v>
      </c>
    </row>
    <row r="86" spans="1:10">
      <c r="A86" s="208">
        <v>2001</v>
      </c>
      <c r="B86" s="209">
        <f>('[1]S&amp;P 500 &amp; Raw Data'!B77-'[1]S&amp;P 500 &amp; Raw Data'!B76+'[1]S&amp;P 500 &amp; Raw Data'!C77)/'[1]S&amp;P 500 &amp; Raw Data'!B76</f>
        <v>-0.11849759142000185</v>
      </c>
      <c r="C86" s="209">
        <f>'[1]T. Bill rates'!G80</f>
        <v>3.6725000000000001E-2</v>
      </c>
      <c r="D86" s="209">
        <f>'[1]S&amp;P 500 &amp; Raw Data'!F77</f>
        <v>5.5721811892492555E-2</v>
      </c>
      <c r="E86" s="210">
        <f t="shared" si="7"/>
        <v>125622.00708807123</v>
      </c>
      <c r="F86" s="210">
        <f t="shared" si="7"/>
        <v>1648.6300761818877</v>
      </c>
      <c r="G86" s="210">
        <f t="shared" si="7"/>
        <v>3587.3707520469702</v>
      </c>
      <c r="H86" s="211">
        <f t="shared" si="8"/>
        <v>-0.15522259142000186</v>
      </c>
      <c r="I86" s="209">
        <f t="shared" si="9"/>
        <v>-0.17421940331249441</v>
      </c>
      <c r="J86" s="211">
        <f t="shared" si="5"/>
        <v>5.1665345512908356E-2</v>
      </c>
    </row>
    <row r="87" spans="1:10">
      <c r="A87" s="208">
        <v>2002</v>
      </c>
      <c r="B87" s="209">
        <f>('[1]S&amp;P 500 &amp; Raw Data'!B78-'[1]S&amp;P 500 &amp; Raw Data'!B77+'[1]S&amp;P 500 &amp; Raw Data'!C78)/'[1]S&amp;P 500 &amp; Raw Data'!B77</f>
        <v>-0.21966047957912699</v>
      </c>
      <c r="C87" s="209">
        <f>'[1]T. Bill rates'!G81</f>
        <v>1.6574999999999999E-2</v>
      </c>
      <c r="D87" s="209">
        <f>'[1]S&amp;P 500 &amp; Raw Data'!F78</f>
        <v>0.15116400378109285</v>
      </c>
      <c r="E87" s="210">
        <f t="shared" si="7"/>
        <v>98027.816765413008</v>
      </c>
      <c r="F87" s="210">
        <f t="shared" si="7"/>
        <v>1675.9561196946024</v>
      </c>
      <c r="G87" s="210">
        <f t="shared" si="7"/>
        <v>4129.6520779735802</v>
      </c>
      <c r="H87" s="211">
        <f t="shared" si="8"/>
        <v>-0.23623547957912699</v>
      </c>
      <c r="I87" s="209">
        <f t="shared" si="9"/>
        <v>-0.37082448336021984</v>
      </c>
      <c r="J87" s="211">
        <f t="shared" si="5"/>
        <v>4.5325449773477855E-2</v>
      </c>
    </row>
    <row r="88" spans="1:10">
      <c r="A88" s="208">
        <v>2003</v>
      </c>
      <c r="B88" s="209">
        <f>('[1]S&amp;P 500 &amp; Raw Data'!B79-'[1]S&amp;P 500 &amp; Raw Data'!B78+'[1]S&amp;P 500 &amp; Raw Data'!C79)/'[1]S&amp;P 500 &amp; Raw Data'!B78</f>
        <v>0.28355800050010233</v>
      </c>
      <c r="C88" s="209">
        <f>'[1]T. Bill rates'!G82</f>
        <v>1.03E-2</v>
      </c>
      <c r="D88" s="209">
        <f>'[1]S&amp;P 500 &amp; Raw Data'!F79</f>
        <v>3.7531858817758529E-3</v>
      </c>
      <c r="E88" s="210">
        <f t="shared" si="7"/>
        <v>125824.38848080393</v>
      </c>
      <c r="F88" s="210">
        <f t="shared" si="7"/>
        <v>1693.2184677274568</v>
      </c>
      <c r="G88" s="210">
        <f t="shared" si="7"/>
        <v>4145.1514298492766</v>
      </c>
      <c r="H88" s="211">
        <f t="shared" si="8"/>
        <v>0.27325800050010235</v>
      </c>
      <c r="I88" s="209">
        <f t="shared" si="9"/>
        <v>0.27980481461832646</v>
      </c>
      <c r="J88" s="211">
        <f t="shared" si="5"/>
        <v>4.8237796117156506E-2</v>
      </c>
    </row>
    <row r="89" spans="1:10">
      <c r="A89" s="208">
        <v>2004</v>
      </c>
      <c r="B89" s="209">
        <f>('[1]S&amp;P 500 &amp; Raw Data'!B80-'[1]S&amp;P 500 &amp; Raw Data'!B79+'[1]S&amp;P 500 &amp; Raw Data'!C80)/'[1]S&amp;P 500 &amp; Raw Data'!B79</f>
        <v>0.10742775944096193</v>
      </c>
      <c r="C89" s="209">
        <f>'[1]T. Bill rates'!G83</f>
        <v>1.2275000000000001E-2</v>
      </c>
      <c r="D89" s="209">
        <f>'[1]S&amp;P 500 &amp; Raw Data'!F80</f>
        <v>4.490683702274547E-2</v>
      </c>
      <c r="E89" s="210">
        <f t="shared" si="7"/>
        <v>139341.42061832585</v>
      </c>
      <c r="F89" s="210">
        <f t="shared" si="7"/>
        <v>1714.0027244188113</v>
      </c>
      <c r="G89" s="210">
        <f t="shared" si="7"/>
        <v>4331.2970695441181</v>
      </c>
      <c r="H89" s="211">
        <f t="shared" si="8"/>
        <v>9.5152759440961937E-2</v>
      </c>
      <c r="I89" s="209">
        <f t="shared" si="9"/>
        <v>6.2520922418216468E-2</v>
      </c>
      <c r="J89" s="211">
        <f t="shared" si="5"/>
        <v>4.842299846885445E-2</v>
      </c>
    </row>
    <row r="90" spans="1:10">
      <c r="A90" s="208">
        <v>2005</v>
      </c>
      <c r="B90" s="209">
        <f>('[1]S&amp;P 500 &amp; Raw Data'!B81-'[1]S&amp;P 500 &amp; Raw Data'!B80+'[1]S&amp;P 500 &amp; Raw Data'!C81)/'[1]S&amp;P 500 &amp; Raw Data'!B80</f>
        <v>4.8344775232688535E-2</v>
      </c>
      <c r="C90" s="209">
        <f>'[1]T. Bill rates'!G84</f>
        <v>3.0099999999999998E-2</v>
      </c>
      <c r="D90" s="209">
        <f>'[1]S&amp;P 500 &amp; Raw Data'!F81</f>
        <v>2.8675329597779506E-2</v>
      </c>
      <c r="E90" s="210">
        <f t="shared" si="7"/>
        <v>146077.8502787223</v>
      </c>
      <c r="F90" s="210">
        <f t="shared" si="7"/>
        <v>1765.5942064238177</v>
      </c>
      <c r="G90" s="210">
        <f t="shared" si="7"/>
        <v>4455.4984405991927</v>
      </c>
      <c r="H90" s="211">
        <f t="shared" si="8"/>
        <v>1.8244775232688536E-2</v>
      </c>
      <c r="I90" s="209">
        <f t="shared" si="9"/>
        <v>1.9669445634909029E-2</v>
      </c>
      <c r="J90" s="211">
        <f t="shared" si="5"/>
        <v>4.8042189402255131E-2</v>
      </c>
    </row>
    <row r="91" spans="1:10">
      <c r="A91" s="208">
        <v>2006</v>
      </c>
      <c r="B91" s="209">
        <f>('[1]S&amp;P 500 &amp; Raw Data'!B82-'[1]S&amp;P 500 &amp; Raw Data'!B81+'[1]S&amp;P 500 &amp; Raw Data'!C82)/'[1]S&amp;P 500 &amp; Raw Data'!B81</f>
        <v>0.15612557979315703</v>
      </c>
      <c r="C91" s="209">
        <f>'[1]T. Bill rates'!G85</f>
        <v>4.6775000000000004E-2</v>
      </c>
      <c r="D91" s="209">
        <f>'[1]S&amp;P 500 &amp; Raw Data'!F82</f>
        <v>1.9610012417568386E-2</v>
      </c>
      <c r="E91" s="210">
        <f t="shared" si="7"/>
        <v>168884.33934842583</v>
      </c>
      <c r="F91" s="210">
        <f t="shared" si="7"/>
        <v>1848.1798754292918</v>
      </c>
      <c r="G91" s="210">
        <f t="shared" si="7"/>
        <v>4542.8708203458</v>
      </c>
      <c r="H91" s="211">
        <f t="shared" si="8"/>
        <v>0.10935057979315702</v>
      </c>
      <c r="I91" s="209">
        <f t="shared" si="9"/>
        <v>0.13651556737558865</v>
      </c>
      <c r="J91" s="211">
        <f t="shared" si="5"/>
        <v>4.9149036004805913E-2</v>
      </c>
    </row>
    <row r="92" spans="1:10">
      <c r="A92" s="208">
        <v>2007</v>
      </c>
      <c r="B92" s="209">
        <f>('[1]S&amp;P 500 &amp; Raw Data'!B83-'[1]S&amp;P 500 &amp; Raw Data'!B82+'[1]S&amp;P 500 &amp; Raw Data'!C83)/'[1]S&amp;P 500 &amp; Raw Data'!B82</f>
        <v>5.4847352464217694E-2</v>
      </c>
      <c r="C92" s="209">
        <f>'[1]T. Bill rates'!G86</f>
        <v>4.6425000000000001E-2</v>
      </c>
      <c r="D92" s="209">
        <f>'[1]S&amp;P 500 &amp; Raw Data'!F83</f>
        <v>0.10209921930012807</v>
      </c>
      <c r="E92" s="210">
        <f t="shared" si="7"/>
        <v>178147.19823435548</v>
      </c>
      <c r="F92" s="210">
        <f t="shared" si="7"/>
        <v>1933.9816261460965</v>
      </c>
      <c r="G92" s="210">
        <f t="shared" si="7"/>
        <v>5006.6943844844382</v>
      </c>
      <c r="H92" s="211">
        <f t="shared" si="8"/>
        <v>8.4223524642176931E-3</v>
      </c>
      <c r="I92" s="209">
        <f t="shared" si="9"/>
        <v>-4.7251866835910372E-2</v>
      </c>
      <c r="J92" s="211">
        <f t="shared" si="5"/>
        <v>4.7948712238125024E-2</v>
      </c>
    </row>
    <row r="93" spans="1:10">
      <c r="A93" s="208">
        <v>2008</v>
      </c>
      <c r="B93" s="209">
        <f>('[1]S&amp;P 500 &amp; Raw Data'!B84-'[1]S&amp;P 500 &amp; Raw Data'!B83+'[1]S&amp;P 500 &amp; Raw Data'!C84)/'[1]S&amp;P 500 &amp; Raw Data'!B83</f>
        <v>-0.36552344111798191</v>
      </c>
      <c r="C93" s="209">
        <f>'[1]T. Bill rates'!G87</f>
        <v>1.585E-2</v>
      </c>
      <c r="D93" s="209">
        <f>'[1]S&amp;P 500 &amp; Raw Data'!F84</f>
        <v>0.20101279926977011</v>
      </c>
      <c r="E93" s="210">
        <f t="shared" si="7"/>
        <v>113030.22131020659</v>
      </c>
      <c r="F93" s="210">
        <f t="shared" si="7"/>
        <v>1964.6352349205119</v>
      </c>
      <c r="G93" s="210">
        <f t="shared" si="7"/>
        <v>6013.1040377978934</v>
      </c>
      <c r="H93" s="211">
        <f t="shared" si="8"/>
        <v>-0.38137344111798188</v>
      </c>
      <c r="I93" s="209">
        <f t="shared" si="9"/>
        <v>-0.56653624038775208</v>
      </c>
      <c r="J93" s="211">
        <f t="shared" si="5"/>
        <v>3.8795868868689798E-2</v>
      </c>
    </row>
    <row r="94" spans="1:10">
      <c r="A94" s="208">
        <v>2009</v>
      </c>
      <c r="B94" s="209">
        <f>('[1]S&amp;P 500 &amp; Raw Data'!B85-'[1]S&amp;P 500 &amp; Raw Data'!B84+'[1]S&amp;P 500 &amp; Raw Data'!C85)/'[1]S&amp;P 500 &amp; Raw Data'!B84</f>
        <v>0.25935233877663982</v>
      </c>
      <c r="C94" s="209">
        <f>'[1]T. Bill rates'!G88</f>
        <v>1.3500000000000001E-3</v>
      </c>
      <c r="D94" s="209">
        <f>'[1]S&amp;P 500 &amp; Raw Data'!F85</f>
        <v>-0.11116695313259162</v>
      </c>
      <c r="E94" s="210">
        <f t="shared" ref="E94:G96" si="10">E93*(1+B94)</f>
        <v>142344.87355944986</v>
      </c>
      <c r="F94" s="210">
        <f t="shared" si="10"/>
        <v>1967.2874924876546</v>
      </c>
      <c r="G94" s="210">
        <f t="shared" si="10"/>
        <v>5344.6455830466175</v>
      </c>
      <c r="H94" s="211">
        <f>B94-C94</f>
        <v>0.25800233877663981</v>
      </c>
      <c r="I94" s="209">
        <f>B94-D94</f>
        <v>0.37051929190923144</v>
      </c>
      <c r="J94" s="211">
        <f t="shared" si="5"/>
        <v>4.2868506133348472E-2</v>
      </c>
    </row>
    <row r="95" spans="1:10">
      <c r="A95" s="208">
        <v>2010</v>
      </c>
      <c r="B95" s="209">
        <f>('[1]S&amp;P 500 &amp; Raw Data'!B86-'[1]S&amp;P 500 &amp; Raw Data'!B85+'[1]S&amp;P 500 &amp; Raw Data'!C86)/'[1]S&amp;P 500 &amp; Raw Data'!B85</f>
        <v>0.14821092278719414</v>
      </c>
      <c r="C95" s="209">
        <v>1.2999999999999999E-3</v>
      </c>
      <c r="D95" s="209">
        <f>'[1]S&amp;P 500 &amp; Raw Data'!F86</f>
        <v>8.4629338803557719E-2</v>
      </c>
      <c r="E95" s="210">
        <f t="shared" si="10"/>
        <v>163441.93862372241</v>
      </c>
      <c r="F95" s="210">
        <f t="shared" si="10"/>
        <v>1969.8449662278888</v>
      </c>
      <c r="G95" s="210">
        <f>G94*(1+D95)</f>
        <v>5796.9594048792078</v>
      </c>
      <c r="H95" s="211">
        <f>B95-C95</f>
        <v>0.14691092278719414</v>
      </c>
      <c r="I95" s="209">
        <f>B95-D95</f>
        <v>6.3581583983636419E-2</v>
      </c>
      <c r="J95" s="211">
        <f>((E95/100)^(1/(A95-$A$13+1)))-((G95/100)^(1/(A95-$A$13+1)))</f>
        <v>4.3108516433475463E-2</v>
      </c>
    </row>
    <row r="96" spans="1:10">
      <c r="A96" s="208">
        <v>2011</v>
      </c>
      <c r="B96" s="209">
        <f>('[1]S&amp;P 500 &amp; Raw Data'!B87-'[1]S&amp;P 500 &amp; Raw Data'!B86+'[1]S&amp;P 500 &amp; Raw Data'!C87)/'[1]S&amp;P 500 &amp; Raw Data'!B86</f>
        <v>2.09837473362805E-2</v>
      </c>
      <c r="C96" s="209">
        <v>2.9999999999999997E-4</v>
      </c>
      <c r="D96" s="209">
        <f>'[1]S&amp;P 500 &amp; Raw Data'!F87</f>
        <v>0.16035334999461354</v>
      </c>
      <c r="E96" s="210">
        <f t="shared" si="10"/>
        <v>166871.56296795449</v>
      </c>
      <c r="F96" s="210">
        <f t="shared" si="10"/>
        <v>1970.4359197177571</v>
      </c>
      <c r="G96" s="210">
        <f>G95*(1+D96)</f>
        <v>6726.5212652343698</v>
      </c>
      <c r="H96" s="211">
        <f>B96-C96</f>
        <v>2.0683747336280499E-2</v>
      </c>
      <c r="I96" s="209">
        <f>B96-D96</f>
        <v>-0.13936960265833304</v>
      </c>
      <c r="J96" s="211">
        <f>((E96/100)^(1/(A96-$A$13+1)))-((G96/100)^(1/(A96-$A$13+1)))</f>
        <v>4.0970429004248521E-2</v>
      </c>
    </row>
    <row r="97" spans="1:10">
      <c r="A97" s="208">
        <v>2012</v>
      </c>
      <c r="B97" s="209">
        <f>('[1]S&amp;P 500 &amp; Raw Data'!B88-'[1]S&amp;P 500 &amp; Raw Data'!B87+'[1]S&amp;P 500 &amp; Raw Data'!C88)/'[1]S&amp;P 500 &amp; Raw Data'!B87</f>
        <v>0.15890585241730293</v>
      </c>
      <c r="C97" s="209">
        <v>5.0000000000000001E-4</v>
      </c>
      <c r="D97" s="209">
        <f>'[1]S&amp;P 500 &amp; Raw Data'!F88</f>
        <v>2.971571978018946E-2</v>
      </c>
      <c r="E97" s="210">
        <f>E96*(1+B97)</f>
        <v>193388.43092558492</v>
      </c>
      <c r="F97" s="210">
        <f>F96*(1+C97)</f>
        <v>1971.4211376776159</v>
      </c>
      <c r="G97" s="210">
        <f>G96*(1+D97)</f>
        <v>6926.4046862475598</v>
      </c>
      <c r="H97" s="211">
        <f>B97-C97</f>
        <v>0.15840585241730293</v>
      </c>
      <c r="I97" s="209">
        <f>B97-D97</f>
        <v>0.12919013263711346</v>
      </c>
      <c r="J97" s="211">
        <f>((E97/100)^(1/(A97-$A$13+1)))-((G97/100)^(1/(A97-$A$13+1)))</f>
        <v>4.1988275684727405E-2</v>
      </c>
    </row>
    <row r="98" spans="1:10">
      <c r="A98" s="213">
        <v>2013</v>
      </c>
      <c r="B98" s="209">
        <f>('[1]S&amp;P 500 &amp; Raw Data'!B89-'[1]S&amp;P 500 &amp; Raw Data'!B88+'[1]S&amp;P 500 &amp; Raw Data'!C89)/'[1]S&amp;P 500 &amp; Raw Data'!B88</f>
        <v>0.32145085858125483</v>
      </c>
      <c r="C98" s="214">
        <v>6.6E-4</v>
      </c>
      <c r="D98" s="209">
        <f>'[1]S&amp;P 500 &amp; Raw Data'!F89</f>
        <v>-9.104568794347262E-2</v>
      </c>
      <c r="E98" s="210">
        <f>E97*(1+B98)</f>
        <v>255553.30808629587</v>
      </c>
      <c r="F98" s="210">
        <f>F97*(1+C98)</f>
        <v>1972.7222756284834</v>
      </c>
      <c r="G98" s="210">
        <f>G97*(1+D98)</f>
        <v>6295.7854066132577</v>
      </c>
      <c r="H98" s="211">
        <f>B98-C98</f>
        <v>0.32079085858125483</v>
      </c>
      <c r="I98" s="209">
        <f>B98-D98</f>
        <v>0.41249654652472745</v>
      </c>
      <c r="J98" s="211">
        <f>((E98/100)^(1/(A98-$A$13+1)))-((G98/100)^(1/(A98-$A$13+1)))</f>
        <v>4.6176809418723153E-2</v>
      </c>
    </row>
    <row r="99" spans="1:10">
      <c r="F99" s="603" t="s">
        <v>405</v>
      </c>
      <c r="G99" s="604"/>
      <c r="H99" s="605" t="s">
        <v>406</v>
      </c>
      <c r="I99" s="605"/>
    </row>
    <row r="100" spans="1:10">
      <c r="A100" s="215" t="s">
        <v>407</v>
      </c>
      <c r="B100" s="216"/>
      <c r="C100" s="216"/>
      <c r="D100" s="216"/>
      <c r="F100" s="217" t="s">
        <v>408</v>
      </c>
      <c r="G100" s="217" t="s">
        <v>409</v>
      </c>
      <c r="H100" s="217" t="s">
        <v>408</v>
      </c>
      <c r="I100" s="217" t="s">
        <v>409</v>
      </c>
    </row>
    <row r="101" spans="1:10">
      <c r="A101" s="218" t="s">
        <v>410</v>
      </c>
      <c r="B101" s="219">
        <f>AVERAGE(B13:B98)</f>
        <v>0.11504321109516362</v>
      </c>
      <c r="C101" s="219">
        <f>AVERAGE(C13:C98)</f>
        <v>3.5720755813953488E-2</v>
      </c>
      <c r="D101" s="219">
        <f>AVERAGE(D13:D98)</f>
        <v>5.2130670342610257E-2</v>
      </c>
      <c r="F101" s="220">
        <f>B101-C101</f>
        <v>7.9322455281210125E-2</v>
      </c>
      <c r="G101" s="220">
        <f>B101-D101</f>
        <v>6.291254075255337E-2</v>
      </c>
      <c r="H101" s="220">
        <f>STDEV(H13:H98)/(($A$98-$A$13+1)^0.5)</f>
        <v>2.1936449224685056E-2</v>
      </c>
      <c r="I101" s="220">
        <f>STDEV(I13:I98)/(($A$98-$A$13+1)^0.5)</f>
        <v>2.3417682269400355E-2</v>
      </c>
    </row>
    <row r="102" spans="1:10">
      <c r="A102" s="218" t="s">
        <v>411</v>
      </c>
      <c r="B102" s="219">
        <f>AVERAGE(B49:B98)</f>
        <v>0.11291884605940578</v>
      </c>
      <c r="C102" s="219">
        <f>AVERAGE(C49:C98)</f>
        <v>5.1094199999999999E-2</v>
      </c>
      <c r="D102" s="219">
        <f>AVERAGE(D49:D98)</f>
        <v>6.97231673210231E-2</v>
      </c>
      <c r="F102" s="220">
        <f>B102-C102</f>
        <v>6.1824646059405776E-2</v>
      </c>
      <c r="G102" s="220">
        <f>B102-D102</f>
        <v>4.3195678738382676E-2</v>
      </c>
      <c r="H102" s="220">
        <f>STDEV(H49:H98)/(($A$98-$A$49+1)^0.5)</f>
        <v>2.4221579994127187E-2</v>
      </c>
      <c r="I102" s="220">
        <f>STDEV(I49:I98)/(($A$98-$A$49+1)^0.5)</f>
        <v>2.7469720879127288E-2</v>
      </c>
    </row>
    <row r="103" spans="1:10">
      <c r="A103" s="218" t="s">
        <v>412</v>
      </c>
      <c r="B103" s="219">
        <f>AVERAGE(B89:B98)</f>
        <v>9.1012574571171553E-2</v>
      </c>
      <c r="C103" s="219">
        <f>AVERAGE(C89:C98)</f>
        <v>1.5553499999999998E-2</v>
      </c>
      <c r="D103" s="219">
        <f>AVERAGE(D89:D98)</f>
        <v>4.6878996511028795E-2</v>
      </c>
      <c r="F103" s="220">
        <f>B103-C103</f>
        <v>7.5459074571171555E-2</v>
      </c>
      <c r="G103" s="220">
        <f>B103-D103</f>
        <v>4.4133578060142759E-2</v>
      </c>
      <c r="H103" s="220">
        <f>STDEV(H89:H98)/(($A$98-$A$89+1)^0.5)</f>
        <v>6.0230614169860072E-2</v>
      </c>
      <c r="I103" s="220">
        <f>STDEV(I89:I98)/(($A$98-$A$89+1)^0.5)</f>
        <v>8.6554101086821739E-2</v>
      </c>
    </row>
    <row r="104" spans="1:10">
      <c r="F104" s="221" t="s">
        <v>405</v>
      </c>
    </row>
    <row r="105" spans="1:10">
      <c r="A105" s="222" t="s">
        <v>413</v>
      </c>
      <c r="B105" s="222" t="s">
        <v>414</v>
      </c>
      <c r="C105" s="216"/>
      <c r="D105" s="222" t="s">
        <v>415</v>
      </c>
      <c r="F105" s="217" t="s">
        <v>408</v>
      </c>
      <c r="G105" s="217" t="s">
        <v>409</v>
      </c>
    </row>
    <row r="106" spans="1:10">
      <c r="A106" s="218" t="s">
        <v>410</v>
      </c>
      <c r="B106" s="223">
        <f>(E98/100)^(1/(A98-A13+1))-1</f>
        <v>9.5523953987199262E-2</v>
      </c>
      <c r="C106" s="223">
        <f>(F98/100)^(1/(A98-A13+1))-1</f>
        <v>3.5282579727851759E-2</v>
      </c>
      <c r="D106" s="223">
        <f>(G98/100)^(1/(A98-A13+1))-1</f>
        <v>4.9347144568476109E-2</v>
      </c>
      <c r="F106" s="220">
        <f>B106-C106</f>
        <v>6.0241374259347502E-2</v>
      </c>
      <c r="G106" s="220">
        <f>B106-D106</f>
        <v>4.6176809418723153E-2</v>
      </c>
    </row>
    <row r="107" spans="1:10">
      <c r="A107" s="218" t="s">
        <v>411</v>
      </c>
      <c r="B107" s="224">
        <f>(E98/E48)^(1/($A$98-$A$48))-1</f>
        <v>9.8927060010666201E-2</v>
      </c>
      <c r="C107" s="223">
        <f>(F98/F48)^(1/($A$98-$A$48))-1</f>
        <v>5.0660800420806673E-2</v>
      </c>
      <c r="D107" s="224">
        <f>(G98/G48)^(1/($A$98-$A$48))-1</f>
        <v>6.5591232972045388E-2</v>
      </c>
      <c r="F107" s="220">
        <f>B107-C107</f>
        <v>4.8266259589859528E-2</v>
      </c>
      <c r="G107" s="220">
        <f>B107-D107</f>
        <v>3.3335827038620813E-2</v>
      </c>
    </row>
    <row r="108" spans="1:10">
      <c r="A108" s="218" t="s">
        <v>412</v>
      </c>
      <c r="B108" s="223">
        <f>(E98/E88)^(1/($A$98-$A$88))-1</f>
        <v>7.3424906380343158E-2</v>
      </c>
      <c r="C108" s="223">
        <f>(F98/F88)^(1/($A$98-$A$88))-1</f>
        <v>1.5395642190718428E-2</v>
      </c>
      <c r="D108" s="223">
        <f>(G98/G88)^(1/($A$98-$A$88))-1</f>
        <v>4.2679779872064394E-2</v>
      </c>
      <c r="F108" s="220">
        <f>B108-C108</f>
        <v>5.802926418962473E-2</v>
      </c>
      <c r="G108" s="220">
        <f>B108-D108</f>
        <v>3.0745126508278764E-2</v>
      </c>
    </row>
    <row r="110" spans="1:10" ht="29.25" customHeight="1">
      <c r="A110" s="606" t="s">
        <v>416</v>
      </c>
      <c r="B110" s="606"/>
      <c r="C110" s="606"/>
      <c r="D110" s="606"/>
      <c r="E110" s="606"/>
      <c r="F110" s="606"/>
      <c r="G110" s="606"/>
      <c r="H110" s="606"/>
    </row>
    <row r="111" spans="1:10">
      <c r="C111" s="225"/>
    </row>
    <row r="112" spans="1:10" hidden="1" outlineLevel="1">
      <c r="A112" s="601" t="s">
        <v>417</v>
      </c>
      <c r="B112" s="602"/>
      <c r="C112" s="602"/>
      <c r="D112" s="602"/>
      <c r="E112" s="602"/>
    </row>
    <row r="113" spans="1:11" ht="16.5" hidden="1" outlineLevel="1" thickBot="1">
      <c r="A113" s="227" t="s">
        <v>418</v>
      </c>
      <c r="B113" s="226" t="s">
        <v>419</v>
      </c>
      <c r="C113" s="226" t="s">
        <v>420</v>
      </c>
      <c r="D113" s="226" t="s">
        <v>421</v>
      </c>
      <c r="E113" s="228" t="s">
        <v>422</v>
      </c>
    </row>
    <row r="114" spans="1:11" ht="16.5" hidden="1" outlineLevel="1" thickBot="1">
      <c r="A114" s="229" t="s">
        <v>423</v>
      </c>
      <c r="B114" s="230">
        <v>7.0000000000000007E-2</v>
      </c>
      <c r="C114" s="230">
        <v>0.05</v>
      </c>
      <c r="D114" s="230">
        <v>0.03</v>
      </c>
      <c r="E114" s="231">
        <v>0.03</v>
      </c>
    </row>
    <row r="115" spans="1:11" ht="16.5" hidden="1" outlineLevel="1" thickBot="1">
      <c r="A115" s="229" t="s">
        <v>424</v>
      </c>
      <c r="B115" s="230">
        <v>0.05</v>
      </c>
      <c r="C115" s="230">
        <v>0.05</v>
      </c>
      <c r="D115" s="230">
        <v>0.05</v>
      </c>
      <c r="E115" s="231">
        <v>0.06</v>
      </c>
    </row>
    <row r="116" spans="1:11" ht="16.5" hidden="1" outlineLevel="1" thickBot="1">
      <c r="A116" s="229" t="s">
        <v>425</v>
      </c>
      <c r="B116" s="230">
        <v>0.3</v>
      </c>
      <c r="C116" s="230">
        <v>0.31</v>
      </c>
      <c r="D116" s="230">
        <v>0.28999999999999998</v>
      </c>
      <c r="E116" s="231">
        <v>0.43</v>
      </c>
    </row>
    <row r="117" spans="1:11" ht="16.5" hidden="1" outlineLevel="1" thickBot="1">
      <c r="A117" s="229" t="s">
        <v>428</v>
      </c>
      <c r="B117" s="230">
        <v>0.63</v>
      </c>
      <c r="C117" s="230">
        <v>0.66</v>
      </c>
      <c r="D117" s="230">
        <v>0.67</v>
      </c>
      <c r="E117" s="231">
        <v>0.83</v>
      </c>
    </row>
    <row r="118" spans="1:11" ht="16.5" hidden="1" outlineLevel="1" thickBot="1">
      <c r="A118" s="229" t="s">
        <v>433</v>
      </c>
      <c r="B118" s="230">
        <v>1.47</v>
      </c>
      <c r="C118" s="230">
        <v>1.52</v>
      </c>
      <c r="D118" s="230">
        <v>1.47</v>
      </c>
      <c r="E118" s="231">
        <v>1.76</v>
      </c>
    </row>
    <row r="119" spans="1:11" ht="16.5" hidden="1" outlineLevel="1" thickBot="1">
      <c r="A119" s="229" t="s">
        <v>434</v>
      </c>
      <c r="B119" s="230">
        <v>2.69</v>
      </c>
      <c r="C119" s="230">
        <v>2.7</v>
      </c>
      <c r="D119" s="230">
        <v>2.65</v>
      </c>
      <c r="E119" s="231">
        <v>3</v>
      </c>
    </row>
    <row r="120" spans="1:11" ht="16.5" hidden="1" outlineLevel="1" thickBot="1">
      <c r="A120" s="229" t="s">
        <v>435</v>
      </c>
      <c r="B120" s="230">
        <v>3.68</v>
      </c>
      <c r="C120" s="230">
        <v>3.67</v>
      </c>
      <c r="D120" s="230">
        <v>3.6</v>
      </c>
      <c r="E120" s="231">
        <v>3.89</v>
      </c>
    </row>
    <row r="121" spans="1:11" collapsed="1">
      <c r="A121" s="601" t="s">
        <v>417</v>
      </c>
      <c r="B121" s="602"/>
      <c r="C121" s="602"/>
      <c r="D121" s="602"/>
      <c r="E121" s="602"/>
      <c r="G121" s="262" t="s">
        <v>920</v>
      </c>
    </row>
    <row r="122" spans="1:11" ht="16.5" thickBot="1">
      <c r="A122" s="234" t="s">
        <v>418</v>
      </c>
      <c r="B122" s="235" t="s">
        <v>419</v>
      </c>
      <c r="C122" s="235" t="s">
        <v>420</v>
      </c>
      <c r="D122" s="235" t="s">
        <v>421</v>
      </c>
      <c r="E122" s="236" t="s">
        <v>422</v>
      </c>
      <c r="G122" s="264">
        <v>2009</v>
      </c>
      <c r="H122" s="264">
        <f>+G122+1</f>
        <v>2010</v>
      </c>
      <c r="I122" s="264">
        <f>+H122+1</f>
        <v>2011</v>
      </c>
      <c r="J122" s="264">
        <f>+I122+1</f>
        <v>2012</v>
      </c>
      <c r="K122" s="264">
        <f>+J122+1</f>
        <v>2013</v>
      </c>
    </row>
    <row r="123" spans="1:11" ht="16.5" thickBot="1">
      <c r="A123" s="229" t="s">
        <v>423</v>
      </c>
      <c r="B123" s="232">
        <f t="shared" ref="B123:E129" si="11">+B114/100</f>
        <v>7.000000000000001E-4</v>
      </c>
      <c r="C123" s="232">
        <f t="shared" si="11"/>
        <v>5.0000000000000001E-4</v>
      </c>
      <c r="D123" s="232">
        <f t="shared" si="11"/>
        <v>2.9999999999999997E-4</v>
      </c>
      <c r="E123" s="233">
        <f t="shared" si="11"/>
        <v>2.9999999999999997E-4</v>
      </c>
      <c r="G123" s="220">
        <v>2.85714E-2</v>
      </c>
      <c r="H123" s="220">
        <v>2.1428599999999999E-2</v>
      </c>
      <c r="I123" s="220">
        <v>1.7857100000000001E-2</v>
      </c>
      <c r="J123" s="220">
        <v>1.07143E-2</v>
      </c>
      <c r="K123" s="220">
        <v>1.9047600000000001E-2</v>
      </c>
    </row>
    <row r="124" spans="1:11" ht="16.5" thickBot="1">
      <c r="A124" s="229" t="s">
        <v>424</v>
      </c>
      <c r="B124" s="232">
        <f t="shared" si="11"/>
        <v>5.0000000000000001E-4</v>
      </c>
      <c r="C124" s="232">
        <f t="shared" si="11"/>
        <v>5.0000000000000001E-4</v>
      </c>
      <c r="D124" s="232">
        <f t="shared" si="11"/>
        <v>5.0000000000000001E-4</v>
      </c>
      <c r="E124" s="233">
        <f t="shared" si="11"/>
        <v>5.9999999999999995E-4</v>
      </c>
      <c r="G124" s="263" t="s">
        <v>921</v>
      </c>
    </row>
    <row r="125" spans="1:11" ht="16.5" thickBot="1">
      <c r="A125" s="229" t="s">
        <v>425</v>
      </c>
      <c r="B125" s="232">
        <f t="shared" si="11"/>
        <v>3.0000000000000001E-3</v>
      </c>
      <c r="C125" s="232">
        <f t="shared" si="11"/>
        <v>3.0999999999999999E-3</v>
      </c>
      <c r="D125" s="232">
        <f t="shared" si="11"/>
        <v>2.8999999999999998E-3</v>
      </c>
      <c r="E125" s="233">
        <f t="shared" si="11"/>
        <v>4.3E-3</v>
      </c>
    </row>
    <row r="126" spans="1:11" ht="16.5" thickBot="1">
      <c r="A126" s="229" t="s">
        <v>428</v>
      </c>
      <c r="B126" s="232">
        <f t="shared" si="11"/>
        <v>6.3E-3</v>
      </c>
      <c r="C126" s="232">
        <f t="shared" si="11"/>
        <v>6.6E-3</v>
      </c>
      <c r="D126" s="232">
        <f t="shared" si="11"/>
        <v>6.7000000000000002E-3</v>
      </c>
      <c r="E126" s="233">
        <f t="shared" si="11"/>
        <v>8.3000000000000001E-3</v>
      </c>
    </row>
    <row r="127" spans="1:11" ht="16.5" thickBot="1">
      <c r="A127" s="229" t="s">
        <v>433</v>
      </c>
      <c r="B127" s="232">
        <f t="shared" si="11"/>
        <v>1.47E-2</v>
      </c>
      <c r="C127" s="232">
        <f t="shared" si="11"/>
        <v>1.52E-2</v>
      </c>
      <c r="D127" s="232">
        <f t="shared" si="11"/>
        <v>1.47E-2</v>
      </c>
      <c r="E127" s="233">
        <f t="shared" si="11"/>
        <v>1.7600000000000001E-2</v>
      </c>
    </row>
    <row r="128" spans="1:11" ht="16.5" thickBot="1">
      <c r="A128" s="229" t="s">
        <v>434</v>
      </c>
      <c r="B128" s="232">
        <f t="shared" si="11"/>
        <v>2.69E-2</v>
      </c>
      <c r="C128" s="232">
        <f t="shared" si="11"/>
        <v>2.7000000000000003E-2</v>
      </c>
      <c r="D128" s="232">
        <f t="shared" si="11"/>
        <v>2.6499999999999999E-2</v>
      </c>
      <c r="E128" s="233">
        <f t="shared" si="11"/>
        <v>0.03</v>
      </c>
    </row>
    <row r="129" spans="1:5" ht="16.5" thickBot="1">
      <c r="A129" s="229" t="s">
        <v>435</v>
      </c>
      <c r="B129" s="232">
        <f t="shared" si="11"/>
        <v>3.6799999999999999E-2</v>
      </c>
      <c r="C129" s="232">
        <f t="shared" si="11"/>
        <v>3.6699999999999997E-2</v>
      </c>
      <c r="D129" s="232">
        <f t="shared" si="11"/>
        <v>3.6000000000000004E-2</v>
      </c>
      <c r="E129" s="233">
        <f t="shared" si="11"/>
        <v>3.8900000000000004E-2</v>
      </c>
    </row>
    <row r="130" spans="1:5">
      <c r="A130" s="195" t="s">
        <v>436</v>
      </c>
      <c r="B130" s="237">
        <v>41677</v>
      </c>
    </row>
  </sheetData>
  <mergeCells count="5">
    <mergeCell ref="A121:E121"/>
    <mergeCell ref="F99:G99"/>
    <mergeCell ref="H99:I99"/>
    <mergeCell ref="A110:H110"/>
    <mergeCell ref="A112:E112"/>
  </mergeCells>
  <phoneticPr fontId="65" type="noConversion"/>
  <hyperlinks>
    <hyperlink ref="A110" r:id="rId1"/>
    <hyperlink ref="G124" r:id="rId2"/>
  </hyperlinks>
  <pageMargins left="0.7" right="0.7" top="0.75" bottom="0.75" header="0.3" footer="0.3"/>
  <legacyDrawing r:id="rId3"/>
</worksheet>
</file>

<file path=xl/worksheets/sheet11.xml><?xml version="1.0" encoding="utf-8"?>
<worksheet xmlns="http://schemas.openxmlformats.org/spreadsheetml/2006/main" xmlns:r="http://schemas.openxmlformats.org/officeDocument/2006/relationships">
  <dimension ref="B1:R38"/>
  <sheetViews>
    <sheetView showGridLines="0" zoomScale="70" zoomScaleNormal="70" zoomScalePageLayoutView="70" workbookViewId="0">
      <pane xSplit="2" ySplit="5" topLeftCell="C6" activePane="bottomRight" state="frozen"/>
      <selection pane="topRight" activeCell="C1" sqref="C1"/>
      <selection pane="bottomLeft" activeCell="A6" sqref="A6"/>
      <selection pane="bottomRight" activeCell="G31" sqref="G31"/>
    </sheetView>
  </sheetViews>
  <sheetFormatPr baseColWidth="10" defaultRowHeight="15"/>
  <cols>
    <col min="1" max="1" width="2.6640625" customWidth="1"/>
    <col min="2" max="2" width="32.109375" customWidth="1"/>
    <col min="3" max="14" width="10.77734375" customWidth="1"/>
    <col min="15" max="15" width="9.88671875" bestFit="1" customWidth="1"/>
    <col min="16" max="18" width="10.77734375" customWidth="1"/>
  </cols>
  <sheetData>
    <row r="1" spans="2:18" ht="15.75">
      <c r="B1" s="89" t="str">
        <f>+BG</f>
        <v>ENKA de Colombia S.A.</v>
      </c>
    </row>
    <row r="2" spans="2:18" ht="15.75">
      <c r="B2" s="89" t="s">
        <v>165</v>
      </c>
    </row>
    <row r="3" spans="2:18" ht="15.75">
      <c r="B3" s="51" t="s">
        <v>1109</v>
      </c>
    </row>
    <row r="4" spans="2:18" ht="15.75" thickBot="1"/>
    <row r="5" spans="2:18" ht="15.75">
      <c r="B5" s="407" t="s">
        <v>370</v>
      </c>
      <c r="C5" s="408">
        <v>2009</v>
      </c>
      <c r="D5" s="408">
        <f>+C5+1</f>
        <v>2010</v>
      </c>
      <c r="E5" s="408">
        <f t="shared" ref="E5:Q5" si="0">+D5+1</f>
        <v>2011</v>
      </c>
      <c r="F5" s="408">
        <f t="shared" si="0"/>
        <v>2012</v>
      </c>
      <c r="G5" s="408">
        <f t="shared" si="0"/>
        <v>2013</v>
      </c>
      <c r="H5" s="408">
        <f t="shared" si="0"/>
        <v>2014</v>
      </c>
      <c r="I5" s="408">
        <f t="shared" si="0"/>
        <v>2015</v>
      </c>
      <c r="J5" s="408">
        <f t="shared" si="0"/>
        <v>2016</v>
      </c>
      <c r="K5" s="408">
        <f t="shared" si="0"/>
        <v>2017</v>
      </c>
      <c r="L5" s="408">
        <f t="shared" si="0"/>
        <v>2018</v>
      </c>
      <c r="M5" s="408">
        <f t="shared" si="0"/>
        <v>2019</v>
      </c>
      <c r="N5" s="408">
        <f t="shared" si="0"/>
        <v>2020</v>
      </c>
      <c r="O5" s="408">
        <f t="shared" si="0"/>
        <v>2021</v>
      </c>
      <c r="P5" s="408">
        <f t="shared" si="0"/>
        <v>2022</v>
      </c>
      <c r="Q5" s="408">
        <f t="shared" si="0"/>
        <v>2023</v>
      </c>
      <c r="R5" s="409">
        <v>2024</v>
      </c>
    </row>
    <row r="6" spans="2:18">
      <c r="B6" s="168" t="s">
        <v>371</v>
      </c>
      <c r="C6" s="172">
        <f>+'Returns by Year'!D107</f>
        <v>6.5591232972045388E-2</v>
      </c>
      <c r="D6" s="172">
        <f>+C6</f>
        <v>6.5591232972045388E-2</v>
      </c>
      <c r="E6" s="172">
        <f>+D6</f>
        <v>6.5591232972045388E-2</v>
      </c>
      <c r="F6" s="172">
        <f>+E6</f>
        <v>6.5591232972045388E-2</v>
      </c>
      <c r="G6" s="172">
        <f>+F6</f>
        <v>6.5591232972045388E-2</v>
      </c>
      <c r="H6" s="172">
        <f>+'Returns by Year'!B128</f>
        <v>2.69E-2</v>
      </c>
      <c r="I6" s="172">
        <f t="shared" ref="I6:Q6" si="1">+H6</f>
        <v>2.69E-2</v>
      </c>
      <c r="J6" s="172">
        <f t="shared" si="1"/>
        <v>2.69E-2</v>
      </c>
      <c r="K6" s="172">
        <f t="shared" si="1"/>
        <v>2.69E-2</v>
      </c>
      <c r="L6" s="172">
        <f t="shared" si="1"/>
        <v>2.69E-2</v>
      </c>
      <c r="M6" s="172">
        <f t="shared" si="1"/>
        <v>2.69E-2</v>
      </c>
      <c r="N6" s="172">
        <f t="shared" si="1"/>
        <v>2.69E-2</v>
      </c>
      <c r="O6" s="172">
        <f t="shared" si="1"/>
        <v>2.69E-2</v>
      </c>
      <c r="P6" s="172">
        <f t="shared" si="1"/>
        <v>2.69E-2</v>
      </c>
      <c r="Q6" s="172">
        <f t="shared" si="1"/>
        <v>2.69E-2</v>
      </c>
      <c r="R6" s="173">
        <f>+Q6</f>
        <v>2.69E-2</v>
      </c>
    </row>
    <row r="7" spans="2:18">
      <c r="B7" s="168" t="s">
        <v>372</v>
      </c>
      <c r="C7" s="172">
        <f>+'Returns by Year'!B107</f>
        <v>9.8927060010666201E-2</v>
      </c>
      <c r="D7" s="172">
        <f t="shared" ref="D7:Q7" si="2">+C7</f>
        <v>9.8927060010666201E-2</v>
      </c>
      <c r="E7" s="172">
        <f t="shared" si="2"/>
        <v>9.8927060010666201E-2</v>
      </c>
      <c r="F7" s="172">
        <f t="shared" si="2"/>
        <v>9.8927060010666201E-2</v>
      </c>
      <c r="G7" s="172">
        <f t="shared" si="2"/>
        <v>9.8927060010666201E-2</v>
      </c>
      <c r="H7" s="172">
        <f t="shared" si="2"/>
        <v>9.8927060010666201E-2</v>
      </c>
      <c r="I7" s="172">
        <f t="shared" si="2"/>
        <v>9.8927060010666201E-2</v>
      </c>
      <c r="J7" s="172">
        <f t="shared" si="2"/>
        <v>9.8927060010666201E-2</v>
      </c>
      <c r="K7" s="172">
        <f t="shared" si="2"/>
        <v>9.8927060010666201E-2</v>
      </c>
      <c r="L7" s="172">
        <f t="shared" si="2"/>
        <v>9.8927060010666201E-2</v>
      </c>
      <c r="M7" s="172">
        <f t="shared" si="2"/>
        <v>9.8927060010666201E-2</v>
      </c>
      <c r="N7" s="172">
        <f t="shared" si="2"/>
        <v>9.8927060010666201E-2</v>
      </c>
      <c r="O7" s="172">
        <f t="shared" si="2"/>
        <v>9.8927060010666201E-2</v>
      </c>
      <c r="P7" s="172">
        <f t="shared" si="2"/>
        <v>9.8927060010666201E-2</v>
      </c>
      <c r="Q7" s="172">
        <f t="shared" si="2"/>
        <v>9.8927060010666201E-2</v>
      </c>
      <c r="R7" s="173">
        <f>+Q7</f>
        <v>9.8927060010666201E-2</v>
      </c>
    </row>
    <row r="8" spans="2:18">
      <c r="B8" s="168" t="s">
        <v>373</v>
      </c>
      <c r="C8" s="172">
        <f t="shared" ref="C8:R8" si="3">+C7-C6</f>
        <v>3.3335827038620813E-2</v>
      </c>
      <c r="D8" s="172">
        <f t="shared" si="3"/>
        <v>3.3335827038620813E-2</v>
      </c>
      <c r="E8" s="172">
        <f t="shared" si="3"/>
        <v>3.3335827038620813E-2</v>
      </c>
      <c r="F8" s="172">
        <f t="shared" si="3"/>
        <v>3.3335827038620813E-2</v>
      </c>
      <c r="G8" s="172">
        <f t="shared" si="3"/>
        <v>3.3335827038620813E-2</v>
      </c>
      <c r="H8" s="172">
        <f t="shared" si="3"/>
        <v>7.2027060010666194E-2</v>
      </c>
      <c r="I8" s="172">
        <f t="shared" si="3"/>
        <v>7.2027060010666194E-2</v>
      </c>
      <c r="J8" s="172">
        <f t="shared" si="3"/>
        <v>7.2027060010666194E-2</v>
      </c>
      <c r="K8" s="172">
        <f t="shared" si="3"/>
        <v>7.2027060010666194E-2</v>
      </c>
      <c r="L8" s="172">
        <f t="shared" si="3"/>
        <v>7.2027060010666194E-2</v>
      </c>
      <c r="M8" s="172">
        <f t="shared" si="3"/>
        <v>7.2027060010666194E-2</v>
      </c>
      <c r="N8" s="172">
        <f t="shared" si="3"/>
        <v>7.2027060010666194E-2</v>
      </c>
      <c r="O8" s="172">
        <f t="shared" si="3"/>
        <v>7.2027060010666194E-2</v>
      </c>
      <c r="P8" s="172">
        <f t="shared" si="3"/>
        <v>7.2027060010666194E-2</v>
      </c>
      <c r="Q8" s="172">
        <f t="shared" si="3"/>
        <v>7.2027060010666194E-2</v>
      </c>
      <c r="R8" s="173">
        <f t="shared" si="3"/>
        <v>7.2027060010666194E-2</v>
      </c>
    </row>
    <row r="9" spans="2:18">
      <c r="B9" s="168" t="s">
        <v>374</v>
      </c>
      <c r="C9" s="177">
        <f>+Betas!F114</f>
        <v>1.1299999999999999</v>
      </c>
      <c r="D9" s="260">
        <f t="shared" ref="D9:Q9" si="4">+C9</f>
        <v>1.1299999999999999</v>
      </c>
      <c r="E9" s="260">
        <f t="shared" si="4"/>
        <v>1.1299999999999999</v>
      </c>
      <c r="F9" s="260">
        <f t="shared" si="4"/>
        <v>1.1299999999999999</v>
      </c>
      <c r="G9" s="260">
        <f t="shared" si="4"/>
        <v>1.1299999999999999</v>
      </c>
      <c r="H9" s="260">
        <f t="shared" si="4"/>
        <v>1.1299999999999999</v>
      </c>
      <c r="I9" s="260">
        <f t="shared" si="4"/>
        <v>1.1299999999999999</v>
      </c>
      <c r="J9" s="260">
        <f t="shared" si="4"/>
        <v>1.1299999999999999</v>
      </c>
      <c r="K9" s="260">
        <f t="shared" si="4"/>
        <v>1.1299999999999999</v>
      </c>
      <c r="L9" s="260">
        <f t="shared" si="4"/>
        <v>1.1299999999999999</v>
      </c>
      <c r="M9" s="260">
        <f t="shared" si="4"/>
        <v>1.1299999999999999</v>
      </c>
      <c r="N9" s="260">
        <f t="shared" si="4"/>
        <v>1.1299999999999999</v>
      </c>
      <c r="O9" s="260">
        <f t="shared" si="4"/>
        <v>1.1299999999999999</v>
      </c>
      <c r="P9" s="260">
        <f t="shared" si="4"/>
        <v>1.1299999999999999</v>
      </c>
      <c r="Q9" s="260">
        <f t="shared" si="4"/>
        <v>1.1299999999999999</v>
      </c>
      <c r="R9" s="261">
        <f>+Q9</f>
        <v>1.1299999999999999</v>
      </c>
    </row>
    <row r="10" spans="2:18">
      <c r="B10" s="168" t="s">
        <v>375</v>
      </c>
      <c r="C10" s="172">
        <f>+'Returns by Year'!G123</f>
        <v>2.85714E-2</v>
      </c>
      <c r="D10" s="172">
        <f>+'Returns by Year'!H123</f>
        <v>2.1428599999999999E-2</v>
      </c>
      <c r="E10" s="172">
        <f>+'Returns by Year'!I123</f>
        <v>1.7857100000000001E-2</v>
      </c>
      <c r="F10" s="172">
        <f>+'Returns by Year'!J123</f>
        <v>1.07143E-2</v>
      </c>
      <c r="G10" s="172">
        <f>+'Returns by Year'!K123</f>
        <v>1.9047600000000001E-2</v>
      </c>
      <c r="H10" s="172">
        <f t="shared" ref="H10:Q10" si="5">+G10</f>
        <v>1.9047600000000001E-2</v>
      </c>
      <c r="I10" s="172">
        <f t="shared" si="5"/>
        <v>1.9047600000000001E-2</v>
      </c>
      <c r="J10" s="172">
        <f t="shared" si="5"/>
        <v>1.9047600000000001E-2</v>
      </c>
      <c r="K10" s="172">
        <f t="shared" si="5"/>
        <v>1.9047600000000001E-2</v>
      </c>
      <c r="L10" s="172">
        <f t="shared" si="5"/>
        <v>1.9047600000000001E-2</v>
      </c>
      <c r="M10" s="172">
        <f t="shared" si="5"/>
        <v>1.9047600000000001E-2</v>
      </c>
      <c r="N10" s="172">
        <f t="shared" si="5"/>
        <v>1.9047600000000001E-2</v>
      </c>
      <c r="O10" s="172">
        <f t="shared" si="5"/>
        <v>1.9047600000000001E-2</v>
      </c>
      <c r="P10" s="172">
        <f t="shared" si="5"/>
        <v>1.9047600000000001E-2</v>
      </c>
      <c r="Q10" s="172">
        <f t="shared" si="5"/>
        <v>1.9047600000000001E-2</v>
      </c>
      <c r="R10" s="173">
        <f>+Q10</f>
        <v>1.9047600000000001E-2</v>
      </c>
    </row>
    <row r="11" spans="2:18" ht="15.75" thickBot="1">
      <c r="B11" s="169" t="s">
        <v>376</v>
      </c>
      <c r="C11" s="265">
        <f>+((C9*(1+(1-C27)*(C13/C15))))</f>
        <v>1.242256085172885</v>
      </c>
      <c r="D11" s="265">
        <f t="shared" ref="D11:R11" si="6">+((D9*(1+(1-D27)*(D13/D15))))</f>
        <v>1.2433106763379396</v>
      </c>
      <c r="E11" s="265">
        <f t="shared" si="6"/>
        <v>1.2565123572029182</v>
      </c>
      <c r="F11" s="265">
        <f t="shared" si="6"/>
        <v>1.2540880836100801</v>
      </c>
      <c r="G11" s="265">
        <f t="shared" si="6"/>
        <v>1.2633763175552288</v>
      </c>
      <c r="H11" s="265">
        <f t="shared" si="6"/>
        <v>1.1889464441934141</v>
      </c>
      <c r="I11" s="265">
        <f t="shared" si="6"/>
        <v>1.1805244952733633</v>
      </c>
      <c r="J11" s="265">
        <f t="shared" si="6"/>
        <v>1.1721025463533128</v>
      </c>
      <c r="K11" s="265">
        <f t="shared" si="6"/>
        <v>1.1636805974332622</v>
      </c>
      <c r="L11" s="265">
        <f t="shared" si="6"/>
        <v>1.1552586485132115</v>
      </c>
      <c r="M11" s="265">
        <f t="shared" si="6"/>
        <v>1.1468366995931607</v>
      </c>
      <c r="N11" s="265">
        <f t="shared" si="6"/>
        <v>1.1384147506731104</v>
      </c>
      <c r="O11" s="265">
        <f t="shared" si="6"/>
        <v>1.1299999999999999</v>
      </c>
      <c r="P11" s="265">
        <f t="shared" si="6"/>
        <v>1.1299999999999999</v>
      </c>
      <c r="Q11" s="265">
        <f t="shared" si="6"/>
        <v>1.1299999999999999</v>
      </c>
      <c r="R11" s="266">
        <f t="shared" si="6"/>
        <v>1.1299999999999999</v>
      </c>
    </row>
    <row r="12" spans="2:18" ht="15.75" thickBot="1"/>
    <row r="13" spans="2:18">
      <c r="B13" s="174" t="s">
        <v>1139</v>
      </c>
      <c r="C13" s="175">
        <f>+Balance!D31+Balance!D32+Balance!D39+Balance!D43+Balance!D50</f>
        <v>17457</v>
      </c>
      <c r="D13" s="175">
        <f>+Balance!E31+Balance!E32+Balance!E39+Balance!E43+Balance!E50</f>
        <v>17621</v>
      </c>
      <c r="E13" s="175">
        <f>+Balance!F31+Balance!F32+Balance!F39+Balance!F43+Balance!F50</f>
        <v>19674</v>
      </c>
      <c r="F13" s="175">
        <f>+Balance!G31+Balance!G32+Balance!G39+Balance!G43+Balance!G50</f>
        <v>19297</v>
      </c>
      <c r="G13" s="175">
        <f>+Balance!H31+Balance!H32+Balance!H39+Balance!H43+Balance!H50</f>
        <v>18529</v>
      </c>
      <c r="H13" s="175">
        <f>+Balance!I31+Balance!I32+Balance!I39+Balance!I43+Balance!I50</f>
        <v>8189</v>
      </c>
      <c r="I13" s="175">
        <f>+Balance!J31+Balance!J32+Balance!J39+Balance!J43+Balance!J50</f>
        <v>7019</v>
      </c>
      <c r="J13" s="175">
        <f>+Balance!K31+Balance!K32+Balance!K39+Balance!K43+Balance!K50</f>
        <v>5849.0000000000118</v>
      </c>
      <c r="K13" s="175">
        <f>+Balance!L31+Balance!L32+Balance!L39+Balance!L43+Balance!L50</f>
        <v>4679.0000000000027</v>
      </c>
      <c r="L13" s="175">
        <f>+Balance!M31+Balance!M32+Balance!M39+Balance!M43+Balance!M50</f>
        <v>3509.0000000000009</v>
      </c>
      <c r="M13" s="175">
        <f>+Balance!N31+Balance!N32+Balance!N39+Balance!N43+Balance!N50</f>
        <v>2339</v>
      </c>
      <c r="N13" s="175">
        <f>+Balance!O31+Balance!O32+Balance!O39+Balance!O43+Balance!O50</f>
        <v>1169</v>
      </c>
      <c r="O13" s="593">
        <f>+Balance!P31+Balance!P32+Balance!P39+Balance!P43+Balance!P50</f>
        <v>1.546140993013978E-11</v>
      </c>
      <c r="P13" s="593">
        <f>+Balance!Q31+Balance!Q32+Balance!Q39+Balance!Q43+Balance!Q50</f>
        <v>7.73070496506989E-12</v>
      </c>
      <c r="Q13" s="593">
        <f>+Balance!R31+Balance!R32+Balance!R39+Balance!R43+Balance!R50</f>
        <v>3.637978807091713E-12</v>
      </c>
      <c r="R13" s="594">
        <f>+Balance!S31+Balance!S32+Balance!S39+Balance!S43+Balance!S50</f>
        <v>0</v>
      </c>
    </row>
    <row r="14" spans="2:18">
      <c r="B14" s="399" t="s">
        <v>1140</v>
      </c>
      <c r="C14" s="400">
        <f>+Balance!D33+Balance!D44</f>
        <v>0</v>
      </c>
      <c r="D14" s="400">
        <f>+Balance!E33+Balance!E44</f>
        <v>0</v>
      </c>
      <c r="E14" s="400">
        <f>+Balance!F33+Balance!F44</f>
        <v>6362</v>
      </c>
      <c r="F14" s="400">
        <f>+Balance!G33+Balance!G44</f>
        <v>29089</v>
      </c>
      <c r="G14" s="400">
        <f>+Balance!H33+Balance!H44</f>
        <v>43930</v>
      </c>
      <c r="H14" s="400">
        <f>+Balance!I33+Balance!I44</f>
        <v>40426</v>
      </c>
      <c r="I14" s="400">
        <f>+Balance!J33+Balance!J44</f>
        <v>35527</v>
      </c>
      <c r="J14" s="400">
        <f>+Balance!K33+Balance!K44</f>
        <v>30360</v>
      </c>
      <c r="K14" s="400">
        <f>+Balance!L33+Balance!L44</f>
        <v>24908</v>
      </c>
      <c r="L14" s="400">
        <f>+Balance!M33+Balance!M44</f>
        <v>19154</v>
      </c>
      <c r="M14" s="400">
        <f>+Balance!N33+Balance!N44</f>
        <v>15323.2</v>
      </c>
      <c r="N14" s="400">
        <f>+Balance!O33+Balance!O44</f>
        <v>11492.400000000001</v>
      </c>
      <c r="O14" s="400">
        <f>+Balance!P33+Balance!P44</f>
        <v>7661.6000000000013</v>
      </c>
      <c r="P14" s="400">
        <f>+Balance!Q33+Balance!Q44</f>
        <v>3830.8</v>
      </c>
      <c r="Q14" s="400">
        <f>+Balance!R33+Balance!R44</f>
        <v>0</v>
      </c>
      <c r="R14" s="402">
        <f>+Balance!S33+Balance!S44</f>
        <v>0</v>
      </c>
    </row>
    <row r="15" spans="2:18" ht="15.75" thickBot="1">
      <c r="B15" s="179" t="s">
        <v>154</v>
      </c>
      <c r="C15" s="180">
        <f>+Balance!D59</f>
        <v>117737</v>
      </c>
      <c r="D15" s="180">
        <f>+Balance!E59</f>
        <v>117737</v>
      </c>
      <c r="E15" s="180">
        <f>+Balance!F59</f>
        <v>117737</v>
      </c>
      <c r="F15" s="180">
        <f>+Balance!G59</f>
        <v>117737</v>
      </c>
      <c r="G15" s="180">
        <f>+Balance!H59</f>
        <v>117737</v>
      </c>
      <c r="H15" s="180">
        <f>+Balance!I59</f>
        <v>117737</v>
      </c>
      <c r="I15" s="180">
        <f>+Balance!J59</f>
        <v>117737</v>
      </c>
      <c r="J15" s="180">
        <f>+Balance!K59</f>
        <v>117737</v>
      </c>
      <c r="K15" s="180">
        <f>+Balance!L59</f>
        <v>117737</v>
      </c>
      <c r="L15" s="180">
        <f>+Balance!M59</f>
        <v>117737</v>
      </c>
      <c r="M15" s="180">
        <f>+Balance!N59</f>
        <v>117737</v>
      </c>
      <c r="N15" s="180">
        <f>+Balance!O59</f>
        <v>117737</v>
      </c>
      <c r="O15" s="180">
        <f>+Balance!P59</f>
        <v>117737</v>
      </c>
      <c r="P15" s="180">
        <f>+Balance!Q59</f>
        <v>117737</v>
      </c>
      <c r="Q15" s="180">
        <f>+Balance!R59</f>
        <v>117737</v>
      </c>
      <c r="R15" s="367">
        <f>+Balance!S59</f>
        <v>117737</v>
      </c>
    </row>
    <row r="16" spans="2:18" ht="16.5" thickBot="1">
      <c r="B16" s="181" t="s">
        <v>377</v>
      </c>
      <c r="C16" s="182">
        <f t="shared" ref="C16:R16" si="7">SUM(C13:C15)</f>
        <v>135194</v>
      </c>
      <c r="D16" s="182">
        <f t="shared" si="7"/>
        <v>135358</v>
      </c>
      <c r="E16" s="182">
        <f t="shared" si="7"/>
        <v>143773</v>
      </c>
      <c r="F16" s="182">
        <f t="shared" si="7"/>
        <v>166123</v>
      </c>
      <c r="G16" s="182">
        <f t="shared" si="7"/>
        <v>180196</v>
      </c>
      <c r="H16" s="182">
        <f t="shared" si="7"/>
        <v>166352</v>
      </c>
      <c r="I16" s="182">
        <f t="shared" si="7"/>
        <v>160283</v>
      </c>
      <c r="J16" s="182">
        <f t="shared" si="7"/>
        <v>153946</v>
      </c>
      <c r="K16" s="182">
        <f t="shared" si="7"/>
        <v>147324</v>
      </c>
      <c r="L16" s="182">
        <f t="shared" si="7"/>
        <v>140400</v>
      </c>
      <c r="M16" s="182">
        <f t="shared" si="7"/>
        <v>135399.20000000001</v>
      </c>
      <c r="N16" s="182">
        <f t="shared" si="7"/>
        <v>130398.39999999999</v>
      </c>
      <c r="O16" s="182">
        <f t="shared" si="7"/>
        <v>125398.60000000002</v>
      </c>
      <c r="P16" s="182">
        <f t="shared" si="7"/>
        <v>121567.8</v>
      </c>
      <c r="Q16" s="182">
        <f t="shared" si="7"/>
        <v>117737</v>
      </c>
      <c r="R16" s="366">
        <f t="shared" si="7"/>
        <v>117737</v>
      </c>
    </row>
    <row r="17" spans="2:18" ht="15.75" thickBot="1">
      <c r="E17" s="342"/>
      <c r="F17" s="342"/>
      <c r="G17" s="342"/>
      <c r="H17" s="342"/>
      <c r="I17" s="342"/>
      <c r="J17" s="342"/>
      <c r="K17" s="342"/>
      <c r="L17" s="342"/>
      <c r="M17" s="342"/>
      <c r="N17" s="342"/>
      <c r="O17" s="342"/>
      <c r="P17" s="342"/>
      <c r="Q17" s="342"/>
      <c r="R17" s="342"/>
    </row>
    <row r="18" spans="2:18">
      <c r="B18" s="174" t="s">
        <v>378</v>
      </c>
      <c r="C18" s="184">
        <f>IF(ISERROR((C13+C14)/C$16),0,(C13+C14)/C$16)</f>
        <v>0.12912555290915279</v>
      </c>
      <c r="D18" s="184">
        <f t="shared" ref="D18:R18" si="8">IF(ISERROR((D13+D14)/D$16),0,(D13+D14)/D$16)</f>
        <v>0.13018070597969827</v>
      </c>
      <c r="E18" s="184">
        <f t="shared" si="8"/>
        <v>0.18109102543593025</v>
      </c>
      <c r="F18" s="184">
        <f t="shared" si="8"/>
        <v>0.29126611005098629</v>
      </c>
      <c r="G18" s="184">
        <f t="shared" si="8"/>
        <v>0.34661701702590514</v>
      </c>
      <c r="H18" s="184">
        <f t="shared" si="8"/>
        <v>0.29224175242858519</v>
      </c>
      <c r="I18" s="184">
        <f t="shared" si="8"/>
        <v>0.26544299769782198</v>
      </c>
      <c r="J18" s="184">
        <f t="shared" si="8"/>
        <v>0.23520585140243991</v>
      </c>
      <c r="K18" s="184">
        <f t="shared" si="8"/>
        <v>0.20082946430995632</v>
      </c>
      <c r="L18" s="184">
        <f t="shared" si="8"/>
        <v>0.16141737891737892</v>
      </c>
      <c r="M18" s="184">
        <f t="shared" si="8"/>
        <v>0.13044537929323069</v>
      </c>
      <c r="N18" s="184">
        <f t="shared" si="8"/>
        <v>9.7097817151130708E-2</v>
      </c>
      <c r="O18" s="184">
        <f t="shared" si="8"/>
        <v>6.1097970790742605E-2</v>
      </c>
      <c r="P18" s="184">
        <f t="shared" si="8"/>
        <v>3.1511633837249732E-2</v>
      </c>
      <c r="Q18" s="184">
        <f t="shared" si="8"/>
        <v>3.0899197423849029E-17</v>
      </c>
      <c r="R18" s="185">
        <f t="shared" si="8"/>
        <v>0</v>
      </c>
    </row>
    <row r="19" spans="2:18" ht="15.75" thickBot="1">
      <c r="B19" s="183" t="s">
        <v>379</v>
      </c>
      <c r="C19" s="186">
        <f>IF(ISERROR(C15/C$16),0,C15/C$16)</f>
        <v>0.87087444709084727</v>
      </c>
      <c r="D19" s="186">
        <f t="shared" ref="D19:Q19" si="9">IF(ISERROR(D15/D$16),0,D15/D$16)</f>
        <v>0.86981929402030167</v>
      </c>
      <c r="E19" s="186">
        <f t="shared" si="9"/>
        <v>0.81890897456406975</v>
      </c>
      <c r="F19" s="186">
        <f t="shared" si="9"/>
        <v>0.70873388994901365</v>
      </c>
      <c r="G19" s="186">
        <f t="shared" si="9"/>
        <v>0.65338298297409492</v>
      </c>
      <c r="H19" s="186">
        <f t="shared" si="9"/>
        <v>0.70775824757141481</v>
      </c>
      <c r="I19" s="186">
        <f t="shared" si="9"/>
        <v>0.73455700230217802</v>
      </c>
      <c r="J19" s="186">
        <f t="shared" si="9"/>
        <v>0.76479414859756023</v>
      </c>
      <c r="K19" s="186">
        <f t="shared" si="9"/>
        <v>0.7991705356900437</v>
      </c>
      <c r="L19" s="186">
        <f t="shared" si="9"/>
        <v>0.83858262108262105</v>
      </c>
      <c r="M19" s="186">
        <f t="shared" si="9"/>
        <v>0.86955462070676925</v>
      </c>
      <c r="N19" s="186">
        <f t="shared" si="9"/>
        <v>0.90290218284886936</v>
      </c>
      <c r="O19" s="186">
        <f t="shared" si="9"/>
        <v>0.93890202920925736</v>
      </c>
      <c r="P19" s="186">
        <f t="shared" si="9"/>
        <v>0.96848836616275036</v>
      </c>
      <c r="Q19" s="186">
        <f t="shared" si="9"/>
        <v>1</v>
      </c>
      <c r="R19" s="187">
        <f>IF(ISERROR(R15/R$16),0,R15/R$16)</f>
        <v>1</v>
      </c>
    </row>
    <row r="20" spans="2:18" ht="15.75" thickBot="1"/>
    <row r="21" spans="2:18" ht="16.5" thickBot="1">
      <c r="B21" s="188" t="s">
        <v>380</v>
      </c>
      <c r="C21" s="189">
        <f>+C6+(C8*C11)+C10</f>
        <v>0.13557426696504288</v>
      </c>
      <c r="D21" s="189">
        <f t="shared" ref="D21:R21" si="10">+D6+(D8*D11)+D10</f>
        <v>0.12846662263371761</v>
      </c>
      <c r="E21" s="189">
        <f t="shared" si="10"/>
        <v>0.1253352115836516</v>
      </c>
      <c r="F21" s="189">
        <f t="shared" si="10"/>
        <v>0.11811159641846646</v>
      </c>
      <c r="G21" s="189">
        <f t="shared" si="10"/>
        <v>0.12675452737875617</v>
      </c>
      <c r="H21" s="189">
        <f t="shared" si="10"/>
        <v>0.13158391688538723</v>
      </c>
      <c r="I21" s="189">
        <f t="shared" si="10"/>
        <v>0.13097730866511595</v>
      </c>
      <c r="J21" s="189">
        <f t="shared" si="10"/>
        <v>0.13037070044484472</v>
      </c>
      <c r="K21" s="189">
        <f t="shared" si="10"/>
        <v>0.12976409222457347</v>
      </c>
      <c r="L21" s="189">
        <f t="shared" si="10"/>
        <v>0.12915748400430221</v>
      </c>
      <c r="M21" s="189">
        <f t="shared" si="10"/>
        <v>0.12855087578403093</v>
      </c>
      <c r="N21" s="189">
        <f t="shared" si="10"/>
        <v>0.12794426756375971</v>
      </c>
      <c r="O21" s="189">
        <f t="shared" si="10"/>
        <v>0.12733817781205278</v>
      </c>
      <c r="P21" s="189">
        <f t="shared" si="10"/>
        <v>0.12733817781205278</v>
      </c>
      <c r="Q21" s="189">
        <f t="shared" si="10"/>
        <v>0.12733817781205278</v>
      </c>
      <c r="R21" s="190">
        <f t="shared" si="10"/>
        <v>0.12733817781205278</v>
      </c>
    </row>
    <row r="22" spans="2:18" ht="15.75" thickBot="1"/>
    <row r="23" spans="2:18">
      <c r="B23" s="174" t="s">
        <v>1137</v>
      </c>
      <c r="C23" s="175">
        <f>+Resultados!C25</f>
        <v>-2358</v>
      </c>
      <c r="D23" s="175">
        <f>+Resultados!D25</f>
        <v>-1134</v>
      </c>
      <c r="E23" s="175">
        <f>+Resultados!E25</f>
        <v>-630</v>
      </c>
      <c r="F23" s="175">
        <f>+Resultados!F25</f>
        <v>-1136</v>
      </c>
      <c r="G23" s="175">
        <f>+Resultados!G25</f>
        <v>-1149</v>
      </c>
      <c r="H23" s="175">
        <f t="array" ref="H23:R23">-TRANSPOSE('Proyecc Deuda'!G91:G101)</f>
        <v>-479.64245000000005</v>
      </c>
      <c r="I23" s="175">
        <v>-203.0872</v>
      </c>
      <c r="J23" s="175">
        <v>-187.75825</v>
      </c>
      <c r="K23" s="175">
        <v>-149.44195000000067</v>
      </c>
      <c r="L23" s="175">
        <v>-113.69970000000013</v>
      </c>
      <c r="M23" s="175">
        <v>-76.496200000000044</v>
      </c>
      <c r="N23" s="175">
        <v>-50.990200000000002</v>
      </c>
      <c r="O23" s="175">
        <v>-25.484200000000001</v>
      </c>
      <c r="P23" s="175">
        <v>-7.559186806918594E-13</v>
      </c>
      <c r="Q23" s="175">
        <v>0</v>
      </c>
      <c r="R23" s="365">
        <v>0</v>
      </c>
    </row>
    <row r="24" spans="2:18">
      <c r="B24" s="191" t="s">
        <v>1138</v>
      </c>
      <c r="C24" s="397"/>
      <c r="D24" s="397"/>
      <c r="E24" s="397"/>
      <c r="F24" s="397"/>
      <c r="G24" s="397"/>
      <c r="H24" s="397">
        <f t="array" ref="H24:R24">-TRANSPOSE('Proyecc Deuda'!H91:H101)</f>
        <v>-2040.6644752000036</v>
      </c>
      <c r="I24" s="397">
        <v>-1917.0774140772046</v>
      </c>
      <c r="J24" s="397">
        <v>-1660.6374596630023</v>
      </c>
      <c r="K24" s="397">
        <v>-1410.3021504000026</v>
      </c>
      <c r="L24" s="397">
        <v>-1141.0217706368044</v>
      </c>
      <c r="M24" s="397">
        <v>-882.31073325320438</v>
      </c>
      <c r="N24" s="397">
        <v>-705.8485866025635</v>
      </c>
      <c r="O24" s="397">
        <v>-529.38643995192251</v>
      </c>
      <c r="P24" s="397">
        <v>-352.92429330128175</v>
      </c>
      <c r="Q24" s="397">
        <v>-176.4621466506409</v>
      </c>
      <c r="R24" s="398">
        <v>0</v>
      </c>
    </row>
    <row r="25" spans="2:18">
      <c r="B25" s="191" t="s">
        <v>1141</v>
      </c>
      <c r="C25" s="192">
        <f t="shared" ref="C25:R26" si="11">IF(C13&lt;=0,0,-C23/C13)</f>
        <v>0.13507475511256228</v>
      </c>
      <c r="D25" s="192">
        <f t="shared" si="11"/>
        <v>6.4355030929005158E-2</v>
      </c>
      <c r="E25" s="192">
        <f t="shared" si="11"/>
        <v>3.2021957913998172E-2</v>
      </c>
      <c r="F25" s="192">
        <f t="shared" si="11"/>
        <v>5.886925428823133E-2</v>
      </c>
      <c r="G25" s="192">
        <f t="shared" si="11"/>
        <v>6.2010901829564466E-2</v>
      </c>
      <c r="H25" s="192">
        <f t="shared" si="11"/>
        <v>5.8571553303211635E-2</v>
      </c>
      <c r="I25" s="192">
        <f t="shared" si="11"/>
        <v>2.8933922211141189E-2</v>
      </c>
      <c r="J25" s="192">
        <f t="shared" si="11"/>
        <v>3.210091468627109E-2</v>
      </c>
      <c r="K25" s="192">
        <f t="shared" si="11"/>
        <v>3.193886514212451E-2</v>
      </c>
      <c r="L25" s="192">
        <f t="shared" si="11"/>
        <v>3.2402308349957283E-2</v>
      </c>
      <c r="M25" s="192">
        <f t="shared" si="11"/>
        <v>3.2704660111158634E-2</v>
      </c>
      <c r="N25" s="192">
        <f t="shared" si="11"/>
        <v>4.3618648417450813E-2</v>
      </c>
      <c r="O25" s="596">
        <v>0</v>
      </c>
      <c r="P25" s="192">
        <f t="shared" si="11"/>
        <v>9.7781338714563848E-2</v>
      </c>
      <c r="Q25" s="192">
        <f t="shared" si="11"/>
        <v>0</v>
      </c>
      <c r="R25" s="381">
        <f>IF(R13&lt;=0,0,-R23/R13)</f>
        <v>0</v>
      </c>
    </row>
    <row r="26" spans="2:18">
      <c r="B26" s="191" t="s">
        <v>1142</v>
      </c>
      <c r="C26" s="192">
        <f t="shared" si="11"/>
        <v>0</v>
      </c>
      <c r="D26" s="192">
        <f t="shared" si="11"/>
        <v>0</v>
      </c>
      <c r="E26" s="192">
        <f t="shared" si="11"/>
        <v>0</v>
      </c>
      <c r="F26" s="192">
        <f t="shared" si="11"/>
        <v>0</v>
      </c>
      <c r="G26" s="192">
        <f t="shared" si="11"/>
        <v>0</v>
      </c>
      <c r="H26" s="192">
        <f t="shared" si="11"/>
        <v>5.0479010419037344E-2</v>
      </c>
      <c r="I26" s="192">
        <f t="shared" si="11"/>
        <v>5.3961139811332354E-2</v>
      </c>
      <c r="J26" s="192">
        <f t="shared" si="11"/>
        <v>5.4698203546212201E-2</v>
      </c>
      <c r="K26" s="192">
        <f t="shared" si="11"/>
        <v>5.6620449269311167E-2</v>
      </c>
      <c r="L26" s="192">
        <f t="shared" si="11"/>
        <v>5.9570939262650328E-2</v>
      </c>
      <c r="M26" s="192">
        <f t="shared" si="11"/>
        <v>5.7580057250000281E-2</v>
      </c>
      <c r="N26" s="192">
        <f t="shared" si="11"/>
        <v>6.1418727733333629E-2</v>
      </c>
      <c r="O26" s="192">
        <f t="shared" si="11"/>
        <v>6.9096068700000318E-2</v>
      </c>
      <c r="P26" s="192">
        <f t="shared" si="11"/>
        <v>9.2128091600000447E-2</v>
      </c>
      <c r="Q26" s="192">
        <f t="shared" si="11"/>
        <v>0</v>
      </c>
      <c r="R26" s="381">
        <f t="shared" si="11"/>
        <v>0</v>
      </c>
    </row>
    <row r="27" spans="2:18">
      <c r="B27" s="176" t="s">
        <v>213</v>
      </c>
      <c r="C27" s="170">
        <f>-Impuestos!C27</f>
        <v>0.33</v>
      </c>
      <c r="D27" s="170">
        <f>-Impuestos!D27</f>
        <v>0.33</v>
      </c>
      <c r="E27" s="170">
        <f>-Impuestos!E27</f>
        <v>0.33</v>
      </c>
      <c r="F27" s="170">
        <f>-Impuestos!F27</f>
        <v>0.33</v>
      </c>
      <c r="G27" s="170">
        <f>-Impuestos!G27</f>
        <v>0.25</v>
      </c>
      <c r="H27" s="170">
        <f>-Impuestos!H27</f>
        <v>0.25</v>
      </c>
      <c r="I27" s="170">
        <f>-Impuestos!I27</f>
        <v>0.25</v>
      </c>
      <c r="J27" s="170">
        <f>-Impuestos!J27</f>
        <v>0.25</v>
      </c>
      <c r="K27" s="170">
        <f>-Impuestos!K27</f>
        <v>0.25</v>
      </c>
      <c r="L27" s="170">
        <f>-Impuestos!L27</f>
        <v>0.25</v>
      </c>
      <c r="M27" s="170">
        <f>-Impuestos!M27</f>
        <v>0.25</v>
      </c>
      <c r="N27" s="170">
        <f>-Impuestos!N27</f>
        <v>0.25</v>
      </c>
      <c r="O27" s="170">
        <f>-Impuestos!O27</f>
        <v>0.25</v>
      </c>
      <c r="P27" s="170">
        <f>-Impuestos!P27</f>
        <v>0.25</v>
      </c>
      <c r="Q27" s="170">
        <f>-Impuestos!Q27</f>
        <v>0.25</v>
      </c>
      <c r="R27" s="171">
        <f>-Impuestos!R27</f>
        <v>0.25</v>
      </c>
    </row>
    <row r="28" spans="2:18" ht="16.5" thickBot="1">
      <c r="B28" s="178" t="s">
        <v>381</v>
      </c>
      <c r="C28" s="193">
        <f>((1+(C25*(1-C27)))*(1+C26))-1</f>
        <v>9.0500085925416807E-2</v>
      </c>
      <c r="D28" s="193">
        <f t="shared" ref="D28:R28" si="12">((1+(D25*(1-D27)))*(1+D26))-1</f>
        <v>4.3117870722433338E-2</v>
      </c>
      <c r="E28" s="193">
        <f t="shared" si="12"/>
        <v>2.1454711802378679E-2</v>
      </c>
      <c r="F28" s="193">
        <f t="shared" si="12"/>
        <v>3.9442400373115083E-2</v>
      </c>
      <c r="G28" s="193">
        <f t="shared" si="12"/>
        <v>4.6508176372173304E-2</v>
      </c>
      <c r="H28" s="193">
        <f t="shared" si="12"/>
        <v>9.6625150933534965E-2</v>
      </c>
      <c r="I28" s="193">
        <f t="shared" si="12"/>
        <v>7.6832562035982654E-2</v>
      </c>
      <c r="J28" s="193">
        <f t="shared" si="12"/>
        <v>8.0090786335062614E-2</v>
      </c>
      <c r="K28" s="193">
        <f t="shared" si="12"/>
        <v>8.193089279602872E-2</v>
      </c>
      <c r="L28" s="193">
        <f t="shared" si="12"/>
        <v>8.532034748213202E-2</v>
      </c>
      <c r="M28" s="193">
        <f t="shared" si="12"/>
        <v>8.3520904484525982E-2</v>
      </c>
      <c r="N28" s="193">
        <f t="shared" si="12"/>
        <v>9.6141965464857204E-2</v>
      </c>
      <c r="O28" s="193">
        <f t="shared" si="12"/>
        <v>6.9096068700000401E-2</v>
      </c>
      <c r="P28" s="193">
        <f t="shared" si="12"/>
        <v>0.17222040173332287</v>
      </c>
      <c r="Q28" s="193">
        <f t="shared" si="12"/>
        <v>0</v>
      </c>
      <c r="R28" s="194">
        <f t="shared" si="12"/>
        <v>0</v>
      </c>
    </row>
    <row r="29" spans="2:18" ht="15.75" thickBot="1"/>
    <row r="30" spans="2:18" ht="16.5" thickBot="1">
      <c r="B30" s="188" t="s">
        <v>165</v>
      </c>
      <c r="C30" s="267">
        <f>+(C21*C19)+(C28*C18)</f>
        <v>0.12975403841637392</v>
      </c>
      <c r="D30" s="267">
        <f t="shared" ref="D30:R30" si="13">+(D21*D19)+(D28*D18)</f>
        <v>0.1173558618554205</v>
      </c>
      <c r="E30" s="267">
        <f t="shared" si="13"/>
        <v>0.10652338535546396</v>
      </c>
      <c r="F30" s="267">
        <f t="shared" si="13"/>
        <v>9.5197925705498523E-2</v>
      </c>
      <c r="G30" s="267">
        <f t="shared" si="13"/>
        <v>9.893977656564068E-2</v>
      </c>
      <c r="H30" s="267">
        <f t="shared" si="13"/>
        <v>0.12136750586087716</v>
      </c>
      <c r="I30" s="267">
        <f t="shared" si="13"/>
        <v>0.11660496481028976</v>
      </c>
      <c r="J30" s="267">
        <f t="shared" si="13"/>
        <v>0.11854457043821189</v>
      </c>
      <c r="K30" s="267">
        <f t="shared" si="13"/>
        <v>0.12015777640710752</v>
      </c>
      <c r="L30" s="267">
        <f t="shared" si="13"/>
        <v>0.1220814083276502</v>
      </c>
      <c r="M30" s="267">
        <f t="shared" si="13"/>
        <v>0.12267692409830372</v>
      </c>
      <c r="N30" s="267">
        <f t="shared" si="13"/>
        <v>0.12485633344957546</v>
      </c>
      <c r="O30" s="267">
        <f t="shared" si="13"/>
        <v>0.12377970313073336</v>
      </c>
      <c r="P30" s="267">
        <f t="shared" si="13"/>
        <v>0.1287524900180613</v>
      </c>
      <c r="Q30" s="267">
        <f t="shared" si="13"/>
        <v>0.12733817781205278</v>
      </c>
      <c r="R30" s="268">
        <f t="shared" si="13"/>
        <v>0.12733817781205278</v>
      </c>
    </row>
    <row r="31" spans="2:18">
      <c r="H31" s="303"/>
      <c r="I31" s="303"/>
      <c r="J31" s="303"/>
      <c r="K31" s="303"/>
      <c r="L31" s="303"/>
      <c r="M31" s="303"/>
      <c r="N31" s="303"/>
      <c r="O31" s="303"/>
      <c r="P31" s="303"/>
      <c r="Q31" s="303"/>
      <c r="R31" s="303"/>
    </row>
    <row r="32" spans="2:18" ht="15.75">
      <c r="B32" s="370" t="s">
        <v>1110</v>
      </c>
    </row>
    <row r="33" spans="2:18">
      <c r="B33" s="53" t="s">
        <v>226</v>
      </c>
      <c r="H33" s="342">
        <v>-100</v>
      </c>
      <c r="I33" s="342"/>
      <c r="J33" s="342"/>
      <c r="K33" s="342"/>
      <c r="L33" s="342"/>
      <c r="M33" s="342"/>
      <c r="N33" s="342"/>
      <c r="O33" s="342"/>
      <c r="P33" s="342"/>
      <c r="Q33" s="342"/>
      <c r="R33" s="342"/>
    </row>
    <row r="34" spans="2:18">
      <c r="B34" t="s">
        <v>227</v>
      </c>
      <c r="H34" s="342"/>
      <c r="I34" s="342">
        <f>-H30*$H$33</f>
        <v>12.136750586087716</v>
      </c>
      <c r="J34" s="342">
        <f t="shared" ref="J34:R34" si="14">-I30*$H$33</f>
        <v>11.660496481028975</v>
      </c>
      <c r="K34" s="342">
        <f t="shared" si="14"/>
        <v>11.854457043821188</v>
      </c>
      <c r="L34" s="342">
        <f t="shared" si="14"/>
        <v>12.015777640710752</v>
      </c>
      <c r="M34" s="342">
        <f t="shared" si="14"/>
        <v>12.20814083276502</v>
      </c>
      <c r="N34" s="342">
        <f t="shared" si="14"/>
        <v>12.267692409830373</v>
      </c>
      <c r="O34" s="342">
        <f t="shared" si="14"/>
        <v>12.485633344957545</v>
      </c>
      <c r="P34" s="342">
        <f t="shared" si="14"/>
        <v>12.377970313073336</v>
      </c>
      <c r="Q34" s="342">
        <f t="shared" si="14"/>
        <v>12.875249001806131</v>
      </c>
      <c r="R34" s="342">
        <f t="shared" si="14"/>
        <v>12.733817781205278</v>
      </c>
    </row>
    <row r="35" spans="2:18" ht="15.75" thickBot="1">
      <c r="B35" t="s">
        <v>228</v>
      </c>
      <c r="H35" s="371"/>
      <c r="I35" s="371"/>
      <c r="J35" s="371"/>
      <c r="K35" s="371"/>
      <c r="L35" s="371"/>
      <c r="M35" s="371"/>
      <c r="N35" s="371"/>
      <c r="O35" s="371"/>
      <c r="P35" s="371"/>
      <c r="Q35" s="371"/>
      <c r="R35" s="371">
        <f>-H33</f>
        <v>100</v>
      </c>
    </row>
    <row r="36" spans="2:18" ht="15.75">
      <c r="B36" s="51" t="s">
        <v>1111</v>
      </c>
      <c r="C36" s="410">
        <f>IF(ISERROR(IRR(H36:R36)),0,IRR(H36:R36))</f>
        <v>0.12164489835214623</v>
      </c>
      <c r="D36" s="303">
        <v>0.13370922131773488</v>
      </c>
      <c r="H36" s="51">
        <f>SUM(H33:H35)</f>
        <v>-100</v>
      </c>
      <c r="I36" s="51">
        <f t="shared" ref="I36:R36" si="15">SUM(I33:I35)</f>
        <v>12.136750586087716</v>
      </c>
      <c r="J36" s="51">
        <f t="shared" si="15"/>
        <v>11.660496481028975</v>
      </c>
      <c r="K36" s="51">
        <f t="shared" si="15"/>
        <v>11.854457043821188</v>
      </c>
      <c r="L36" s="51">
        <f t="shared" si="15"/>
        <v>12.015777640710752</v>
      </c>
      <c r="M36" s="51">
        <f t="shared" si="15"/>
        <v>12.20814083276502</v>
      </c>
      <c r="N36" s="51">
        <f t="shared" si="15"/>
        <v>12.267692409830373</v>
      </c>
      <c r="O36" s="51">
        <f t="shared" si="15"/>
        <v>12.485633344957545</v>
      </c>
      <c r="P36" s="51">
        <f t="shared" si="15"/>
        <v>12.377970313073336</v>
      </c>
      <c r="Q36" s="51">
        <f t="shared" si="15"/>
        <v>12.875249001806131</v>
      </c>
      <c r="R36" s="51">
        <f t="shared" si="15"/>
        <v>112.73381778120527</v>
      </c>
    </row>
    <row r="37" spans="2:18">
      <c r="H37" s="303"/>
    </row>
    <row r="38" spans="2:18">
      <c r="H38" s="299"/>
    </row>
  </sheetData>
  <phoneticPr fontId="65"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sheetPr transitionEvaluation="1" enableFormatConditionsCalculation="0">
    <pageSetUpPr fitToPage="1"/>
  </sheetPr>
  <dimension ref="A1:S46"/>
  <sheetViews>
    <sheetView showGridLines="0" zoomScale="70" zoomScaleNormal="70" workbookViewId="0">
      <pane xSplit="2" ySplit="4" topLeftCell="F5" activePane="bottomRight" state="frozen"/>
      <selection activeCell="E39" sqref="E39"/>
      <selection pane="topRight" activeCell="E39" sqref="E39"/>
      <selection pane="bottomLeft" activeCell="E39" sqref="E39"/>
      <selection pane="bottomRight" activeCell="U35" sqref="U35"/>
    </sheetView>
  </sheetViews>
  <sheetFormatPr baseColWidth="10" defaultColWidth="8.88671875" defaultRowHeight="15"/>
  <cols>
    <col min="1" max="1" width="3.6640625" customWidth="1"/>
    <col min="2" max="2" width="30.109375" customWidth="1"/>
    <col min="3" max="8" width="10.77734375" customWidth="1"/>
    <col min="9" max="11" width="10.77734375" style="122" customWidth="1"/>
    <col min="12" max="19" width="10.77734375" customWidth="1"/>
  </cols>
  <sheetData>
    <row r="1" spans="1:19" ht="15.75">
      <c r="A1" s="1" t="str">
        <f>+WACC!B1</f>
        <v>ENKA de Colombia S.A.</v>
      </c>
      <c r="B1" s="2"/>
      <c r="C1" s="2"/>
      <c r="D1" s="2"/>
      <c r="E1" s="2"/>
      <c r="F1" s="2"/>
      <c r="G1" s="2"/>
      <c r="H1" s="2"/>
    </row>
    <row r="2" spans="1:19" ht="15.75">
      <c r="A2" s="1" t="s">
        <v>98</v>
      </c>
      <c r="B2" s="2"/>
      <c r="C2" s="2"/>
      <c r="D2" s="2"/>
      <c r="E2" s="2"/>
      <c r="F2" s="2"/>
      <c r="G2" s="2"/>
      <c r="H2" s="2"/>
    </row>
    <row r="4" spans="1:19" ht="16.5" thickBot="1">
      <c r="A4" s="2"/>
      <c r="B4" s="2"/>
      <c r="C4" s="3">
        <v>2008</v>
      </c>
      <c r="D4" s="3">
        <f>'KWOp.%'!$C$4</f>
        <v>2009</v>
      </c>
      <c r="E4" s="3">
        <f>D4+1</f>
        <v>2010</v>
      </c>
      <c r="F4" s="3">
        <f>E4+1</f>
        <v>2011</v>
      </c>
      <c r="G4" s="3">
        <f>F4+1</f>
        <v>2012</v>
      </c>
      <c r="H4" s="3">
        <f>+G4+1</f>
        <v>2013</v>
      </c>
      <c r="I4" s="3">
        <f t="shared" ref="I4:S4" si="0">+H4+1</f>
        <v>2014</v>
      </c>
      <c r="J4" s="3">
        <f t="shared" si="0"/>
        <v>2015</v>
      </c>
      <c r="K4" s="3">
        <f t="shared" si="0"/>
        <v>2016</v>
      </c>
      <c r="L4" s="3">
        <f t="shared" si="0"/>
        <v>2017</v>
      </c>
      <c r="M4" s="3">
        <f t="shared" si="0"/>
        <v>2018</v>
      </c>
      <c r="N4" s="3">
        <f t="shared" si="0"/>
        <v>2019</v>
      </c>
      <c r="O4" s="3">
        <f t="shared" si="0"/>
        <v>2020</v>
      </c>
      <c r="P4" s="3">
        <f t="shared" si="0"/>
        <v>2021</v>
      </c>
      <c r="Q4" s="3">
        <f t="shared" si="0"/>
        <v>2022</v>
      </c>
      <c r="R4" s="3">
        <f t="shared" si="0"/>
        <v>2023</v>
      </c>
      <c r="S4" s="3">
        <f t="shared" si="0"/>
        <v>2024</v>
      </c>
    </row>
    <row r="6" spans="1:19" ht="15.75">
      <c r="A6" s="1" t="s">
        <v>13</v>
      </c>
      <c r="B6" s="2"/>
      <c r="C6" s="2"/>
      <c r="D6" s="2"/>
      <c r="E6" s="2"/>
      <c r="F6" s="2"/>
      <c r="G6" s="2"/>
      <c r="H6" s="2"/>
      <c r="I6" s="111"/>
      <c r="J6" s="111"/>
      <c r="K6" s="111"/>
      <c r="L6" s="2"/>
      <c r="M6" s="2"/>
      <c r="N6" s="2"/>
      <c r="O6" s="2"/>
      <c r="P6" s="2"/>
      <c r="Q6" s="2"/>
      <c r="R6" s="2"/>
      <c r="S6" s="2"/>
    </row>
    <row r="7" spans="1:19" ht="15.75">
      <c r="A7" s="1"/>
      <c r="B7" s="2" t="s">
        <v>946</v>
      </c>
      <c r="C7" s="2"/>
      <c r="D7" s="2"/>
      <c r="E7" s="2"/>
      <c r="F7" s="2"/>
      <c r="G7" s="2"/>
      <c r="H7" s="2"/>
      <c r="I7" s="111">
        <f>+Balance!I31</f>
        <v>0</v>
      </c>
      <c r="J7" s="111">
        <f>+Balance!J31</f>
        <v>0</v>
      </c>
      <c r="K7" s="111">
        <f>+Balance!K31</f>
        <v>1.1823431123048067E-11</v>
      </c>
      <c r="L7" s="111">
        <f>+Balance!L31</f>
        <v>2.7284841053187847E-12</v>
      </c>
      <c r="M7" s="111">
        <f>+Balance!M31</f>
        <v>9.0949470177292824E-13</v>
      </c>
      <c r="N7" s="111">
        <f>+Balance!N31</f>
        <v>0</v>
      </c>
      <c r="O7" s="111">
        <f>+Balance!O31</f>
        <v>0</v>
      </c>
      <c r="P7" s="111">
        <f>+Balance!P31</f>
        <v>1.546140993013978E-11</v>
      </c>
      <c r="Q7" s="111">
        <f>+Balance!Q31</f>
        <v>7.73070496506989E-12</v>
      </c>
      <c r="R7" s="111">
        <f>+Balance!R31</f>
        <v>3.637978807091713E-12</v>
      </c>
      <c r="S7" s="111">
        <f>+Balance!S31</f>
        <v>0</v>
      </c>
    </row>
    <row r="8" spans="1:19" ht="15.75">
      <c r="A8" s="1"/>
      <c r="B8" s="2" t="s">
        <v>14</v>
      </c>
      <c r="C8" s="2">
        <f>+Balance!C32</f>
        <v>4442</v>
      </c>
      <c r="D8" s="2">
        <f>+Balance!D32</f>
        <v>3946</v>
      </c>
      <c r="E8" s="2">
        <f>+Balance!E32</f>
        <v>4275</v>
      </c>
      <c r="F8" s="2">
        <f>+Balance!F32</f>
        <v>8142</v>
      </c>
      <c r="G8" s="2">
        <f>+Balance!G32</f>
        <v>9269</v>
      </c>
      <c r="H8" s="111">
        <f>+Balance!H32</f>
        <v>9670</v>
      </c>
      <c r="I8" s="111">
        <f>+Balance!I32</f>
        <v>500</v>
      </c>
      <c r="J8" s="111">
        <f>+Balance!J32</f>
        <v>500</v>
      </c>
      <c r="K8" s="111">
        <f>+Balance!K32</f>
        <v>500</v>
      </c>
      <c r="L8" s="2">
        <f>+Balance!L32</f>
        <v>500</v>
      </c>
      <c r="M8" s="2">
        <f>+Balance!M32</f>
        <v>500</v>
      </c>
      <c r="N8" s="2">
        <f>+Balance!N32</f>
        <v>500</v>
      </c>
      <c r="O8" s="2">
        <f>+Balance!O32</f>
        <v>500</v>
      </c>
      <c r="P8" s="2">
        <f>+Balance!P32</f>
        <v>0</v>
      </c>
      <c r="Q8" s="2">
        <f>+Balance!Q32</f>
        <v>0</v>
      </c>
      <c r="R8" s="2">
        <f>+Balance!R32</f>
        <v>0</v>
      </c>
      <c r="S8" s="2">
        <f>+Balance!S32</f>
        <v>0</v>
      </c>
    </row>
    <row r="9" spans="1:19" ht="15.75">
      <c r="A9" s="1"/>
      <c r="B9" s="2" t="s">
        <v>15</v>
      </c>
      <c r="C9" s="2">
        <f>+Balance!C33</f>
        <v>0</v>
      </c>
      <c r="D9" s="118">
        <f>+Balance!D33</f>
        <v>0</v>
      </c>
      <c r="E9" s="118">
        <f>+Balance!E33</f>
        <v>0</v>
      </c>
      <c r="F9" s="118">
        <f>+Balance!F33</f>
        <v>0</v>
      </c>
      <c r="G9" s="118">
        <f>+Balance!G33</f>
        <v>0</v>
      </c>
      <c r="H9" s="153">
        <f>+Balance!H33</f>
        <v>3504</v>
      </c>
      <c r="I9" s="153">
        <f>+Balance!I33</f>
        <v>4899</v>
      </c>
      <c r="J9" s="153">
        <f>+Balance!J33</f>
        <v>5167</v>
      </c>
      <c r="K9" s="153">
        <f>+Balance!K33</f>
        <v>5452</v>
      </c>
      <c r="L9" s="118">
        <f>+Balance!L33</f>
        <v>5754</v>
      </c>
      <c r="M9" s="118">
        <f>+Balance!M33</f>
        <v>3830.8</v>
      </c>
      <c r="N9" s="118">
        <f>+Balance!N33</f>
        <v>3830.8</v>
      </c>
      <c r="O9" s="118">
        <f>+Balance!O33</f>
        <v>3830.8</v>
      </c>
      <c r="P9" s="118">
        <f>+Balance!P33</f>
        <v>3830.8</v>
      </c>
      <c r="Q9" s="118">
        <f>+Balance!Q33</f>
        <v>3830.8</v>
      </c>
      <c r="R9" s="118">
        <f>+Balance!R33</f>
        <v>0</v>
      </c>
      <c r="S9" s="118">
        <f>+Balance!S33</f>
        <v>0</v>
      </c>
    </row>
    <row r="10" spans="1:19" ht="16.5" thickBot="1">
      <c r="A10" s="1"/>
      <c r="B10" s="2" t="s">
        <v>352</v>
      </c>
      <c r="C10" s="120">
        <f>+Balance!C39</f>
        <v>0</v>
      </c>
      <c r="D10" s="120">
        <f>+Balance!D39</f>
        <v>0</v>
      </c>
      <c r="E10" s="120">
        <f>+Balance!E39</f>
        <v>0</v>
      </c>
      <c r="F10" s="120">
        <f>+Balance!F39</f>
        <v>670</v>
      </c>
      <c r="G10" s="120">
        <f>+Balance!G39</f>
        <v>670</v>
      </c>
      <c r="H10" s="154">
        <f>+Balance!H39</f>
        <v>670</v>
      </c>
      <c r="I10" s="154">
        <f>+Balance!I39</f>
        <v>670</v>
      </c>
      <c r="J10" s="154">
        <f>+Balance!J39</f>
        <v>670</v>
      </c>
      <c r="K10" s="154">
        <f>+Balance!K39</f>
        <v>670</v>
      </c>
      <c r="L10" s="120">
        <f>+Balance!L39</f>
        <v>670</v>
      </c>
      <c r="M10" s="120">
        <f>+Balance!M39</f>
        <v>670</v>
      </c>
      <c r="N10" s="120">
        <f>+Balance!N39</f>
        <v>670</v>
      </c>
      <c r="O10" s="120">
        <f>+Balance!O39</f>
        <v>669</v>
      </c>
      <c r="P10" s="120">
        <f>+Balance!P39</f>
        <v>0</v>
      </c>
      <c r="Q10" s="120">
        <f>+Balance!Q39</f>
        <v>0</v>
      </c>
      <c r="R10" s="120">
        <f>+Balance!R39</f>
        <v>0</v>
      </c>
      <c r="S10" s="120">
        <f>+Balance!S39</f>
        <v>0</v>
      </c>
    </row>
    <row r="11" spans="1:19" ht="15.75">
      <c r="A11" s="19" t="s">
        <v>20</v>
      </c>
      <c r="B11" s="2"/>
      <c r="C11" s="19">
        <f t="shared" ref="C11:H11" si="1">SUM(C8:C10)</f>
        <v>4442</v>
      </c>
      <c r="D11" s="19">
        <f t="shared" si="1"/>
        <v>3946</v>
      </c>
      <c r="E11" s="19">
        <f t="shared" si="1"/>
        <v>4275</v>
      </c>
      <c r="F11" s="19">
        <f t="shared" si="1"/>
        <v>8812</v>
      </c>
      <c r="G11" s="19">
        <f t="shared" si="1"/>
        <v>9939</v>
      </c>
      <c r="H11" s="127">
        <f t="shared" si="1"/>
        <v>13844</v>
      </c>
      <c r="I11" s="127">
        <f>SUM(I7:I10)</f>
        <v>6069</v>
      </c>
      <c r="J11" s="127">
        <f t="shared" ref="J11:S11" si="2">SUM(J7:J10)</f>
        <v>6337</v>
      </c>
      <c r="K11" s="127">
        <f t="shared" si="2"/>
        <v>6622.0000000000118</v>
      </c>
      <c r="L11" s="127">
        <f t="shared" si="2"/>
        <v>6924.0000000000027</v>
      </c>
      <c r="M11" s="127">
        <f t="shared" si="2"/>
        <v>5000.8000000000011</v>
      </c>
      <c r="N11" s="127">
        <f t="shared" si="2"/>
        <v>5000.8</v>
      </c>
      <c r="O11" s="127">
        <f t="shared" si="2"/>
        <v>4999.8</v>
      </c>
      <c r="P11" s="127">
        <f t="shared" si="2"/>
        <v>3830.8000000000156</v>
      </c>
      <c r="Q11" s="127">
        <f t="shared" si="2"/>
        <v>3830.8000000000079</v>
      </c>
      <c r="R11" s="127">
        <f t="shared" si="2"/>
        <v>3.637978807091713E-12</v>
      </c>
      <c r="S11" s="127">
        <f t="shared" si="2"/>
        <v>0</v>
      </c>
    </row>
    <row r="13" spans="1:19" ht="15.75">
      <c r="A13" s="1" t="s">
        <v>21</v>
      </c>
      <c r="B13" s="2"/>
      <c r="C13" s="2"/>
      <c r="D13" s="2"/>
      <c r="E13" s="2"/>
      <c r="F13" s="2"/>
      <c r="G13" s="2"/>
      <c r="H13" s="2"/>
      <c r="I13" s="111"/>
      <c r="J13" s="111"/>
      <c r="K13" s="111"/>
      <c r="L13" s="2"/>
      <c r="M13" s="2"/>
      <c r="N13" s="2"/>
      <c r="O13" s="2"/>
      <c r="P13" s="2"/>
      <c r="Q13" s="2"/>
      <c r="R13" s="2"/>
      <c r="S13" s="2"/>
    </row>
    <row r="14" spans="1:19" ht="15.75">
      <c r="A14" s="1"/>
      <c r="B14" s="2" t="s">
        <v>14</v>
      </c>
      <c r="C14" s="2">
        <f>+Balance!C43</f>
        <v>10564</v>
      </c>
      <c r="D14" s="2">
        <f>+Balance!D43</f>
        <v>6804</v>
      </c>
      <c r="E14" s="2">
        <f>+Balance!E43</f>
        <v>6649</v>
      </c>
      <c r="F14" s="2">
        <f>+Balance!F43</f>
        <v>4835</v>
      </c>
      <c r="G14" s="2">
        <f>+Balance!G43</f>
        <v>4000</v>
      </c>
      <c r="H14" s="111">
        <f>+Balance!H43</f>
        <v>3500</v>
      </c>
      <c r="I14" s="111">
        <f>+Balance!I43</f>
        <v>3000</v>
      </c>
      <c r="J14" s="111">
        <f>+Balance!J43</f>
        <v>2500</v>
      </c>
      <c r="K14" s="111">
        <f>+Balance!K43</f>
        <v>2000</v>
      </c>
      <c r="L14" s="2">
        <f>+Balance!L43</f>
        <v>1500</v>
      </c>
      <c r="M14" s="2">
        <f>+Balance!M43</f>
        <v>1000</v>
      </c>
      <c r="N14" s="2">
        <f>+Balance!N43</f>
        <v>500</v>
      </c>
      <c r="O14" s="2">
        <f>+Balance!O43</f>
        <v>0</v>
      </c>
      <c r="P14" s="2">
        <f>+Balance!P43</f>
        <v>0</v>
      </c>
      <c r="Q14" s="2">
        <f>+Balance!Q43</f>
        <v>0</v>
      </c>
      <c r="R14" s="2">
        <f>+Balance!R43</f>
        <v>0</v>
      </c>
      <c r="S14" s="2">
        <f>+Balance!S43</f>
        <v>0</v>
      </c>
    </row>
    <row r="15" spans="1:19" ht="15.75">
      <c r="A15" s="1"/>
      <c r="B15" s="2" t="s">
        <v>15</v>
      </c>
      <c r="C15" s="2">
        <f>+Balance!C44</f>
        <v>0</v>
      </c>
      <c r="D15" s="118">
        <f>+Balance!D44</f>
        <v>0</v>
      </c>
      <c r="E15" s="118">
        <f>+Balance!E44</f>
        <v>0</v>
      </c>
      <c r="F15" s="118">
        <f>+Balance!F44</f>
        <v>6362</v>
      </c>
      <c r="G15" s="118">
        <f>+Balance!G44</f>
        <v>29089</v>
      </c>
      <c r="H15" s="153">
        <f>+Balance!H44</f>
        <v>40426</v>
      </c>
      <c r="I15" s="153">
        <f>+Balance!I44</f>
        <v>35527</v>
      </c>
      <c r="J15" s="153">
        <f>+Balance!J44</f>
        <v>30360</v>
      </c>
      <c r="K15" s="153">
        <f>+Balance!K44</f>
        <v>24908</v>
      </c>
      <c r="L15" s="118">
        <f>+Balance!L44</f>
        <v>19154</v>
      </c>
      <c r="M15" s="118">
        <f>+Balance!M44</f>
        <v>15323.2</v>
      </c>
      <c r="N15" s="118">
        <f>+Balance!N44</f>
        <v>11492.400000000001</v>
      </c>
      <c r="O15" s="118">
        <f>+Balance!O44</f>
        <v>7661.6000000000013</v>
      </c>
      <c r="P15" s="118">
        <f>+Balance!P44</f>
        <v>3830.8000000000011</v>
      </c>
      <c r="Q15" s="118">
        <f>+Balance!Q44</f>
        <v>0</v>
      </c>
      <c r="R15" s="118">
        <f>+Balance!R44</f>
        <v>0</v>
      </c>
      <c r="S15" s="118">
        <f>+Balance!S44</f>
        <v>0</v>
      </c>
    </row>
    <row r="16" spans="1:19" ht="16.5" thickBot="1">
      <c r="A16" s="1"/>
      <c r="B16" s="2" t="s">
        <v>352</v>
      </c>
      <c r="C16" s="120">
        <v>6707</v>
      </c>
      <c r="D16" s="120">
        <f>+Balance!D50</f>
        <v>6707</v>
      </c>
      <c r="E16" s="120">
        <f>+Balance!E50</f>
        <v>6697</v>
      </c>
      <c r="F16" s="120">
        <f>+Balance!F50</f>
        <v>6027</v>
      </c>
      <c r="G16" s="120">
        <f>+Balance!G50</f>
        <v>5358</v>
      </c>
      <c r="H16" s="154">
        <f>+Balance!H50</f>
        <v>4689</v>
      </c>
      <c r="I16" s="154">
        <f>+Balance!I50</f>
        <v>4019</v>
      </c>
      <c r="J16" s="154">
        <f>+Balance!J50</f>
        <v>3349</v>
      </c>
      <c r="K16" s="154">
        <f>+Balance!K50</f>
        <v>2679</v>
      </c>
      <c r="L16" s="120">
        <f>+Balance!L50</f>
        <v>2009</v>
      </c>
      <c r="M16" s="120">
        <f>+Balance!M50</f>
        <v>1339</v>
      </c>
      <c r="N16" s="120">
        <f>+Balance!N50</f>
        <v>669</v>
      </c>
      <c r="O16" s="120">
        <f>+Balance!O50</f>
        <v>0</v>
      </c>
      <c r="P16" s="120">
        <f>+Balance!P50</f>
        <v>0</v>
      </c>
      <c r="Q16" s="120">
        <f>+Balance!Q50</f>
        <v>0</v>
      </c>
      <c r="R16" s="120">
        <f>+Balance!R50</f>
        <v>0</v>
      </c>
      <c r="S16" s="120">
        <f>+Balance!S50</f>
        <v>0</v>
      </c>
    </row>
    <row r="17" spans="1:19" ht="15.75">
      <c r="A17" s="19" t="s">
        <v>99</v>
      </c>
      <c r="B17" s="2"/>
      <c r="C17" s="19">
        <f>SUM(C14:C16)</f>
        <v>17271</v>
      </c>
      <c r="D17" s="19">
        <f>SUM(D14:D16)</f>
        <v>13511</v>
      </c>
      <c r="E17" s="19">
        <f t="shared" ref="E17:P17" si="3">SUM(E14:E16)</f>
        <v>13346</v>
      </c>
      <c r="F17" s="19">
        <f t="shared" si="3"/>
        <v>17224</v>
      </c>
      <c r="G17" s="19">
        <f t="shared" si="3"/>
        <v>38447</v>
      </c>
      <c r="H17" s="127">
        <f>SUM(H14:H16)</f>
        <v>48615</v>
      </c>
      <c r="I17" s="127">
        <f t="shared" si="3"/>
        <v>42546</v>
      </c>
      <c r="J17" s="127">
        <f t="shared" si="3"/>
        <v>36209</v>
      </c>
      <c r="K17" s="127">
        <f t="shared" si="3"/>
        <v>29587</v>
      </c>
      <c r="L17" s="19">
        <f t="shared" si="3"/>
        <v>22663</v>
      </c>
      <c r="M17" s="19">
        <f t="shared" si="3"/>
        <v>17662.2</v>
      </c>
      <c r="N17" s="19">
        <f t="shared" si="3"/>
        <v>12661.400000000001</v>
      </c>
      <c r="O17" s="19">
        <f t="shared" si="3"/>
        <v>7661.6000000000013</v>
      </c>
      <c r="P17" s="19">
        <f t="shared" si="3"/>
        <v>3830.8000000000011</v>
      </c>
      <c r="Q17" s="19">
        <f>SUM(Q14:Q16)</f>
        <v>0</v>
      </c>
      <c r="R17" s="19">
        <f>SUM(R14:R16)</f>
        <v>0</v>
      </c>
      <c r="S17" s="19">
        <f>SUM(S14:S16)</f>
        <v>0</v>
      </c>
    </row>
    <row r="19" spans="1:19" ht="15.75">
      <c r="A19" s="19" t="s">
        <v>100</v>
      </c>
      <c r="B19" s="2"/>
      <c r="C19" s="2"/>
      <c r="D19" s="2"/>
      <c r="E19" s="2"/>
      <c r="F19" s="2"/>
      <c r="G19" s="2"/>
      <c r="H19" s="2"/>
      <c r="I19" s="111"/>
      <c r="J19" s="111"/>
      <c r="K19" s="111"/>
      <c r="L19" s="2"/>
      <c r="M19" s="2"/>
      <c r="N19" s="2"/>
      <c r="O19" s="2"/>
      <c r="P19" s="2"/>
      <c r="Q19" s="2"/>
      <c r="R19" s="2"/>
      <c r="S19" s="2"/>
    </row>
    <row r="20" spans="1:19" ht="15.75">
      <c r="A20" s="19"/>
      <c r="B20" s="2" t="s">
        <v>14</v>
      </c>
      <c r="C20" s="2">
        <f>+C8+C14+C16</f>
        <v>21713</v>
      </c>
      <c r="D20" s="2">
        <f>+D8+D14+D16</f>
        <v>17457</v>
      </c>
      <c r="E20" s="2">
        <f>+E8+E14+E16</f>
        <v>17621</v>
      </c>
      <c r="F20" s="2">
        <f>+F8+F14+F16+F10</f>
        <v>19674</v>
      </c>
      <c r="G20" s="2">
        <f>+G8+G14+G16+G10</f>
        <v>19297</v>
      </c>
      <c r="H20" s="111">
        <f>+H8+H14+H16+H10</f>
        <v>18529</v>
      </c>
      <c r="I20" s="111">
        <f>+I8+I14+I16+I10+I7</f>
        <v>8189</v>
      </c>
      <c r="J20" s="111">
        <f t="shared" ref="J20:S20" si="4">+J8+J14+J16+J10+J7</f>
        <v>7019</v>
      </c>
      <c r="K20" s="111">
        <f t="shared" si="4"/>
        <v>5849.0000000000118</v>
      </c>
      <c r="L20" s="111">
        <f t="shared" si="4"/>
        <v>4679.0000000000027</v>
      </c>
      <c r="M20" s="111">
        <f t="shared" si="4"/>
        <v>3509.0000000000009</v>
      </c>
      <c r="N20" s="111">
        <f t="shared" si="4"/>
        <v>2339</v>
      </c>
      <c r="O20" s="111">
        <f t="shared" si="4"/>
        <v>1169</v>
      </c>
      <c r="P20" s="111">
        <f t="shared" si="4"/>
        <v>1.546140993013978E-11</v>
      </c>
      <c r="Q20" s="111">
        <f t="shared" si="4"/>
        <v>7.73070496506989E-12</v>
      </c>
      <c r="R20" s="111">
        <f t="shared" si="4"/>
        <v>3.637978807091713E-12</v>
      </c>
      <c r="S20" s="111">
        <f t="shared" si="4"/>
        <v>0</v>
      </c>
    </row>
    <row r="21" spans="1:19" ht="16.5" thickBot="1">
      <c r="A21" s="19"/>
      <c r="B21" s="2" t="s">
        <v>15</v>
      </c>
      <c r="C21" s="18">
        <f t="shared" ref="C21:H21" si="5">+C9+C15</f>
        <v>0</v>
      </c>
      <c r="D21" s="18">
        <f t="shared" si="5"/>
        <v>0</v>
      </c>
      <c r="E21" s="18">
        <f t="shared" si="5"/>
        <v>0</v>
      </c>
      <c r="F21" s="18">
        <f t="shared" si="5"/>
        <v>6362</v>
      </c>
      <c r="G21" s="18">
        <f t="shared" si="5"/>
        <v>29089</v>
      </c>
      <c r="H21" s="126">
        <f t="shared" si="5"/>
        <v>43930</v>
      </c>
      <c r="I21" s="126">
        <f t="shared" ref="I21:P21" si="6">+I9+I15</f>
        <v>40426</v>
      </c>
      <c r="J21" s="126">
        <f t="shared" si="6"/>
        <v>35527</v>
      </c>
      <c r="K21" s="126">
        <f t="shared" si="6"/>
        <v>30360</v>
      </c>
      <c r="L21" s="18">
        <f t="shared" si="6"/>
        <v>24908</v>
      </c>
      <c r="M21" s="18">
        <f t="shared" si="6"/>
        <v>19154</v>
      </c>
      <c r="N21" s="18">
        <f t="shared" si="6"/>
        <v>15323.2</v>
      </c>
      <c r="O21" s="18">
        <f t="shared" si="6"/>
        <v>11492.400000000001</v>
      </c>
      <c r="P21" s="18">
        <f t="shared" si="6"/>
        <v>7661.6000000000013</v>
      </c>
      <c r="Q21" s="18">
        <f>+Q9+Q15</f>
        <v>3830.8</v>
      </c>
      <c r="R21" s="18">
        <f>+R9+R15</f>
        <v>0</v>
      </c>
      <c r="S21" s="18">
        <f>+S9+S15</f>
        <v>0</v>
      </c>
    </row>
    <row r="22" spans="1:19" ht="15.75">
      <c r="A22" s="19" t="s">
        <v>100</v>
      </c>
      <c r="B22" s="2"/>
      <c r="C22" s="19">
        <f t="shared" ref="C22:P22" si="7">SUM(C20:C21)</f>
        <v>21713</v>
      </c>
      <c r="D22" s="19">
        <f t="shared" si="7"/>
        <v>17457</v>
      </c>
      <c r="E22" s="19">
        <f t="shared" si="7"/>
        <v>17621</v>
      </c>
      <c r="F22" s="19">
        <f t="shared" si="7"/>
        <v>26036</v>
      </c>
      <c r="G22" s="19">
        <f t="shared" si="7"/>
        <v>48386</v>
      </c>
      <c r="H22" s="127">
        <f>SUM(H20:H21)</f>
        <v>62459</v>
      </c>
      <c r="I22" s="127">
        <f t="shared" si="7"/>
        <v>48615</v>
      </c>
      <c r="J22" s="127">
        <f t="shared" si="7"/>
        <v>42546</v>
      </c>
      <c r="K22" s="127">
        <f t="shared" si="7"/>
        <v>36209.000000000015</v>
      </c>
      <c r="L22" s="19">
        <f t="shared" si="7"/>
        <v>29587.000000000004</v>
      </c>
      <c r="M22" s="19">
        <f t="shared" si="7"/>
        <v>22663</v>
      </c>
      <c r="N22" s="19">
        <f t="shared" si="7"/>
        <v>17662.2</v>
      </c>
      <c r="O22" s="19">
        <f t="shared" si="7"/>
        <v>12661.400000000001</v>
      </c>
      <c r="P22" s="19">
        <f t="shared" si="7"/>
        <v>7661.6000000000167</v>
      </c>
      <c r="Q22" s="19">
        <f>SUM(Q20:Q21)</f>
        <v>3830.8000000000079</v>
      </c>
      <c r="R22" s="19">
        <f>SUM(R20:R21)</f>
        <v>3.637978807091713E-12</v>
      </c>
      <c r="S22" s="19">
        <f>SUM(S20:S21)</f>
        <v>0</v>
      </c>
    </row>
    <row r="24" spans="1:19" ht="15.75">
      <c r="A24" s="19" t="s">
        <v>101</v>
      </c>
      <c r="B24" s="2"/>
      <c r="C24" s="2"/>
      <c r="D24" s="2"/>
      <c r="E24" s="2"/>
      <c r="F24" s="2"/>
      <c r="G24" s="2"/>
      <c r="H24" s="2"/>
      <c r="I24" s="111"/>
      <c r="J24" s="111"/>
      <c r="K24" s="111"/>
      <c r="L24" s="2"/>
      <c r="M24" s="2"/>
      <c r="N24" s="2"/>
      <c r="O24" s="2"/>
      <c r="P24" s="2"/>
      <c r="Q24" s="2"/>
      <c r="R24" s="2"/>
      <c r="S24" s="2"/>
    </row>
    <row r="25" spans="1:19">
      <c r="A25" s="2"/>
      <c r="B25" s="2" t="s">
        <v>14</v>
      </c>
      <c r="C25" s="7">
        <f>IF(C20=0,0,C20/C$22)</f>
        <v>1</v>
      </c>
      <c r="D25" s="7">
        <f t="shared" ref="D25:S25" si="8">IF(D20=0,0,D20/D$22)</f>
        <v>1</v>
      </c>
      <c r="E25" s="7">
        <f t="shared" si="8"/>
        <v>1</v>
      </c>
      <c r="F25" s="7">
        <f t="shared" si="8"/>
        <v>0.75564602857581809</v>
      </c>
      <c r="G25" s="7">
        <f t="shared" si="8"/>
        <v>0.39881370644401271</v>
      </c>
      <c r="H25" s="151">
        <f t="shared" si="8"/>
        <v>0.29665860804687877</v>
      </c>
      <c r="I25" s="151">
        <f t="shared" si="8"/>
        <v>0.16844595289519695</v>
      </c>
      <c r="J25" s="151">
        <f t="shared" si="8"/>
        <v>0.16497438067033329</v>
      </c>
      <c r="K25" s="151">
        <f t="shared" si="8"/>
        <v>0.16153442514292052</v>
      </c>
      <c r="L25" s="7">
        <f t="shared" si="8"/>
        <v>0.15814377936255794</v>
      </c>
      <c r="M25" s="7">
        <f t="shared" si="8"/>
        <v>0.1548338701848829</v>
      </c>
      <c r="N25" s="7">
        <f t="shared" si="8"/>
        <v>0.13242970864331735</v>
      </c>
      <c r="O25" s="7">
        <f t="shared" si="8"/>
        <v>9.2327862637623007E-2</v>
      </c>
      <c r="P25" s="7">
        <f t="shared" si="8"/>
        <v>2.0180393038190126E-15</v>
      </c>
      <c r="Q25" s="7">
        <f t="shared" si="8"/>
        <v>2.0180393038190126E-15</v>
      </c>
      <c r="R25" s="7">
        <f t="shared" si="8"/>
        <v>1</v>
      </c>
      <c r="S25" s="7">
        <f t="shared" si="8"/>
        <v>0</v>
      </c>
    </row>
    <row r="26" spans="1:19" ht="15.75" thickBot="1">
      <c r="A26" s="2"/>
      <c r="B26" s="2" t="s">
        <v>15</v>
      </c>
      <c r="C26" s="20">
        <f>IF(C21=0,0,C21/C$22)</f>
        <v>0</v>
      </c>
      <c r="D26" s="20">
        <f t="shared" ref="D26:S26" si="9">IF(D21=0,0,D21/D$22)</f>
        <v>0</v>
      </c>
      <c r="E26" s="20">
        <f t="shared" si="9"/>
        <v>0</v>
      </c>
      <c r="F26" s="20">
        <f t="shared" si="9"/>
        <v>0.24435397142418191</v>
      </c>
      <c r="G26" s="20">
        <f t="shared" si="9"/>
        <v>0.60118629355598729</v>
      </c>
      <c r="H26" s="155">
        <f t="shared" si="9"/>
        <v>0.70334139195312129</v>
      </c>
      <c r="I26" s="155">
        <f t="shared" si="9"/>
        <v>0.83155404710480307</v>
      </c>
      <c r="J26" s="155">
        <f t="shared" si="9"/>
        <v>0.83502561932966668</v>
      </c>
      <c r="K26" s="155">
        <f t="shared" si="9"/>
        <v>0.8384655748570794</v>
      </c>
      <c r="L26" s="20">
        <f t="shared" si="9"/>
        <v>0.84185622063744203</v>
      </c>
      <c r="M26" s="20">
        <f t="shared" si="9"/>
        <v>0.84516612981511718</v>
      </c>
      <c r="N26" s="20">
        <f t="shared" si="9"/>
        <v>0.86757029135668262</v>
      </c>
      <c r="O26" s="20">
        <f t="shared" si="9"/>
        <v>0.90767213736237695</v>
      </c>
      <c r="P26" s="20">
        <f t="shared" si="9"/>
        <v>0.999999999999998</v>
      </c>
      <c r="Q26" s="20">
        <f t="shared" si="9"/>
        <v>0.999999999999998</v>
      </c>
      <c r="R26" s="20">
        <f t="shared" si="9"/>
        <v>0</v>
      </c>
      <c r="S26" s="20">
        <f t="shared" si="9"/>
        <v>0</v>
      </c>
    </row>
    <row r="27" spans="1:19" ht="15.75">
      <c r="A27" s="19" t="s">
        <v>100</v>
      </c>
      <c r="B27" s="2"/>
      <c r="C27" s="21">
        <f t="shared" ref="C27:P27" si="10">SUM(C25:C26)</f>
        <v>1</v>
      </c>
      <c r="D27" s="21">
        <f t="shared" si="10"/>
        <v>1</v>
      </c>
      <c r="E27" s="21">
        <f t="shared" si="10"/>
        <v>1</v>
      </c>
      <c r="F27" s="21">
        <f t="shared" si="10"/>
        <v>1</v>
      </c>
      <c r="G27" s="21">
        <f t="shared" si="10"/>
        <v>1</v>
      </c>
      <c r="H27" s="156">
        <f>SUM(H25:H26)</f>
        <v>1</v>
      </c>
      <c r="I27" s="156">
        <f t="shared" si="10"/>
        <v>1</v>
      </c>
      <c r="J27" s="156">
        <f t="shared" si="10"/>
        <v>1</v>
      </c>
      <c r="K27" s="156">
        <f t="shared" si="10"/>
        <v>0.99999999999999989</v>
      </c>
      <c r="L27" s="21">
        <f t="shared" si="10"/>
        <v>1</v>
      </c>
      <c r="M27" s="21">
        <f t="shared" si="10"/>
        <v>1</v>
      </c>
      <c r="N27" s="21">
        <f t="shared" si="10"/>
        <v>1</v>
      </c>
      <c r="O27" s="21">
        <f t="shared" si="10"/>
        <v>1</v>
      </c>
      <c r="P27" s="21">
        <f t="shared" si="10"/>
        <v>1</v>
      </c>
      <c r="Q27" s="21">
        <f>SUM(Q25:Q26)</f>
        <v>1</v>
      </c>
      <c r="R27" s="21">
        <f>SUM(R25:R26)</f>
        <v>1</v>
      </c>
      <c r="S27" s="21">
        <f>SUM(S25:S26)</f>
        <v>0</v>
      </c>
    </row>
    <row r="28" spans="1:19" ht="15.75">
      <c r="A28" s="19"/>
      <c r="B28" s="2"/>
      <c r="C28" s="2"/>
      <c r="D28" s="21"/>
      <c r="E28" s="21"/>
      <c r="F28" s="21"/>
      <c r="G28" s="21"/>
      <c r="H28" s="21"/>
      <c r="I28" s="156"/>
      <c r="J28" s="156"/>
      <c r="K28" s="156"/>
      <c r="L28" s="21"/>
      <c r="M28" s="21"/>
      <c r="N28" s="21"/>
      <c r="O28" s="21"/>
      <c r="P28" s="21"/>
      <c r="Q28" s="21"/>
      <c r="R28" s="21"/>
      <c r="S28" s="21"/>
    </row>
    <row r="29" spans="1:19" ht="15.75">
      <c r="A29" s="19" t="s">
        <v>102</v>
      </c>
      <c r="B29" s="2"/>
      <c r="C29" s="2"/>
      <c r="D29" s="2"/>
      <c r="E29" s="2"/>
      <c r="F29" s="2"/>
      <c r="G29" s="2"/>
      <c r="H29" s="2"/>
      <c r="I29" s="111"/>
      <c r="J29" s="111"/>
      <c r="K29" s="111"/>
      <c r="L29" s="2"/>
      <c r="M29" s="2"/>
      <c r="N29" s="2"/>
      <c r="O29" s="2"/>
      <c r="P29" s="2"/>
      <c r="Q29" s="2"/>
      <c r="R29" s="2"/>
      <c r="S29" s="2"/>
    </row>
    <row r="30" spans="1:19">
      <c r="A30" s="2"/>
      <c r="B30" s="2" t="s">
        <v>66</v>
      </c>
      <c r="C30" s="2"/>
      <c r="D30" s="2">
        <f t="shared" ref="D30:I30" si="11">+D21-C21</f>
        <v>0</v>
      </c>
      <c r="E30" s="2">
        <f t="shared" si="11"/>
        <v>0</v>
      </c>
      <c r="F30" s="2">
        <f t="shared" si="11"/>
        <v>6362</v>
      </c>
      <c r="G30" s="2">
        <f t="shared" si="11"/>
        <v>22727</v>
      </c>
      <c r="H30" s="2">
        <f t="shared" si="11"/>
        <v>14841</v>
      </c>
      <c r="I30" s="111">
        <f t="shared" si="11"/>
        <v>-3504</v>
      </c>
      <c r="J30" s="111">
        <f t="shared" ref="J30:S30" si="12">+J21-I21</f>
        <v>-4899</v>
      </c>
      <c r="K30" s="111">
        <f t="shared" si="12"/>
        <v>-5167</v>
      </c>
      <c r="L30" s="111">
        <f t="shared" si="12"/>
        <v>-5452</v>
      </c>
      <c r="M30" s="111">
        <f t="shared" si="12"/>
        <v>-5754</v>
      </c>
      <c r="N30" s="111">
        <f t="shared" si="12"/>
        <v>-3830.7999999999993</v>
      </c>
      <c r="O30" s="111">
        <f t="shared" si="12"/>
        <v>-3830.7999999999993</v>
      </c>
      <c r="P30" s="111">
        <f t="shared" si="12"/>
        <v>-3830.8</v>
      </c>
      <c r="Q30" s="111">
        <f t="shared" si="12"/>
        <v>-3830.8000000000011</v>
      </c>
      <c r="R30" s="111">
        <f t="shared" si="12"/>
        <v>-3830.8</v>
      </c>
      <c r="S30" s="111">
        <f t="shared" si="12"/>
        <v>0</v>
      </c>
    </row>
    <row r="31" spans="1:19" ht="15.75" thickBot="1">
      <c r="A31" s="2"/>
      <c r="B31" s="2" t="s">
        <v>39</v>
      </c>
      <c r="C31" s="18"/>
      <c r="D31" s="18">
        <f>-Resultados!C26</f>
        <v>-3651</v>
      </c>
      <c r="E31" s="18">
        <f>-Resultados!D26</f>
        <v>-3259</v>
      </c>
      <c r="F31" s="18">
        <f>-Resultados!E26</f>
        <v>181</v>
      </c>
      <c r="G31" s="18">
        <f>-Resultados!F26</f>
        <v>-2966</v>
      </c>
      <c r="H31" s="126">
        <f>-Resultados!G26</f>
        <v>3226</v>
      </c>
      <c r="I31" s="126">
        <f>-Resultados!H26</f>
        <v>1757.2</v>
      </c>
      <c r="J31" s="126">
        <f>-Resultados!I26</f>
        <v>2494.2842000000001</v>
      </c>
      <c r="K31" s="126">
        <f>-Resultados!J26</f>
        <v>1652.0055</v>
      </c>
      <c r="L31" s="18">
        <f>-Resultados!K26</f>
        <v>1214.4000000000001</v>
      </c>
      <c r="M31" s="18">
        <f>-Resultados!L26</f>
        <v>637.64480000000003</v>
      </c>
      <c r="N31" s="18">
        <f>-Resultados!M26</f>
        <v>599.52020000000005</v>
      </c>
      <c r="O31" s="18">
        <f>-Resultados!N26</f>
        <v>479.61616000000004</v>
      </c>
      <c r="P31" s="18">
        <f>-Resultados!O26</f>
        <v>359.71212000000008</v>
      </c>
      <c r="Q31" s="18">
        <f>-Resultados!P26</f>
        <v>239.80808000000005</v>
      </c>
      <c r="R31" s="18">
        <f>-Resultados!Q26</f>
        <v>119.90404000000004</v>
      </c>
      <c r="S31" s="18">
        <f>-Resultados!R26</f>
        <v>0</v>
      </c>
    </row>
    <row r="32" spans="1:19" ht="15.75">
      <c r="A32" s="2"/>
      <c r="B32" s="19" t="s">
        <v>103</v>
      </c>
      <c r="C32" s="19"/>
      <c r="D32" s="19">
        <f t="shared" ref="D32:P32" si="13">+D30-D31</f>
        <v>3651</v>
      </c>
      <c r="E32" s="19">
        <f t="shared" si="13"/>
        <v>3259</v>
      </c>
      <c r="F32" s="19">
        <f t="shared" si="13"/>
        <v>6181</v>
      </c>
      <c r="G32" s="19">
        <f t="shared" si="13"/>
        <v>25693</v>
      </c>
      <c r="H32" s="127">
        <f>+H30-H31</f>
        <v>11615</v>
      </c>
      <c r="I32" s="127">
        <f t="shared" si="13"/>
        <v>-5261.2</v>
      </c>
      <c r="J32" s="127">
        <f t="shared" si="13"/>
        <v>-7393.2842000000001</v>
      </c>
      <c r="K32" s="127">
        <f t="shared" si="13"/>
        <v>-6819.0055000000002</v>
      </c>
      <c r="L32" s="19">
        <f t="shared" si="13"/>
        <v>-6666.4</v>
      </c>
      <c r="M32" s="19">
        <f t="shared" si="13"/>
        <v>-6391.6448</v>
      </c>
      <c r="N32" s="19">
        <f t="shared" si="13"/>
        <v>-4430.3201999999992</v>
      </c>
      <c r="O32" s="19">
        <f t="shared" si="13"/>
        <v>-4310.4161599999989</v>
      </c>
      <c r="P32" s="19">
        <f t="shared" si="13"/>
        <v>-4190.5121200000003</v>
      </c>
      <c r="Q32" s="19">
        <f>+Q30-Q31</f>
        <v>-4070.6080800000013</v>
      </c>
      <c r="R32" s="19">
        <f>+R30-R31</f>
        <v>-3950.7040400000001</v>
      </c>
      <c r="S32" s="19">
        <f>+S30-S31</f>
        <v>0</v>
      </c>
    </row>
    <row r="33" spans="1:19" ht="15.75">
      <c r="A33" s="2"/>
      <c r="B33" s="19"/>
      <c r="C33" s="19"/>
      <c r="D33" s="2"/>
      <c r="E33" s="2"/>
      <c r="F33" s="2"/>
      <c r="G33" s="2"/>
      <c r="H33" s="2"/>
      <c r="I33" s="111"/>
      <c r="J33" s="111"/>
      <c r="K33" s="157"/>
      <c r="L33" s="93"/>
      <c r="M33" s="93"/>
      <c r="N33" s="93"/>
      <c r="O33" s="93"/>
      <c r="P33" s="93"/>
      <c r="Q33" s="93"/>
      <c r="R33" s="93"/>
      <c r="S33" s="93"/>
    </row>
    <row r="34" spans="1:19" ht="15.75">
      <c r="A34" s="19" t="s">
        <v>104</v>
      </c>
      <c r="B34" s="19"/>
      <c r="C34" s="19"/>
      <c r="D34" s="2"/>
      <c r="E34" s="2"/>
      <c r="F34" s="2"/>
      <c r="G34" s="2"/>
      <c r="H34" s="2"/>
      <c r="I34" s="111"/>
      <c r="J34" s="111"/>
      <c r="K34" s="111"/>
      <c r="L34" s="2"/>
      <c r="M34" s="2"/>
      <c r="N34" s="2"/>
      <c r="O34" s="2"/>
      <c r="P34" s="2"/>
      <c r="Q34" s="2"/>
      <c r="R34" s="2"/>
      <c r="S34" s="2"/>
    </row>
    <row r="35" spans="1:19" ht="15.75">
      <c r="A35" s="19"/>
      <c r="B35" s="2" t="s">
        <v>105</v>
      </c>
      <c r="C35" s="2"/>
      <c r="D35" s="2">
        <f t="shared" ref="D35:I35" si="14">+D20-C20</f>
        <v>-4256</v>
      </c>
      <c r="E35" s="2">
        <f t="shared" si="14"/>
        <v>164</v>
      </c>
      <c r="F35" s="2">
        <f t="shared" si="14"/>
        <v>2053</v>
      </c>
      <c r="G35" s="2">
        <f t="shared" si="14"/>
        <v>-377</v>
      </c>
      <c r="H35" s="2">
        <f t="shared" si="14"/>
        <v>-768</v>
      </c>
      <c r="I35" s="111">
        <f t="shared" si="14"/>
        <v>-10340</v>
      </c>
      <c r="J35" s="111">
        <f t="shared" ref="J35:S35" si="15">+J20-I20</f>
        <v>-1170</v>
      </c>
      <c r="K35" s="111">
        <f t="shared" si="15"/>
        <v>-1169.9999999999882</v>
      </c>
      <c r="L35" s="111">
        <f t="shared" si="15"/>
        <v>-1170.0000000000091</v>
      </c>
      <c r="M35" s="111">
        <f t="shared" si="15"/>
        <v>-1170.0000000000018</v>
      </c>
      <c r="N35" s="111">
        <f t="shared" si="15"/>
        <v>-1170.0000000000009</v>
      </c>
      <c r="O35" s="111">
        <f t="shared" si="15"/>
        <v>-1170</v>
      </c>
      <c r="P35" s="111">
        <f t="shared" si="15"/>
        <v>-1168.9999999999845</v>
      </c>
      <c r="Q35" s="111">
        <f t="shared" si="15"/>
        <v>-7.73070496506989E-12</v>
      </c>
      <c r="R35" s="111">
        <f t="shared" si="15"/>
        <v>-4.0927261579781771E-12</v>
      </c>
      <c r="S35" s="111">
        <f t="shared" si="15"/>
        <v>-3.637978807091713E-12</v>
      </c>
    </row>
    <row r="36" spans="1:19" ht="16.5" thickBot="1">
      <c r="A36" s="19"/>
      <c r="B36" s="2" t="s">
        <v>106</v>
      </c>
      <c r="C36" s="2"/>
      <c r="D36" s="2">
        <f>+D32</f>
        <v>3651</v>
      </c>
      <c r="E36" s="2">
        <f>+E32</f>
        <v>3259</v>
      </c>
      <c r="F36" s="2">
        <f>+F32</f>
        <v>6181</v>
      </c>
      <c r="G36" s="2">
        <f>+G32</f>
        <v>25693</v>
      </c>
      <c r="H36" s="111">
        <f>+H32</f>
        <v>11615</v>
      </c>
      <c r="I36" s="111">
        <f t="shared" ref="I36:P36" si="16">+I32</f>
        <v>-5261.2</v>
      </c>
      <c r="J36" s="111">
        <f t="shared" si="16"/>
        <v>-7393.2842000000001</v>
      </c>
      <c r="K36" s="111">
        <f t="shared" si="16"/>
        <v>-6819.0055000000002</v>
      </c>
      <c r="L36" s="2">
        <f t="shared" si="16"/>
        <v>-6666.4</v>
      </c>
      <c r="M36" s="2">
        <f t="shared" si="16"/>
        <v>-6391.6448</v>
      </c>
      <c r="N36" s="2">
        <f t="shared" si="16"/>
        <v>-4430.3201999999992</v>
      </c>
      <c r="O36" s="2">
        <f t="shared" si="16"/>
        <v>-4310.4161599999989</v>
      </c>
      <c r="P36" s="2">
        <f t="shared" si="16"/>
        <v>-4190.5121200000003</v>
      </c>
      <c r="Q36" s="2">
        <f>+Q32</f>
        <v>-4070.6080800000013</v>
      </c>
      <c r="R36" s="2">
        <f>+R32</f>
        <v>-3950.7040400000001</v>
      </c>
      <c r="S36" s="2">
        <f>+S32</f>
        <v>0</v>
      </c>
    </row>
    <row r="37" spans="1:19" ht="15.75">
      <c r="A37" s="19" t="s">
        <v>107</v>
      </c>
      <c r="B37" s="2"/>
      <c r="C37" s="406"/>
      <c r="D37" s="65">
        <f t="shared" ref="D37:P37" si="17">+D35+D36</f>
        <v>-605</v>
      </c>
      <c r="E37" s="65">
        <f t="shared" si="17"/>
        <v>3423</v>
      </c>
      <c r="F37" s="65">
        <f t="shared" si="17"/>
        <v>8234</v>
      </c>
      <c r="G37" s="65">
        <f t="shared" si="17"/>
        <v>25316</v>
      </c>
      <c r="H37" s="158">
        <f>+H35+H36</f>
        <v>10847</v>
      </c>
      <c r="I37" s="158">
        <f>+I35+I36</f>
        <v>-15601.2</v>
      </c>
      <c r="J37" s="158">
        <f t="shared" si="17"/>
        <v>-8563.2842000000001</v>
      </c>
      <c r="K37" s="158">
        <f t="shared" si="17"/>
        <v>-7989.0054999999884</v>
      </c>
      <c r="L37" s="65">
        <f t="shared" si="17"/>
        <v>-7836.4000000000087</v>
      </c>
      <c r="M37" s="65">
        <f t="shared" si="17"/>
        <v>-7561.6448000000019</v>
      </c>
      <c r="N37" s="65">
        <f t="shared" si="17"/>
        <v>-5600.3202000000001</v>
      </c>
      <c r="O37" s="65">
        <f t="shared" si="17"/>
        <v>-5480.4161599999989</v>
      </c>
      <c r="P37" s="65">
        <f t="shared" si="17"/>
        <v>-5359.5121199999849</v>
      </c>
      <c r="Q37" s="65">
        <f>+Q35+Q36</f>
        <v>-4070.6080800000091</v>
      </c>
      <c r="R37" s="65">
        <f>+R35+R36</f>
        <v>-3950.7040400000042</v>
      </c>
      <c r="S37" s="65">
        <f>+S35+S36</f>
        <v>-3.637978807091713E-12</v>
      </c>
    </row>
    <row r="39" spans="1:19" ht="15.75">
      <c r="A39" s="19" t="s">
        <v>108</v>
      </c>
      <c r="B39" s="2"/>
      <c r="C39" s="2"/>
      <c r="D39" s="2"/>
      <c r="E39" s="2"/>
      <c r="F39" s="2"/>
      <c r="G39" s="2"/>
      <c r="H39" s="2"/>
      <c r="I39" s="111"/>
      <c r="J39" s="111"/>
      <c r="K39" s="111"/>
      <c r="L39" s="2"/>
      <c r="M39" s="2"/>
      <c r="N39" s="2"/>
      <c r="O39" s="2"/>
      <c r="P39" s="2"/>
      <c r="Q39" s="2"/>
      <c r="R39" s="2"/>
      <c r="S39" s="2"/>
    </row>
    <row r="40" spans="1:19">
      <c r="A40" s="2"/>
      <c r="B40" s="2" t="s">
        <v>109</v>
      </c>
      <c r="C40" s="2"/>
      <c r="D40" s="2">
        <v>0</v>
      </c>
      <c r="E40" s="2">
        <v>0</v>
      </c>
      <c r="F40" s="2">
        <v>0</v>
      </c>
      <c r="G40" s="2">
        <v>0</v>
      </c>
      <c r="H40" s="111">
        <v>0</v>
      </c>
      <c r="I40" s="111">
        <v>0</v>
      </c>
      <c r="J40" s="111">
        <v>0</v>
      </c>
      <c r="K40" s="111">
        <v>0</v>
      </c>
      <c r="L40" s="2">
        <v>0</v>
      </c>
      <c r="M40" s="2">
        <v>0</v>
      </c>
      <c r="N40" s="2">
        <v>0</v>
      </c>
      <c r="O40" s="2">
        <v>0</v>
      </c>
      <c r="P40" s="2">
        <v>0</v>
      </c>
      <c r="Q40" s="2">
        <v>1</v>
      </c>
      <c r="R40" s="2">
        <v>2</v>
      </c>
      <c r="S40" s="2">
        <v>3</v>
      </c>
    </row>
    <row r="41" spans="1:19">
      <c r="A41" s="2"/>
      <c r="B41" s="2" t="s">
        <v>28</v>
      </c>
      <c r="C41" s="2"/>
      <c r="D41" s="2">
        <f t="shared" ref="D41:J41" si="18">+D31</f>
        <v>-3651</v>
      </c>
      <c r="E41" s="2">
        <f t="shared" si="18"/>
        <v>-3259</v>
      </c>
      <c r="F41" s="2">
        <f t="shared" si="18"/>
        <v>181</v>
      </c>
      <c r="G41" s="2">
        <f t="shared" si="18"/>
        <v>-2966</v>
      </c>
      <c r="H41" s="111">
        <f>+H31</f>
        <v>3226</v>
      </c>
      <c r="I41" s="111">
        <f t="shared" si="18"/>
        <v>1757.2</v>
      </c>
      <c r="J41" s="111">
        <f t="shared" si="18"/>
        <v>2494.2842000000001</v>
      </c>
      <c r="K41" s="111">
        <f t="shared" ref="K41:P41" si="19">+K31</f>
        <v>1652.0055</v>
      </c>
      <c r="L41" s="2">
        <f t="shared" si="19"/>
        <v>1214.4000000000001</v>
      </c>
      <c r="M41" s="2">
        <f t="shared" si="19"/>
        <v>637.64480000000003</v>
      </c>
      <c r="N41" s="2">
        <f t="shared" si="19"/>
        <v>599.52020000000005</v>
      </c>
      <c r="O41" s="2">
        <f t="shared" si="19"/>
        <v>479.61616000000004</v>
      </c>
      <c r="P41" s="2">
        <f t="shared" si="19"/>
        <v>359.71212000000008</v>
      </c>
      <c r="Q41" s="2">
        <f>+Q31</f>
        <v>239.80808000000005</v>
      </c>
      <c r="R41" s="2">
        <f>+R31</f>
        <v>119.90404000000004</v>
      </c>
      <c r="S41" s="2">
        <f>+S31</f>
        <v>0</v>
      </c>
    </row>
    <row r="43" spans="1:19" ht="15.75" hidden="1">
      <c r="A43" s="89" t="s">
        <v>110</v>
      </c>
    </row>
    <row r="44" spans="1:19" hidden="1">
      <c r="B44" t="s">
        <v>111</v>
      </c>
      <c r="D44" s="48">
        <f>Generadores!B22+Generadores!B23</f>
        <v>3.0983333333333342E-2</v>
      </c>
      <c r="E44" s="48">
        <f>Generadores!C22+Generadores!C23</f>
        <v>1.8307627118644067E-2</v>
      </c>
      <c r="F44" s="48">
        <f>Generadores!D22+Generadores!D23</f>
        <v>2.0882352941176473E-2</v>
      </c>
      <c r="G44" s="48">
        <f>Generadores!E22+Generadores!E23</f>
        <v>2.6664545454545455E-2</v>
      </c>
      <c r="H44" s="131">
        <f>Generadores!E22+Generadores!E23</f>
        <v>2.6664545454545455E-2</v>
      </c>
      <c r="I44" s="131">
        <f>Generadores!F22+Generadores!F23</f>
        <v>0.15789999999999998</v>
      </c>
      <c r="J44" s="131" t="e">
        <f>Generadores!#REF!+Generadores!#REF!</f>
        <v>#REF!</v>
      </c>
      <c r="K44" s="131" t="e">
        <f>Generadores!#REF!+Generadores!#REF!</f>
        <v>#REF!</v>
      </c>
      <c r="L44" s="48" t="e">
        <f>Generadores!#REF!+Generadores!#REF!</f>
        <v>#REF!</v>
      </c>
      <c r="M44" s="48" t="e">
        <f>Generadores!#REF!+Generadores!#REF!</f>
        <v>#REF!</v>
      </c>
      <c r="N44" s="48" t="e">
        <f>Generadores!#REF!+Generadores!#REF!</f>
        <v>#REF!</v>
      </c>
      <c r="O44" s="48" t="e">
        <f>Generadores!#REF!+Generadores!#REF!</f>
        <v>#REF!</v>
      </c>
      <c r="P44" s="48" t="e">
        <f>Generadores!#REF!+Generadores!#REF!</f>
        <v>#REF!</v>
      </c>
      <c r="Q44" s="48">
        <f>Generadores!R22+Generadores!R23</f>
        <v>0</v>
      </c>
      <c r="R44" s="48">
        <f>Generadores!S22+Generadores!S23</f>
        <v>0</v>
      </c>
      <c r="S44" s="48">
        <f>Generadores!T22+Generadores!T23</f>
        <v>0</v>
      </c>
    </row>
    <row r="45" spans="1:19" hidden="1">
      <c r="B45" t="s">
        <v>112</v>
      </c>
      <c r="D45" s="48">
        <f>Generadores!B25+Generadores!B26+(Generadores!B25*Generadores!B26)</f>
        <v>4.9180652956378502E-2</v>
      </c>
      <c r="E45" s="48">
        <f>Generadores!C25+Generadores!C26+(Generadores!C25*Generadores!C26)</f>
        <v>4.2498910066284895E-2</v>
      </c>
      <c r="F45" s="48">
        <f>Generadores!D25+Generadores!D26+(Generadores!D25*Generadores!D26)</f>
        <v>7.1687681681156218E-2</v>
      </c>
      <c r="G45" s="48">
        <f>Generadores!E25+Generadores!E26+(Generadores!E25*Generadores!E26)</f>
        <v>4.4493152465314129E-2</v>
      </c>
      <c r="H45" s="131">
        <f>Generadores!E25+Generadores!E26+(Generadores!E25*Generadores!E26)</f>
        <v>4.4493152465314129E-2</v>
      </c>
      <c r="I45" s="131">
        <f>Generadores!F25+Generadores!F26+(Generadores!F25*Generadores!F26)</f>
        <v>3.766234174232664E-2</v>
      </c>
      <c r="J45" s="131" t="e">
        <f>Generadores!#REF!+Generadores!#REF!+(Generadores!#REF!*Generadores!#REF!)</f>
        <v>#REF!</v>
      </c>
      <c r="K45" s="131" t="e">
        <f>Generadores!#REF!+Generadores!#REF!+(Generadores!#REF!*Generadores!#REF!)</f>
        <v>#REF!</v>
      </c>
      <c r="L45" s="48" t="e">
        <f>Generadores!#REF!+Generadores!#REF!+(Generadores!#REF!*Generadores!#REF!)</f>
        <v>#REF!</v>
      </c>
      <c r="M45" s="48" t="e">
        <f>Generadores!#REF!+Generadores!#REF!+(Generadores!#REF!*Generadores!#REF!)</f>
        <v>#REF!</v>
      </c>
      <c r="N45" s="48" t="e">
        <f>Generadores!#REF!+Generadores!#REF!+(Generadores!#REF!*Generadores!#REF!)</f>
        <v>#REF!</v>
      </c>
      <c r="O45" s="48" t="e">
        <f>Generadores!#REF!+Generadores!#REF!+(Generadores!#REF!*Generadores!#REF!)</f>
        <v>#REF!</v>
      </c>
      <c r="P45" s="48" t="e">
        <f>Generadores!#REF!+Generadores!#REF!+(Generadores!#REF!*Generadores!#REF!)</f>
        <v>#REF!</v>
      </c>
      <c r="Q45" s="48">
        <f>Generadores!R25+Generadores!R26+(Generadores!R25*Generadores!R26)</f>
        <v>0</v>
      </c>
      <c r="R45" s="48">
        <f>Generadores!S25+Generadores!S26+(Generadores!S25*Generadores!S26)</f>
        <v>0</v>
      </c>
      <c r="S45" s="48">
        <f>Generadores!T25+Generadores!T26+(Generadores!T25*Generadores!T26)</f>
        <v>0</v>
      </c>
    </row>
    <row r="46" spans="1:19" hidden="1">
      <c r="B46" t="s">
        <v>113</v>
      </c>
      <c r="D46" s="48">
        <f>Generadores!B25</f>
        <v>2.5564854683168473E-4</v>
      </c>
      <c r="E46" s="48">
        <f>Generadores!C25</f>
        <v>-1.8086908466352259E-4</v>
      </c>
      <c r="F46" s="48">
        <f>Generadores!D25</f>
        <v>2.7812917754510558E-2</v>
      </c>
      <c r="G46" s="48">
        <f>Generadores!E25</f>
        <v>-2.5780742961765133E-4</v>
      </c>
      <c r="H46" s="131">
        <f>Generadores!E25</f>
        <v>-2.5780742961765133E-4</v>
      </c>
      <c r="I46" s="131">
        <f>Generadores!F25</f>
        <v>-3.022211052119006E-2</v>
      </c>
      <c r="J46" s="131" t="e">
        <f>Generadores!#REF!</f>
        <v>#REF!</v>
      </c>
      <c r="K46" s="131" t="e">
        <f>Generadores!#REF!</f>
        <v>#REF!</v>
      </c>
      <c r="L46" s="48" t="e">
        <f>Generadores!#REF!</f>
        <v>#REF!</v>
      </c>
      <c r="M46" s="48" t="e">
        <f>Generadores!#REF!</f>
        <v>#REF!</v>
      </c>
      <c r="N46" s="48" t="e">
        <f>Generadores!#REF!</f>
        <v>#REF!</v>
      </c>
      <c r="O46" s="48" t="e">
        <f>Generadores!#REF!</f>
        <v>#REF!</v>
      </c>
      <c r="P46" s="48" t="e">
        <f>Generadores!#REF!</f>
        <v>#REF!</v>
      </c>
      <c r="Q46" s="48">
        <f>Generadores!R25</f>
        <v>0</v>
      </c>
      <c r="R46" s="48">
        <f>Generadores!S25</f>
        <v>0</v>
      </c>
      <c r="S46" s="48">
        <f>Generadores!T25</f>
        <v>0</v>
      </c>
    </row>
  </sheetData>
  <phoneticPr fontId="0" type="noConversion"/>
  <printOptions horizontalCentered="1" verticalCentered="1"/>
  <pageMargins left="0.51181102362204722" right="0.51181102362204722" top="0.51181102362204722" bottom="0.51181102362204722" header="0.51181102362204722" footer="0.51181102362204722"/>
  <pageSetup scale="72" firstPageNumber="7" orientation="portrait" blackAndWhite="1" horizontalDpi="300" verticalDpi="300"/>
  <headerFooter>
    <oddHeader>&amp;C&amp;A</oddHeader>
    <oddFooter>&amp;CCia.Modelo -  EVA&amp;RPágina &amp;P</oddFooter>
  </headerFooter>
</worksheet>
</file>

<file path=xl/worksheets/sheet13.xml><?xml version="1.0" encoding="utf-8"?>
<worksheet xmlns="http://schemas.openxmlformats.org/spreadsheetml/2006/main" xmlns:r="http://schemas.openxmlformats.org/officeDocument/2006/relationships">
  <dimension ref="A1:L13"/>
  <sheetViews>
    <sheetView showGridLines="0" zoomScale="70" zoomScaleNormal="70" workbookViewId="0">
      <selection activeCell="B9" sqref="B9"/>
    </sheetView>
  </sheetViews>
  <sheetFormatPr baseColWidth="10" defaultRowHeight="15"/>
  <cols>
    <col min="1" max="1" width="30.77734375" bestFit="1" customWidth="1"/>
  </cols>
  <sheetData>
    <row r="1" spans="1:12" ht="15.75">
      <c r="A1" s="51" t="str">
        <f>+Proyecciones!A1</f>
        <v>ENKA de Colombia S.A.</v>
      </c>
    </row>
    <row r="2" spans="1:12" ht="15.75">
      <c r="A2" s="51" t="s">
        <v>1032</v>
      </c>
    </row>
    <row r="4" spans="1:12" ht="16.5" thickBot="1">
      <c r="A4" s="419" t="s">
        <v>1032</v>
      </c>
      <c r="B4" s="68">
        <f>+[2]Resultados!H4</f>
        <v>2014</v>
      </c>
      <c r="C4" s="68">
        <f>+[2]Resultados!I4</f>
        <v>2015</v>
      </c>
      <c r="D4" s="68">
        <f>+[2]Resultados!J4</f>
        <v>2016</v>
      </c>
      <c r="E4" s="68">
        <f>+[2]Resultados!K4</f>
        <v>2017</v>
      </c>
      <c r="F4" s="68">
        <f>+[2]Resultados!L4</f>
        <v>2018</v>
      </c>
      <c r="G4" s="68">
        <f>+[2]Resultados!M4</f>
        <v>2019</v>
      </c>
      <c r="H4" s="68">
        <f>+[2]Resultados!N4</f>
        <v>2020</v>
      </c>
      <c r="I4" s="68">
        <f>+[2]Resultados!O4</f>
        <v>2021</v>
      </c>
      <c r="J4" s="68">
        <f>+[2]Resultados!P4</f>
        <v>2022</v>
      </c>
      <c r="K4" s="68">
        <f>+[2]Resultados!Q4</f>
        <v>2023</v>
      </c>
      <c r="L4" s="68">
        <f>+[2]Resultados!R4</f>
        <v>2024</v>
      </c>
    </row>
    <row r="5" spans="1:12">
      <c r="A5" t="s">
        <v>1033</v>
      </c>
      <c r="B5" s="303">
        <v>2.8000000000000001E-2</v>
      </c>
      <c r="C5" s="303">
        <v>3.4299999999999997E-2</v>
      </c>
      <c r="D5" s="303">
        <v>3.6299999999999999E-2</v>
      </c>
      <c r="E5" s="303">
        <v>3.4799999999999998E-2</v>
      </c>
      <c r="F5" s="303">
        <v>3.3300000000000003E-2</v>
      </c>
      <c r="G5" s="303">
        <v>3.1899999999999998E-2</v>
      </c>
      <c r="H5" s="303">
        <f>+G5</f>
        <v>3.1899999999999998E-2</v>
      </c>
      <c r="I5" s="303">
        <f>+H5</f>
        <v>3.1899999999999998E-2</v>
      </c>
      <c r="J5" s="303">
        <f>+I5</f>
        <v>3.1899999999999998E-2</v>
      </c>
      <c r="K5" s="303">
        <f>+J5</f>
        <v>3.1899999999999998E-2</v>
      </c>
      <c r="L5" s="303">
        <f>+K5</f>
        <v>3.1899999999999998E-2</v>
      </c>
    </row>
    <row r="6" spans="1:12">
      <c r="A6" t="s">
        <v>1034</v>
      </c>
      <c r="B6" s="303"/>
      <c r="C6" s="303"/>
      <c r="D6" s="303"/>
      <c r="E6" s="303"/>
      <c r="F6" s="303"/>
      <c r="G6" s="303"/>
      <c r="H6" s="303"/>
      <c r="I6" s="303"/>
      <c r="J6" s="303"/>
      <c r="K6" s="303"/>
      <c r="L6" s="303"/>
    </row>
    <row r="7" spans="1:12">
      <c r="A7" t="s">
        <v>1035</v>
      </c>
      <c r="B7" s="303">
        <v>4.4400000000000002E-2</v>
      </c>
      <c r="C7" s="303">
        <v>4.58E-2</v>
      </c>
      <c r="D7" s="303">
        <v>4.4999999999999998E-2</v>
      </c>
      <c r="E7" s="303">
        <v>4.3400000000000001E-2</v>
      </c>
      <c r="F7" s="303">
        <v>4.4699999999999997E-2</v>
      </c>
      <c r="G7" s="303">
        <v>4.2000000000000003E-2</v>
      </c>
      <c r="H7" s="303">
        <f>+G7</f>
        <v>4.2000000000000003E-2</v>
      </c>
      <c r="I7" s="303">
        <f>+H7</f>
        <v>4.2000000000000003E-2</v>
      </c>
      <c r="J7" s="303">
        <f>+I7</f>
        <v>4.2000000000000003E-2</v>
      </c>
      <c r="K7" s="303">
        <f>+J7</f>
        <v>4.2000000000000003E-2</v>
      </c>
      <c r="L7" s="303">
        <f>+K7</f>
        <v>4.2000000000000003E-2</v>
      </c>
    </row>
    <row r="9" spans="1:12">
      <c r="A9" t="s">
        <v>1036</v>
      </c>
      <c r="B9" s="303">
        <v>0.04</v>
      </c>
      <c r="C9" s="303">
        <v>6.1699999999999998E-2</v>
      </c>
      <c r="D9" s="303">
        <v>4.65E-2</v>
      </c>
      <c r="E9" s="303">
        <v>0.04</v>
      </c>
      <c r="F9" s="303">
        <v>2.5600000000000001E-2</v>
      </c>
      <c r="G9" s="303">
        <v>3.1300000000000001E-2</v>
      </c>
      <c r="H9" s="303">
        <f>+G9</f>
        <v>3.1300000000000001E-2</v>
      </c>
      <c r="I9" s="303">
        <f>+H9</f>
        <v>3.1300000000000001E-2</v>
      </c>
      <c r="J9" s="303">
        <f>+I9</f>
        <v>3.1300000000000001E-2</v>
      </c>
      <c r="K9" s="303">
        <f>+J9</f>
        <v>3.1300000000000001E-2</v>
      </c>
      <c r="L9" s="303">
        <f>+K9</f>
        <v>3.1300000000000001E-2</v>
      </c>
    </row>
    <row r="10" spans="1:12">
      <c r="A10" t="s">
        <v>1037</v>
      </c>
      <c r="B10" s="342"/>
      <c r="C10" s="342">
        <f t="shared" ref="C10:L10" si="0">+B10*(1+C9)</f>
        <v>0</v>
      </c>
      <c r="D10" s="342">
        <f t="shared" si="0"/>
        <v>0</v>
      </c>
      <c r="E10" s="342">
        <f t="shared" si="0"/>
        <v>0</v>
      </c>
      <c r="F10" s="342">
        <f t="shared" si="0"/>
        <v>0</v>
      </c>
      <c r="G10" s="342">
        <f t="shared" si="0"/>
        <v>0</v>
      </c>
      <c r="H10" s="342">
        <f t="shared" si="0"/>
        <v>0</v>
      </c>
      <c r="I10" s="342">
        <f t="shared" si="0"/>
        <v>0</v>
      </c>
      <c r="J10" s="342">
        <f t="shared" si="0"/>
        <v>0</v>
      </c>
      <c r="K10" s="342">
        <f t="shared" si="0"/>
        <v>0</v>
      </c>
      <c r="L10" s="342">
        <f t="shared" si="0"/>
        <v>0</v>
      </c>
    </row>
    <row r="12" spans="1:12">
      <c r="A12" t="s">
        <v>1038</v>
      </c>
      <c r="B12" s="303">
        <v>4.1300000000000003E-2</v>
      </c>
      <c r="C12" s="303">
        <v>4.9599999999999998E-2</v>
      </c>
      <c r="D12" s="303">
        <v>5.3499999999999999E-2</v>
      </c>
      <c r="E12" s="303">
        <v>5.11E-2</v>
      </c>
      <c r="F12" s="303">
        <v>4.8599999999999997E-2</v>
      </c>
      <c r="G12" s="303">
        <v>4.36E-2</v>
      </c>
      <c r="H12" s="303">
        <f>+G12</f>
        <v>4.36E-2</v>
      </c>
      <c r="I12" s="303">
        <f>+H12</f>
        <v>4.36E-2</v>
      </c>
      <c r="J12" s="303">
        <f>+I12</f>
        <v>4.36E-2</v>
      </c>
      <c r="K12" s="303">
        <f>+J12</f>
        <v>4.36E-2</v>
      </c>
      <c r="L12" s="303">
        <f>+K12</f>
        <v>4.36E-2</v>
      </c>
    </row>
    <row r="13" spans="1:12">
      <c r="A13" s="53" t="s">
        <v>1039</v>
      </c>
      <c r="B13" s="303">
        <v>0.02</v>
      </c>
      <c r="C13" s="303">
        <v>0.02</v>
      </c>
      <c r="D13" s="303">
        <f t="shared" ref="D13:L13" si="1">+D5</f>
        <v>3.6299999999999999E-2</v>
      </c>
      <c r="E13" s="303">
        <f t="shared" si="1"/>
        <v>3.4799999999999998E-2</v>
      </c>
      <c r="F13" s="303">
        <f t="shared" si="1"/>
        <v>3.3300000000000003E-2</v>
      </c>
      <c r="G13" s="303">
        <f t="shared" si="1"/>
        <v>3.1899999999999998E-2</v>
      </c>
      <c r="H13" s="303">
        <f t="shared" si="1"/>
        <v>3.1899999999999998E-2</v>
      </c>
      <c r="I13" s="303">
        <f t="shared" si="1"/>
        <v>3.1899999999999998E-2</v>
      </c>
      <c r="J13" s="303">
        <f t="shared" si="1"/>
        <v>3.1899999999999998E-2</v>
      </c>
      <c r="K13" s="303">
        <f t="shared" si="1"/>
        <v>3.1899999999999998E-2</v>
      </c>
      <c r="L13" s="303">
        <f t="shared" si="1"/>
        <v>3.1899999999999998E-2</v>
      </c>
    </row>
  </sheetData>
  <phoneticPr fontId="6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sheetPr>
    <tabColor theme="2"/>
  </sheetPr>
  <dimension ref="A1:H52"/>
  <sheetViews>
    <sheetView workbookViewId="0">
      <selection activeCell="H20" sqref="H20"/>
    </sheetView>
  </sheetViews>
  <sheetFormatPr baseColWidth="10" defaultRowHeight="15"/>
  <cols>
    <col min="1" max="1" width="28.44140625" style="133" customWidth="1"/>
    <col min="2" max="5" width="11.5546875" style="133"/>
    <col min="6" max="6" width="11.5546875" style="281"/>
    <col min="7" max="16384" width="11.5546875" style="133"/>
  </cols>
  <sheetData>
    <row r="1" spans="1:8" ht="20.25">
      <c r="A1" s="607" t="s">
        <v>311</v>
      </c>
      <c r="B1" s="607"/>
      <c r="C1" s="607"/>
      <c r="D1" s="607"/>
      <c r="E1" s="607"/>
      <c r="F1" s="133"/>
    </row>
    <row r="2" spans="1:8" ht="16.5">
      <c r="A2" s="134"/>
      <c r="B2" s="134"/>
      <c r="C2" s="134"/>
      <c r="D2" s="134"/>
      <c r="E2" s="134"/>
      <c r="F2" s="133"/>
    </row>
    <row r="3" spans="1:8" ht="17.25" customHeight="1" thickBot="1">
      <c r="A3" s="135"/>
      <c r="B3" s="608" t="s">
        <v>312</v>
      </c>
      <c r="C3" s="609"/>
      <c r="D3" s="609"/>
      <c r="E3" s="609"/>
      <c r="F3" s="609"/>
    </row>
    <row r="4" spans="1:8" ht="17.25" thickBot="1">
      <c r="A4" s="136"/>
      <c r="B4" s="150">
        <v>2009</v>
      </c>
      <c r="C4" s="150">
        <v>2010</v>
      </c>
      <c r="D4" s="150">
        <v>2011</v>
      </c>
      <c r="E4" s="280">
        <v>2012</v>
      </c>
      <c r="F4" s="280">
        <v>2013</v>
      </c>
    </row>
    <row r="5" spans="1:8" ht="16.5">
      <c r="A5" s="137" t="s">
        <v>313</v>
      </c>
      <c r="B5" s="138"/>
      <c r="C5" s="138"/>
      <c r="D5" s="138"/>
      <c r="E5" s="138"/>
    </row>
    <row r="6" spans="1:8" ht="16.5">
      <c r="A6" s="139" t="s">
        <v>314</v>
      </c>
      <c r="B6" s="140">
        <f>+Balance!D15/Balance!D40</f>
        <v>3.9935661959868352</v>
      </c>
      <c r="C6" s="140">
        <f>+Balance!E15/Balance!E40</f>
        <v>3.8976830544966123</v>
      </c>
      <c r="D6" s="140">
        <f>+Balance!F15/Balance!F40</f>
        <v>3.8183231322257845</v>
      </c>
      <c r="E6" s="140">
        <f>+Balance!G15/Balance!G40</f>
        <v>3.1752713204834127</v>
      </c>
      <c r="F6" s="140">
        <f>+Balance!H15/Balance!H40</f>
        <v>2.2390042740294676</v>
      </c>
    </row>
    <row r="7" spans="1:8" ht="16.5">
      <c r="A7" s="139" t="s">
        <v>315</v>
      </c>
      <c r="B7" s="140">
        <f>+(Balance!D15-Balance!D10)/Balance!D40</f>
        <v>3.0911349400148636</v>
      </c>
      <c r="C7" s="140">
        <f>+(Balance!E15-Balance!E10)/Balance!E40</f>
        <v>2.8802022636142768</v>
      </c>
      <c r="D7" s="140">
        <f>+(Balance!F15-Balance!F10)/Balance!F40</f>
        <v>2.7983483921111434</v>
      </c>
      <c r="E7" s="140">
        <f>+(Balance!G15-Balance!G10)/Balance!G40</f>
        <v>2.315433599233113</v>
      </c>
      <c r="F7" s="140">
        <f>+(Balance!H15-Balance!H10)/Balance!H40</f>
        <v>1.298144279218385</v>
      </c>
    </row>
    <row r="8" spans="1:8" ht="16.5">
      <c r="A8" s="139" t="s">
        <v>316</v>
      </c>
      <c r="B8" s="141">
        <f>+Balance!D15-Balance!D40</f>
        <v>140982</v>
      </c>
      <c r="C8" s="141">
        <f>+Balance!E15-Balance!E40</f>
        <v>146701</v>
      </c>
      <c r="D8" s="141">
        <f>+Balance!F15-Balance!F40</f>
        <v>145045</v>
      </c>
      <c r="E8" s="141">
        <f>+Balance!G15-Balance!G40</f>
        <v>127075</v>
      </c>
      <c r="F8" s="141">
        <f>+Balance!H15-Balance!H40</f>
        <v>90736</v>
      </c>
    </row>
    <row r="9" spans="1:8" ht="16.5">
      <c r="A9" s="139" t="s">
        <v>317</v>
      </c>
      <c r="B9" s="142" t="s">
        <v>318</v>
      </c>
      <c r="C9" s="143">
        <f>+((Balance!E61+Balance!E64)-(Balance!D61+Balance!D64)+ABS(Resultados!D17+Resultados!D18))/((Balance!E18+Balance!E19+Balance!E20)-(Balance!D18+Balance!D19+Balance!D20)+ABS(Resultados!D17+Resultados!D18))</f>
        <v>1.0936098654708519</v>
      </c>
      <c r="D9" s="143">
        <f>+((Balance!F61+Balance!F64)-(Balance!E61+Balance!E64)+ABS(Resultados!E17+Resultados!E18))/((Balance!F18+Balance!F19+Balance!F20)-(Balance!E18+Balance!E19+Balance!E20)+ABS(Resultados!E17+Resultados!E18))</f>
        <v>-2.7279151943462896</v>
      </c>
      <c r="E9" s="143">
        <f>+((Balance!G61+Balance!G64)-(Balance!F61+Balance!F64)+ABS(Resultados!F17+Resultados!F18))/((Balance!G18+Balance!G19+Balance!G20)-(Balance!F18+Balance!F19+Balance!F20)+ABS(Resultados!F17+Resultados!F18))</f>
        <v>-0.4427659004857154</v>
      </c>
      <c r="F9" s="143">
        <f>+((Balance!H61+Balance!H64)-(Balance!G61+Balance!G64)+ABS(Resultados!G17+Resultados!G18))/((Balance!H18+Balance!H19+Balance!H20)-(Balance!G18+Balance!G19+Balance!G20)+ABS(Resultados!G17+Resultados!G18))</f>
        <v>-0.10027182120205376</v>
      </c>
    </row>
    <row r="10" spans="1:8" ht="16.5">
      <c r="A10" s="139"/>
      <c r="B10" s="134"/>
      <c r="C10" s="134"/>
      <c r="D10" s="134"/>
      <c r="E10" s="134"/>
    </row>
    <row r="11" spans="1:8" ht="16.5">
      <c r="A11" s="144" t="s">
        <v>319</v>
      </c>
      <c r="B11" s="134"/>
      <c r="C11" s="134"/>
      <c r="D11" s="134"/>
      <c r="E11" s="134"/>
    </row>
    <row r="12" spans="1:8" ht="16.5">
      <c r="A12" s="139" t="s">
        <v>980</v>
      </c>
      <c r="B12" s="145">
        <f>+Resultados!C6/Balance!D9</f>
        <v>4.6684076456466359</v>
      </c>
      <c r="C12" s="145">
        <f>+Resultados!D6/Balance!E9</f>
        <v>3.8916928591838325</v>
      </c>
      <c r="D12" s="145">
        <f>+Resultados!E6/Balance!F9</f>
        <v>4.1103350614439327</v>
      </c>
      <c r="E12" s="145">
        <f>+Resultados!F6/Balance!G9</f>
        <v>3.9964663327768504</v>
      </c>
      <c r="F12" s="145">
        <f>+Resultados!G6/Balance!H9</f>
        <v>4.3793275418275419</v>
      </c>
    </row>
    <row r="13" spans="1:8" ht="16.5">
      <c r="A13" s="139" t="s">
        <v>981</v>
      </c>
      <c r="B13" s="145">
        <f>360/B12</f>
        <v>77.114088427069063</v>
      </c>
      <c r="C13" s="145">
        <f>360/C12</f>
        <v>92.504730724176255</v>
      </c>
      <c r="D13" s="145">
        <f>360/D12</f>
        <v>87.584100716483789</v>
      </c>
      <c r="E13" s="145">
        <f>360/E12</f>
        <v>90.079577812898151</v>
      </c>
      <c r="F13" s="145">
        <f>360/F12</f>
        <v>82.204401603121013</v>
      </c>
      <c r="H13" s="133">
        <f>+C13-B13</f>
        <v>15.390642297107192</v>
      </c>
    </row>
    <row r="14" spans="1:8" ht="16.5">
      <c r="A14" s="139" t="s">
        <v>320</v>
      </c>
      <c r="B14" s="145">
        <f>+ABS(Resultados!C7)/Balance!D10</f>
        <v>5.5890352941176467</v>
      </c>
      <c r="C14" s="145">
        <f>+ABS(Resultados!D7)/Balance!E10</f>
        <v>5.4071284360925613</v>
      </c>
      <c r="D14" s="145">
        <f>+ABS(Resultados!E7)/Balance!F10</f>
        <v>6.1353894805021625</v>
      </c>
      <c r="E14" s="145">
        <f>+ABS(Resultados!F7)/Balance!G10</f>
        <v>5.3171013338642243</v>
      </c>
      <c r="F14" s="145">
        <f>+ABS(Resultados!G7)/Balance!H10</f>
        <v>3.6117819511770342</v>
      </c>
    </row>
    <row r="15" spans="1:8" ht="16.5">
      <c r="A15" s="139" t="s">
        <v>321</v>
      </c>
      <c r="B15" s="145">
        <f>360/B14</f>
        <v>64.411831569375337</v>
      </c>
      <c r="C15" s="145">
        <f>360/C14</f>
        <v>66.578777303864541</v>
      </c>
      <c r="D15" s="145">
        <f>360/D14</f>
        <v>58.675981556518089</v>
      </c>
      <c r="E15" s="145">
        <f>360/E14</f>
        <v>67.706063397209803</v>
      </c>
      <c r="F15" s="145">
        <f>360/F14</f>
        <v>99.673791182959022</v>
      </c>
      <c r="H15" s="133">
        <f>+E15-D15</f>
        <v>9.0300818406917145</v>
      </c>
    </row>
    <row r="16" spans="1:8" ht="16.5">
      <c r="A16" s="139" t="s">
        <v>982</v>
      </c>
      <c r="B16" s="145">
        <f>+ABS(Resultados!C7)/(Balance!D34+Balance!D45)</f>
        <v>10.189344543582704</v>
      </c>
      <c r="C16" s="145">
        <f>+ABS(Resultados!D7)/(Balance!E34+Balance!E45)</f>
        <v>9.1444893135033976</v>
      </c>
      <c r="D16" s="145">
        <f>+ABS(Resultados!E7)/(Balance!F34+Balance!F45)</f>
        <v>13.191275855007168</v>
      </c>
      <c r="E16" s="145">
        <f>+ABS(Resultados!F7)/(Balance!G34+Balance!G45)</f>
        <v>10.438442898460096</v>
      </c>
      <c r="F16" s="145">
        <f>+ABS(Resultados!G7)/(Balance!H34+Balance!H45)</f>
        <v>6.4665575304022447</v>
      </c>
    </row>
    <row r="17" spans="1:8" ht="16.5">
      <c r="A17" s="139" t="s">
        <v>983</v>
      </c>
      <c r="B17" s="145">
        <f>360/B16</f>
        <v>35.331026295183008</v>
      </c>
      <c r="C17" s="145">
        <f>360/C16</f>
        <v>39.367972082202407</v>
      </c>
      <c r="D17" s="145">
        <f>360/D16</f>
        <v>27.29076428671231</v>
      </c>
      <c r="E17" s="145">
        <f>360/E16</f>
        <v>34.487902410531753</v>
      </c>
      <c r="F17" s="145">
        <f>360/F16</f>
        <v>55.671042638602586</v>
      </c>
      <c r="H17" s="133">
        <f>+C17-D17</f>
        <v>12.077207795490096</v>
      </c>
    </row>
    <row r="18" spans="1:8" ht="16.5">
      <c r="A18" s="139" t="s">
        <v>322</v>
      </c>
      <c r="B18" s="145">
        <f>+Resultados!C6/Indicadores!B8</f>
        <v>1.8069044275155695</v>
      </c>
      <c r="C18" s="145">
        <f>+Resultados!D6/Indicadores!C8</f>
        <v>2.0425014144416194</v>
      </c>
      <c r="D18" s="145">
        <f>+Resultados!E6/Indicadores!D8</f>
        <v>2.3613775035333862</v>
      </c>
      <c r="E18" s="145">
        <f>+Resultados!F6/Indicadores!E8</f>
        <v>2.2606020066889632</v>
      </c>
      <c r="F18" s="145">
        <f>+Resultados!G6/Indicadores!F8</f>
        <v>3.0001212308234879</v>
      </c>
    </row>
    <row r="19" spans="1:8" ht="16.5">
      <c r="A19" s="139" t="s">
        <v>323</v>
      </c>
      <c r="B19" s="145">
        <f>360/B18</f>
        <v>199.2357728045348</v>
      </c>
      <c r="C19" s="145">
        <f>360/C18</f>
        <v>176.25446790616647</v>
      </c>
      <c r="D19" s="145">
        <f>360/D18</f>
        <v>152.4533876778801</v>
      </c>
      <c r="E19" s="145">
        <f>360/E18</f>
        <v>159.2496153390934</v>
      </c>
      <c r="F19" s="145">
        <f>360/F18</f>
        <v>119.9951509630114</v>
      </c>
    </row>
    <row r="20" spans="1:8" ht="16.5">
      <c r="A20" s="139" t="s">
        <v>324</v>
      </c>
      <c r="B20" s="145">
        <f>+Resultados!C6/(Balance!D18+Balance!D19)</f>
        <v>3.2031611507896591</v>
      </c>
      <c r="C20" s="145">
        <f>+Resultados!D6/(Balance!E18+Balance!E19)</f>
        <v>4.2966101694915251</v>
      </c>
      <c r="D20" s="145">
        <f>+Resultados!E6/(Balance!F18+Balance!F19)</f>
        <v>5.0131143701882266</v>
      </c>
      <c r="E20" s="145">
        <f>+Resultados!F6/(Balance!G18+Balance!G19)</f>
        <v>3.0627332238735954</v>
      </c>
      <c r="F20" s="145">
        <f>+Resultados!G6/(Balance!H18+Balance!H19)</f>
        <v>2.1530351564044765</v>
      </c>
    </row>
    <row r="21" spans="1:8" ht="16.5">
      <c r="A21" s="146" t="s">
        <v>325</v>
      </c>
      <c r="B21" s="145">
        <f>+Resultados!C6/Balance!D27</f>
        <v>0.42441483663408403</v>
      </c>
      <c r="C21" s="145">
        <f>+Resultados!D6/Balance!E27</f>
        <v>0.55413627553964284</v>
      </c>
      <c r="D21" s="145">
        <f>+Resultados!E6/Balance!F27</f>
        <v>0.63631482634018555</v>
      </c>
      <c r="E21" s="145">
        <f>+Resultados!F6/Balance!G27</f>
        <v>0.52025673624769542</v>
      </c>
      <c r="F21" s="145">
        <f>+Resultados!G6/Balance!H27</f>
        <v>0.50245117039694931</v>
      </c>
    </row>
    <row r="22" spans="1:8" ht="30">
      <c r="A22" s="146" t="s">
        <v>326</v>
      </c>
      <c r="B22" s="145">
        <f>+Resultados!C6/(Balance!D27-Balance!D25)</f>
        <v>0.93629650865760294</v>
      </c>
      <c r="C22" s="145">
        <f>+Resultados!D6/(Balance!E27-Balance!E25)</f>
        <v>1.1031640256833177</v>
      </c>
      <c r="D22" s="145">
        <f>+Resultados!E6/(Balance!F27-Balance!F25)</f>
        <v>1.2725327230237078</v>
      </c>
      <c r="E22" s="145">
        <f>+Resultados!F6/(Balance!G27-Balance!G25)</f>
        <v>1.0148948948948948</v>
      </c>
      <c r="F22" s="145">
        <f>+Resultados!G6/(Balance!H27-Balance!H25)</f>
        <v>0.92221044037387234</v>
      </c>
    </row>
    <row r="23" spans="1:8" ht="16.5">
      <c r="A23" s="146" t="s">
        <v>364</v>
      </c>
      <c r="B23" s="145">
        <f>+B13+B15-B17</f>
        <v>106.19489370126139</v>
      </c>
      <c r="C23" s="145">
        <f>+C13+C15-C17</f>
        <v>119.71553594583838</v>
      </c>
      <c r="D23" s="145">
        <f>+D13+D15-D17</f>
        <v>118.96931798628955</v>
      </c>
      <c r="E23" s="145">
        <f>+E13+E15-E17</f>
        <v>123.29773879957619</v>
      </c>
      <c r="F23" s="145">
        <f>+F13+F15-F17</f>
        <v>126.20715014747745</v>
      </c>
    </row>
    <row r="24" spans="1:8" ht="16.5">
      <c r="A24" s="146"/>
      <c r="B24" s="145"/>
      <c r="C24" s="145"/>
      <c r="D24" s="145"/>
      <c r="E24" s="145"/>
      <c r="F24" s="145"/>
    </row>
    <row r="25" spans="1:8" ht="16.5">
      <c r="A25" s="146" t="s">
        <v>988</v>
      </c>
      <c r="B25" s="145">
        <f>+Balance!D35/(Resultados!C14+Resultados!C16)*360</f>
        <v>-101.99357405140758</v>
      </c>
      <c r="C25" s="145">
        <f>+Balance!E35/(Resultados!D14+Resultados!D16)*360</f>
        <v>-84.682154328826471</v>
      </c>
      <c r="D25" s="145">
        <f>+Balance!F35/(Resultados!E14+Resultados!E16)*360</f>
        <v>-79.170984455958546</v>
      </c>
      <c r="E25" s="145">
        <f>+Balance!G35/(Resultados!F14+Resultados!F16)*360</f>
        <v>-85.922608121007414</v>
      </c>
      <c r="F25" s="145">
        <f>+Balance!H35/(Resultados!G14+Resultados!G16)*360</f>
        <v>-105.17218973359326</v>
      </c>
    </row>
    <row r="26" spans="1:8" ht="16.5">
      <c r="A26" s="146" t="s">
        <v>989</v>
      </c>
      <c r="B26" s="145">
        <f>+Balance!D36/(Resultados!C7+Resultados!C14+Resultados!C16)*360</f>
        <v>-10.492342933426377</v>
      </c>
      <c r="C26" s="145">
        <f>+Balance!E36/(Resultados!D7+Resultados!D14+Resultados!D16)*360</f>
        <v>-6.7282005594387275</v>
      </c>
      <c r="D26" s="145">
        <f>+Balance!F36/(Resultados!E7+Resultados!E14+Resultados!E16)*360</f>
        <v>-6.0545880173899622</v>
      </c>
      <c r="E26" s="145">
        <f>+Balance!G36/(Resultados!F7+Resultados!F14+Resultados!F16)*360</f>
        <v>-10.585357235080663</v>
      </c>
      <c r="F26" s="145">
        <f>+Balance!H36/(Resultados!G7+Resultados!G14+Resultados!G16)*360</f>
        <v>-11.0345276448957</v>
      </c>
    </row>
    <row r="27" spans="1:8" ht="16.5">
      <c r="A27" s="146"/>
      <c r="B27" s="145"/>
      <c r="C27" s="145"/>
      <c r="D27" s="145"/>
      <c r="E27" s="145"/>
      <c r="F27" s="145"/>
    </row>
    <row r="28" spans="1:8" ht="16.5">
      <c r="A28" s="146"/>
      <c r="B28" s="145"/>
      <c r="C28" s="145"/>
      <c r="D28" s="145"/>
      <c r="E28" s="145"/>
      <c r="F28" s="145"/>
    </row>
    <row r="29" spans="1:8" ht="16.5">
      <c r="A29" s="139"/>
      <c r="B29" s="134"/>
      <c r="C29" s="134"/>
      <c r="D29" s="134"/>
      <c r="E29" s="134"/>
      <c r="F29" s="134"/>
    </row>
    <row r="30" spans="1:8" ht="16.5">
      <c r="A30" s="144" t="s">
        <v>327</v>
      </c>
      <c r="B30" s="134"/>
      <c r="C30" s="134"/>
      <c r="D30" s="134"/>
      <c r="E30" s="134"/>
      <c r="F30" s="134"/>
    </row>
    <row r="31" spans="1:8" ht="16.5">
      <c r="A31" s="139" t="s">
        <v>328</v>
      </c>
      <c r="B31" s="143">
        <f>+Balance!D55/Balance!D27</f>
        <v>0.13808006104458886</v>
      </c>
      <c r="C31" s="143">
        <f>+Balance!E55/Balance!E27</f>
        <v>0.15156603689840364</v>
      </c>
      <c r="D31" s="143">
        <f>+Balance!F55/Balance!F27</f>
        <v>0.17087308296099504</v>
      </c>
      <c r="E31" s="143">
        <f>+Balance!G55/Balance!G27</f>
        <v>0.19895610346238965</v>
      </c>
      <c r="F31" s="143">
        <f>+Balance!H55/Balance!H27</f>
        <v>0.2444285709012112</v>
      </c>
    </row>
    <row r="32" spans="1:8" ht="16.5">
      <c r="A32" s="139" t="s">
        <v>363</v>
      </c>
      <c r="B32" s="143">
        <f>+(Balance!D32+Balance!D33+Balance!D43+Balance!D44+Balance!D39+Balance!D50)/Resultados!C6</f>
        <v>6.8528426912040072E-2</v>
      </c>
      <c r="C32" s="143">
        <f>+(Balance!E32+Balance!E33+Balance!E43+Balance!E44+Balance!E39+Balance!E50)/Resultados!D6</f>
        <v>5.8807824133868647E-2</v>
      </c>
      <c r="D32" s="143">
        <f>+(Balance!F32+Balance!F33+Balance!F43+Balance!F44+Balance!F39+Balance!F50)/Resultados!E6</f>
        <v>7.6016186577753386E-2</v>
      </c>
      <c r="E32" s="143">
        <f>+(Balance!G32+Balance!G33+Balance!G43+Balance!G44+Balance!G39+Balance!G50)/Resultados!F6</f>
        <v>0.16843622287357363</v>
      </c>
      <c r="F32" s="143">
        <f>+(Balance!H32+Balance!H33+Balance!H43+Balance!H44+Balance!H39+Balance!H50)/Resultados!G6</f>
        <v>0.22944394035684504</v>
      </c>
    </row>
    <row r="33" spans="1:6" ht="30">
      <c r="A33" s="146" t="s">
        <v>329</v>
      </c>
      <c r="B33" s="147">
        <f>+Balance!D40/Balance!D55</f>
        <v>0.56824489007939383</v>
      </c>
      <c r="C33" s="147">
        <f>+Balance!E40/Balance!E55</f>
        <v>0.61773390599834055</v>
      </c>
      <c r="D33" s="147">
        <f>+Balance!F40/Balance!F55</f>
        <v>0.55955422669203592</v>
      </c>
      <c r="E33" s="147">
        <f>+Balance!G40/Balance!G55</f>
        <v>0.5317688610544713</v>
      </c>
      <c r="F33" s="147">
        <f>+Balance!H40/Balance!H55</f>
        <v>0.55300656210591492</v>
      </c>
    </row>
    <row r="34" spans="1:6" ht="16.5">
      <c r="A34" s="139" t="s">
        <v>330</v>
      </c>
      <c r="B34" s="143">
        <f>+Resultados!C19/ABS(Resultados!C25)</f>
        <v>-4.5072094995759118</v>
      </c>
      <c r="C34" s="143">
        <f>+Resultados!D19/ABS(Resultados!D25)</f>
        <v>-6.2698412698412698</v>
      </c>
      <c r="D34" s="143">
        <f>+Resultados!E19/ABS(Resultados!E25)</f>
        <v>-13.893650793650794</v>
      </c>
      <c r="E34" s="143">
        <f>+Resultados!F19/ABS(Resultados!F25)</f>
        <v>-7.288732394366197</v>
      </c>
      <c r="F34" s="143">
        <f>+Resultados!G19/ABS(Resultados!G25)</f>
        <v>-4.6440382941688423</v>
      </c>
    </row>
    <row r="35" spans="1:6" ht="16.5">
      <c r="A35" s="139" t="s">
        <v>331</v>
      </c>
      <c r="B35" s="143">
        <f>+Balance!D40/Balance!D67</f>
        <v>9.1033152343047791E-2</v>
      </c>
      <c r="C35" s="143">
        <f>+Balance!E40/Balance!E67</f>
        <v>0.11035329095934364</v>
      </c>
      <c r="D35" s="143">
        <f>+Balance!F40/Balance!F67</f>
        <v>0.11531739451925878</v>
      </c>
      <c r="E35" s="143">
        <f>+Balance!G40/Balance!G67</f>
        <v>0.13207598359506767</v>
      </c>
      <c r="F35" s="143">
        <f>+Balance!H40/Balance!H67</f>
        <v>0.17889851107229665</v>
      </c>
    </row>
    <row r="36" spans="1:6" ht="16.5">
      <c r="A36" s="139" t="s">
        <v>332</v>
      </c>
      <c r="B36" s="143">
        <f>+Balance!D55/Balance!D67</f>
        <v>0.16020056481340089</v>
      </c>
      <c r="C36" s="143">
        <f>+Balance!E55/Balance!E67</f>
        <v>0.17864211416564219</v>
      </c>
      <c r="D36" s="143">
        <f>+Balance!F55/Balance!F67</f>
        <v>0.20608796970579668</v>
      </c>
      <c r="E36" s="143">
        <f>+Balance!G55/Balance!G67</f>
        <v>0.24837103724570772</v>
      </c>
      <c r="F36" s="143">
        <f>+Balance!H55/Balance!H67</f>
        <v>0.32350160618534035</v>
      </c>
    </row>
    <row r="37" spans="1:6" ht="16.5">
      <c r="A37" s="139" t="s">
        <v>333</v>
      </c>
      <c r="B37" s="143">
        <f>+(Balance!D32+Balance!D43+Balance!D39+Balance!D50)/Balance!D67</f>
        <v>3.3743831414217759E-2</v>
      </c>
      <c r="C37" s="143">
        <f>+(Balance!E32+Balance!E43+Balance!E39+Balance!E50)/Balance!E67</f>
        <v>3.840905722232394E-2</v>
      </c>
      <c r="D37" s="143">
        <f>+(Balance!F32+Balance!F43+Balance!F39+Balance!F50)/Balance!F67</f>
        <v>4.4083443500862671E-2</v>
      </c>
      <c r="E37" s="143">
        <f>+(Balance!G32+Balance!G43+Balance!G39+Balance!G50)/Balance!G67</f>
        <v>4.362816692516041E-2</v>
      </c>
      <c r="F37" s="143">
        <f>+(Balance!H32+Balance!H43+Balance!H39+Balance!H50)/Balance!H67</f>
        <v>4.5263890754968179E-2</v>
      </c>
    </row>
    <row r="38" spans="1:6" ht="16.5">
      <c r="A38" s="139"/>
      <c r="B38" s="134"/>
      <c r="C38" s="134"/>
      <c r="D38" s="134"/>
      <c r="E38" s="134"/>
      <c r="F38" s="134"/>
    </row>
    <row r="39" spans="1:6" ht="16.5">
      <c r="A39" s="144" t="s">
        <v>334</v>
      </c>
      <c r="B39" s="134"/>
      <c r="C39" s="134"/>
      <c r="D39" s="134"/>
      <c r="E39" s="134"/>
      <c r="F39" s="134"/>
    </row>
    <row r="40" spans="1:6" ht="16.5">
      <c r="A40" s="139" t="s">
        <v>335</v>
      </c>
      <c r="B40" s="143">
        <f>+Resultados!C10/Resultados!C6</f>
        <v>6.754703797190087E-2</v>
      </c>
      <c r="C40" s="143">
        <f>+Resultados!D10/Resultados!D6</f>
        <v>7.0435226624215294E-2</v>
      </c>
      <c r="D40" s="143">
        <f>+Resultados!E10/Resultados!E6</f>
        <v>5.9680706323392875E-2</v>
      </c>
      <c r="E40" s="143">
        <f>+Resultados!F10/Resultados!F6</f>
        <v>7.027632925581169E-2</v>
      </c>
      <c r="F40" s="143">
        <f>+Resultados!G10/Resultados!G6</f>
        <v>8.5813260646758677E-2</v>
      </c>
    </row>
    <row r="41" spans="1:6" ht="16.5">
      <c r="A41" s="139" t="s">
        <v>175</v>
      </c>
      <c r="B41" s="143">
        <f>+Resultados!C19/Resultados!C6</f>
        <v>-4.172080662319768E-2</v>
      </c>
      <c r="C41" s="143">
        <f>+Resultados!D19/Resultados!D6</f>
        <v>-2.3728711741206859E-2</v>
      </c>
      <c r="D41" s="143">
        <f>+Resultados!E19/Resultados!E6</f>
        <v>-2.5555756687474087E-2</v>
      </c>
      <c r="E41" s="143">
        <f>+Resultados!F19/Resultados!F6</f>
        <v>-2.8823459789881156E-2</v>
      </c>
      <c r="F41" s="143">
        <f>+Resultados!G19/Resultados!G6</f>
        <v>-1.9601864675132891E-2</v>
      </c>
    </row>
    <row r="42" spans="1:6" ht="16.5">
      <c r="A42" s="139" t="s">
        <v>336</v>
      </c>
      <c r="B42" s="143">
        <f>+Resultados!C34/Resultados!C6</f>
        <v>-4.2682567784534095E-2</v>
      </c>
      <c r="C42" s="143">
        <f>+Resultados!D34/Resultados!D6</f>
        <v>1.5518777721042461E-3</v>
      </c>
      <c r="D42" s="143">
        <f>+Resultados!E34/Resultados!E6</f>
        <v>-3.6443157200165839E-2</v>
      </c>
      <c r="E42" s="143">
        <f>+Resultados!F34/Resultados!F6</f>
        <v>-1.3875641391602208E-2</v>
      </c>
      <c r="F42" s="143">
        <f>+Resultados!G34/Resultados!G6</f>
        <v>-3.8351474364390438E-2</v>
      </c>
    </row>
    <row r="43" spans="1:6" ht="16.5">
      <c r="A43" s="139" t="s">
        <v>337</v>
      </c>
      <c r="B43" s="143">
        <f>+Resultados!C34/Balance!D27</f>
        <v>-1.8115115033396256E-2</v>
      </c>
      <c r="C43" s="143">
        <f>+Resultados!D34/Balance!E27</f>
        <v>8.5995176872660567E-4</v>
      </c>
      <c r="D43" s="143">
        <f>+Resultados!E34/Balance!F27</f>
        <v>-2.3189321245111607E-2</v>
      </c>
      <c r="E43" s="143">
        <f>+Resultados!F34/Balance!G27</f>
        <v>-7.2188959037383952E-3</v>
      </c>
      <c r="F43" s="143">
        <f>+Resultados!G34/Balance!H27</f>
        <v>-1.9269743180836574E-2</v>
      </c>
    </row>
    <row r="44" spans="1:6" ht="16.5">
      <c r="A44" s="139" t="s">
        <v>338</v>
      </c>
      <c r="B44" s="143">
        <f>+Resultados!C34/Balance!D67</f>
        <v>-2.1017166693406066E-2</v>
      </c>
      <c r="C44" s="143">
        <f>+Resultados!D34/Balance!E67</f>
        <v>1.0135753707724098E-3</v>
      </c>
      <c r="D44" s="143">
        <f>+Resultados!E34/Balance!F67</f>
        <v>-2.7968361379372156E-2</v>
      </c>
      <c r="E44" s="143">
        <f>+Resultados!F34/Balance!G67</f>
        <v>-9.0118605671186923E-3</v>
      </c>
      <c r="F44" s="143">
        <f>+Resultados!G34/Balance!H67</f>
        <v>-2.5503536050616213E-2</v>
      </c>
    </row>
    <row r="45" spans="1:6" ht="16.5">
      <c r="A45" s="139" t="s">
        <v>339</v>
      </c>
      <c r="B45" s="143">
        <f>+Resultados!C34/(Balance!D27-Balance!D25)</f>
        <v>-3.9963539197200748E-2</v>
      </c>
      <c r="C45" s="143">
        <f>+Resultados!D34/(Balance!E27-Balance!E25)</f>
        <v>1.7119757304429784E-3</v>
      </c>
      <c r="D45" s="143">
        <f>+Resultados!E34/(Balance!F27-Balance!F25)</f>
        <v>-4.6375110067508073E-2</v>
      </c>
      <c r="E45" s="143">
        <f>+Resultados!F34/(Balance!G27-Balance!G25)</f>
        <v>-1.4082317611729376E-2</v>
      </c>
      <c r="F45" s="143">
        <f>+Resultados!G34/(Balance!H27-Balance!H25)</f>
        <v>-3.5368130062571779E-2</v>
      </c>
    </row>
    <row r="46" spans="1:6" ht="16.5">
      <c r="A46" s="139" t="s">
        <v>340</v>
      </c>
      <c r="B46" s="143">
        <f>+Resultados!C34/(Balance!D67-Balance!D25)</f>
        <v>-5.7469806284521259E-2</v>
      </c>
      <c r="C46" s="143">
        <f>+Resultados!D34/(Balance!E67-Balance!E25)</f>
        <v>2.4517557734894022E-3</v>
      </c>
      <c r="D46" s="143">
        <f>+Resultados!E34/(Balance!F67-Balance!F25)</f>
        <v>-7.0448927067694636E-2</v>
      </c>
      <c r="E46" s="143">
        <f>+Resultados!F34/(Balance!G67-Balance!G25)</f>
        <v>-2.3014654087324043E-2</v>
      </c>
      <c r="F46" s="143">
        <f>+Resultados!G34/(Balance!H67-Balance!H25)</f>
        <v>-6.4145888887523497E-2</v>
      </c>
    </row>
    <row r="47" spans="1:6" ht="16.5">
      <c r="A47" s="139"/>
      <c r="B47" s="134"/>
      <c r="C47" s="134"/>
      <c r="D47" s="134"/>
      <c r="E47" s="134"/>
      <c r="F47" s="134"/>
    </row>
    <row r="48" spans="1:6" ht="16.5">
      <c r="A48" s="144" t="s">
        <v>341</v>
      </c>
      <c r="B48" s="134"/>
      <c r="C48" s="134"/>
      <c r="D48" s="134"/>
      <c r="E48" s="134"/>
      <c r="F48" s="134"/>
    </row>
    <row r="49" spans="1:6" ht="16.5">
      <c r="A49" s="139" t="s">
        <v>342</v>
      </c>
      <c r="B49" s="141">
        <f>+Resultados!C19-Resultados!C17</f>
        <v>-9612</v>
      </c>
      <c r="C49" s="141">
        <f>+Resultados!D19-Resultados!D17</f>
        <v>-6240</v>
      </c>
      <c r="D49" s="141">
        <f>+Resultados!E19-Resultados!E17</f>
        <v>-7903</v>
      </c>
      <c r="E49" s="141">
        <f>+Resultados!F19-Resultados!F17</f>
        <v>-7605</v>
      </c>
      <c r="F49" s="141">
        <f>+Resultados!G19-Resultados!G17</f>
        <v>-4867</v>
      </c>
    </row>
    <row r="50" spans="1:6" ht="16.5">
      <c r="A50" s="139" t="s">
        <v>343</v>
      </c>
      <c r="B50" s="143">
        <f>+B49/Resultados!C6</f>
        <v>-3.7732441970471972E-2</v>
      </c>
      <c r="C50" s="143">
        <f>+C49/Resultados!D6</f>
        <v>-2.082519849017311E-2</v>
      </c>
      <c r="D50" s="143">
        <f>+D49/Resultados!E6</f>
        <v>-2.3074048337839336E-2</v>
      </c>
      <c r="E50" s="143">
        <f>+E49/Resultados!F6</f>
        <v>-2.6473721220053887E-2</v>
      </c>
      <c r="F50" s="143">
        <f>+F49/Resultados!G6</f>
        <v>-1.7878987139031442E-2</v>
      </c>
    </row>
    <row r="51" spans="1:6" ht="16.5">
      <c r="A51" s="139" t="s">
        <v>344</v>
      </c>
      <c r="B51" s="143">
        <f>+B49/ABS(Resultados!C25)</f>
        <v>-4.0763358778625953</v>
      </c>
      <c r="C51" s="143">
        <f>+C49/ABS(Resultados!D25)</f>
        <v>-5.5026455026455023</v>
      </c>
      <c r="D51" s="143">
        <f>+D49/ABS(Resultados!E25)</f>
        <v>-12.544444444444444</v>
      </c>
      <c r="E51" s="143">
        <f>+E49/ABS(Resultados!F25)</f>
        <v>-6.694542253521127</v>
      </c>
      <c r="F51" s="143">
        <f>+F49/ABS(Resultados!G25)</f>
        <v>-4.2358572671888597</v>
      </c>
    </row>
    <row r="52" spans="1:6" ht="17.25" thickBot="1">
      <c r="A52" s="148" t="s">
        <v>345</v>
      </c>
      <c r="B52" s="149">
        <f>+B49/(Balance!D32+Balance!D43+Balance!D39+Balance!D50)</f>
        <v>-0.55061007045884169</v>
      </c>
      <c r="C52" s="149">
        <f>+C49/(Balance!E32+Balance!E43+Balance!E39+Balance!E50)</f>
        <v>-0.35412292151410252</v>
      </c>
      <c r="D52" s="149">
        <f>+D49/(Balance!F32+Balance!F43+Balance!F39+Balance!F50)</f>
        <v>-0.40169767205448814</v>
      </c>
      <c r="E52" s="149">
        <f>+E49/(Balance!G32+Balance!G43+Balance!G39+Balance!G50)</f>
        <v>-0.39410271026584442</v>
      </c>
      <c r="F52" s="149">
        <f>+F49/(Balance!H32+Balance!H43+Balance!H39+Balance!H50)</f>
        <v>-0.2626693291596956</v>
      </c>
    </row>
  </sheetData>
  <mergeCells count="2">
    <mergeCell ref="A1:E1"/>
    <mergeCell ref="B3:F3"/>
  </mergeCells>
  <phoneticPr fontId="2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K39"/>
  <sheetViews>
    <sheetView showGridLines="0" zoomScale="70" zoomScaleNormal="70" workbookViewId="0">
      <selection activeCell="A33" sqref="A33"/>
    </sheetView>
  </sheetViews>
  <sheetFormatPr baseColWidth="10" defaultRowHeight="14.25" outlineLevelRow="1"/>
  <cols>
    <col min="1" max="1" width="17.5546875" style="309" customWidth="1"/>
    <col min="2" max="6" width="15.77734375" style="309" customWidth="1"/>
    <col min="7" max="7" width="5.77734375" style="309" customWidth="1"/>
    <col min="8" max="11" width="8.44140625" style="309" customWidth="1"/>
    <col min="12" max="13" width="11.6640625" style="309" bestFit="1" customWidth="1"/>
    <col min="14" max="14" width="5.77734375" style="309" customWidth="1"/>
    <col min="15" max="15" width="11.6640625" style="309" bestFit="1" customWidth="1"/>
    <col min="16" max="16384" width="11.5546875" style="309"/>
  </cols>
  <sheetData>
    <row r="1" spans="1:19" ht="15">
      <c r="A1" s="310" t="str">
        <f>+Proyecciones!A1</f>
        <v>ENKA de Colombia S.A.</v>
      </c>
    </row>
    <row r="2" spans="1:19" ht="15">
      <c r="A2" s="310" t="s">
        <v>1155</v>
      </c>
    </row>
    <row r="4" spans="1:19" ht="15">
      <c r="A4" s="307" t="s">
        <v>994</v>
      </c>
      <c r="B4" s="308"/>
      <c r="C4" s="308"/>
      <c r="D4" s="308"/>
      <c r="E4" s="308"/>
      <c r="F4" s="308"/>
      <c r="H4" s="307" t="s">
        <v>995</v>
      </c>
      <c r="I4" s="307"/>
      <c r="J4" s="307"/>
      <c r="K4" s="307"/>
      <c r="L4" s="307"/>
      <c r="M4" s="307"/>
      <c r="O4" s="307" t="s">
        <v>996</v>
      </c>
      <c r="P4" s="307"/>
      <c r="Q4" s="307"/>
      <c r="R4" s="307"/>
      <c r="S4" s="308"/>
    </row>
    <row r="5" spans="1:19" ht="15.75" thickBot="1">
      <c r="A5" s="529" t="s">
        <v>202</v>
      </c>
      <c r="B5" s="529">
        <v>2009</v>
      </c>
      <c r="C5" s="529">
        <v>2010</v>
      </c>
      <c r="D5" s="529">
        <v>2011</v>
      </c>
      <c r="E5" s="529">
        <v>2012</v>
      </c>
      <c r="F5" s="529">
        <v>2013</v>
      </c>
      <c r="H5" s="529">
        <v>2009</v>
      </c>
      <c r="I5" s="529">
        <v>2010</v>
      </c>
      <c r="J5" s="529">
        <v>2011</v>
      </c>
      <c r="K5" s="529">
        <v>2012</v>
      </c>
      <c r="L5" s="529">
        <v>2013</v>
      </c>
      <c r="M5" s="529" t="s">
        <v>997</v>
      </c>
      <c r="O5" s="530">
        <v>2010</v>
      </c>
      <c r="P5" s="530">
        <v>2011</v>
      </c>
      <c r="Q5" s="530">
        <v>2012</v>
      </c>
      <c r="R5" s="530">
        <v>2013</v>
      </c>
      <c r="S5" s="529" t="s">
        <v>997</v>
      </c>
    </row>
    <row r="6" spans="1:19" ht="15">
      <c r="A6" s="309" t="s">
        <v>998</v>
      </c>
      <c r="B6" s="311">
        <v>80785</v>
      </c>
      <c r="C6" s="311">
        <v>126854</v>
      </c>
      <c r="D6" s="311">
        <v>146165</v>
      </c>
      <c r="E6" s="311">
        <v>106004</v>
      </c>
      <c r="F6" s="311">
        <v>86015</v>
      </c>
      <c r="H6" s="312">
        <f t="shared" ref="H6:H11" si="0">+B6/$B$12</f>
        <v>0.31712577313760004</v>
      </c>
      <c r="I6" s="312">
        <f t="shared" ref="I6:I11" si="1">+C6/$C$12</f>
        <v>0.4233585438372397</v>
      </c>
      <c r="J6" s="312">
        <f t="shared" ref="J6:J11" si="2">+D6/$D$12</f>
        <v>0.42675164814630984</v>
      </c>
      <c r="K6" s="312">
        <f t="shared" ref="K6:K11" si="3">+E6/$E$12</f>
        <v>0.36900990719402921</v>
      </c>
      <c r="L6" s="312">
        <f t="shared" ref="L6:L11" si="4">+F6/$F$12</f>
        <v>0.3159772095261536</v>
      </c>
      <c r="M6" s="313">
        <f t="shared" ref="M6:M11" si="5">AVERAGE(H6:L6)</f>
        <v>0.37044461636826648</v>
      </c>
      <c r="N6" s="314"/>
      <c r="O6" s="315">
        <f t="shared" ref="O6:R12" si="6">+C6/B6-1</f>
        <v>0.57026675744259459</v>
      </c>
      <c r="P6" s="315">
        <f t="shared" si="6"/>
        <v>0.15223012281835802</v>
      </c>
      <c r="Q6" s="315">
        <f t="shared" si="6"/>
        <v>-0.27476482057948204</v>
      </c>
      <c r="R6" s="315">
        <f t="shared" si="6"/>
        <v>-0.18856835591109766</v>
      </c>
      <c r="S6" s="316">
        <f t="shared" ref="S6:S12" si="7">AVERAGE(O6:R6)</f>
        <v>6.4790925942593225E-2</v>
      </c>
    </row>
    <row r="7" spans="1:19" ht="15">
      <c r="A7" s="309" t="s">
        <v>999</v>
      </c>
      <c r="B7" s="311">
        <v>82997</v>
      </c>
      <c r="C7" s="311">
        <v>101298</v>
      </c>
      <c r="D7" s="311">
        <v>119291</v>
      </c>
      <c r="E7" s="311">
        <v>99358</v>
      </c>
      <c r="F7" s="311">
        <v>93387</v>
      </c>
      <c r="H7" s="312">
        <f t="shared" si="0"/>
        <v>0.32580909566257832</v>
      </c>
      <c r="I7" s="312">
        <f t="shared" si="1"/>
        <v>0.33806875442338996</v>
      </c>
      <c r="J7" s="312">
        <f t="shared" si="2"/>
        <v>0.34828878910150479</v>
      </c>
      <c r="K7" s="312">
        <f t="shared" si="3"/>
        <v>0.34587455529021882</v>
      </c>
      <c r="L7" s="312">
        <f t="shared" si="4"/>
        <v>0.34305834640491661</v>
      </c>
      <c r="M7" s="313">
        <f t="shared" si="5"/>
        <v>0.3402199081765217</v>
      </c>
      <c r="N7" s="314"/>
      <c r="O7" s="315">
        <f t="shared" si="6"/>
        <v>0.2205019458534645</v>
      </c>
      <c r="P7" s="315">
        <f t="shared" si="6"/>
        <v>0.1776244348358309</v>
      </c>
      <c r="Q7" s="315">
        <f t="shared" si="6"/>
        <v>-0.16709558977626138</v>
      </c>
      <c r="R7" s="315">
        <f t="shared" si="6"/>
        <v>-6.0095815133154873E-2</v>
      </c>
      <c r="S7" s="316">
        <f t="shared" si="7"/>
        <v>4.2733743944969788E-2</v>
      </c>
    </row>
    <row r="8" spans="1:19" ht="15">
      <c r="A8" s="309" t="s">
        <v>1000</v>
      </c>
      <c r="B8" s="311">
        <v>50948.200000000004</v>
      </c>
      <c r="C8" s="311">
        <v>17164</v>
      </c>
      <c r="D8" s="311">
        <v>19189</v>
      </c>
      <c r="E8" s="311">
        <v>31272</v>
      </c>
      <c r="F8" s="311">
        <v>41711</v>
      </c>
      <c r="H8" s="312">
        <f t="shared" si="0"/>
        <v>0.19999984297789286</v>
      </c>
      <c r="I8" s="312">
        <f t="shared" si="1"/>
        <v>5.7282592952704547E-2</v>
      </c>
      <c r="J8" s="312">
        <f t="shared" si="2"/>
        <v>5.6025295907224985E-2</v>
      </c>
      <c r="K8" s="312">
        <f t="shared" si="3"/>
        <v>0.10886077711946419</v>
      </c>
      <c r="L8" s="312">
        <f t="shared" si="4"/>
        <v>0.15322589532692427</v>
      </c>
      <c r="M8" s="313">
        <f t="shared" si="5"/>
        <v>0.11507888085684218</v>
      </c>
      <c r="N8" s="314"/>
      <c r="O8" s="315">
        <f t="shared" si="6"/>
        <v>-0.66310880462901545</v>
      </c>
      <c r="P8" s="315">
        <f t="shared" si="6"/>
        <v>0.11797949195991619</v>
      </c>
      <c r="Q8" s="315">
        <f t="shared" si="6"/>
        <v>0.62968367293762051</v>
      </c>
      <c r="R8" s="315">
        <f t="shared" si="6"/>
        <v>0.33381299565106159</v>
      </c>
      <c r="S8" s="316">
        <f t="shared" si="7"/>
        <v>0.10459183897989571</v>
      </c>
    </row>
    <row r="9" spans="1:19" ht="15">
      <c r="A9" s="309" t="s">
        <v>1001</v>
      </c>
      <c r="B9" s="311">
        <v>27905</v>
      </c>
      <c r="C9" s="311">
        <v>34425</v>
      </c>
      <c r="D9" s="311">
        <v>36941</v>
      </c>
      <c r="E9" s="311">
        <v>33119</v>
      </c>
      <c r="F9" s="311">
        <v>33722</v>
      </c>
      <c r="H9" s="312">
        <f t="shared" si="0"/>
        <v>0.10954254749526185</v>
      </c>
      <c r="I9" s="312">
        <f t="shared" si="1"/>
        <v>0.1148889106500148</v>
      </c>
      <c r="J9" s="312">
        <f t="shared" si="2"/>
        <v>0.10785504487512627</v>
      </c>
      <c r="K9" s="312">
        <f t="shared" si="3"/>
        <v>0.1152903580653471</v>
      </c>
      <c r="L9" s="312">
        <f t="shared" si="4"/>
        <v>0.12387820100727723</v>
      </c>
      <c r="M9" s="313">
        <f t="shared" si="5"/>
        <v>0.11429101241860544</v>
      </c>
      <c r="N9" s="314"/>
      <c r="O9" s="315">
        <f t="shared" si="6"/>
        <v>0.23364988353341687</v>
      </c>
      <c r="P9" s="315">
        <f t="shared" si="6"/>
        <v>7.3086419753086496E-2</v>
      </c>
      <c r="Q9" s="315">
        <f t="shared" si="6"/>
        <v>-0.10346227768603988</v>
      </c>
      <c r="R9" s="315">
        <f t="shared" si="6"/>
        <v>1.8207071469549252E-2</v>
      </c>
      <c r="S9" s="316">
        <f t="shared" si="7"/>
        <v>5.5370274267503183E-2</v>
      </c>
    </row>
    <row r="10" spans="1:19" ht="15">
      <c r="A10" s="309" t="s">
        <v>1002</v>
      </c>
      <c r="B10" s="311">
        <v>10915</v>
      </c>
      <c r="C10" s="311">
        <v>19297</v>
      </c>
      <c r="D10" s="311">
        <v>20819</v>
      </c>
      <c r="E10" s="311">
        <v>17356</v>
      </c>
      <c r="F10" s="311">
        <v>17192</v>
      </c>
      <c r="H10" s="312">
        <f t="shared" si="0"/>
        <v>4.2847407486500025E-2</v>
      </c>
      <c r="I10" s="312">
        <f t="shared" si="1"/>
        <v>6.4401199965528996E-2</v>
      </c>
      <c r="J10" s="312">
        <f t="shared" si="2"/>
        <v>6.0784336624759856E-2</v>
      </c>
      <c r="K10" s="312">
        <f t="shared" si="3"/>
        <v>6.0417870545069724E-2</v>
      </c>
      <c r="L10" s="312">
        <f t="shared" si="4"/>
        <v>6.3155033263659038E-2</v>
      </c>
      <c r="M10" s="313">
        <f t="shared" si="5"/>
        <v>5.8321169577103524E-2</v>
      </c>
      <c r="N10" s="314"/>
      <c r="O10" s="315">
        <f t="shared" si="6"/>
        <v>0.76793403573064589</v>
      </c>
      <c r="P10" s="315">
        <f t="shared" si="6"/>
        <v>7.8872363579830962E-2</v>
      </c>
      <c r="Q10" s="315">
        <f t="shared" si="6"/>
        <v>-0.16633844084730298</v>
      </c>
      <c r="R10" s="315">
        <f t="shared" si="6"/>
        <v>-9.4491818391334581E-3</v>
      </c>
      <c r="S10" s="316">
        <f t="shared" si="7"/>
        <v>0.1677546941560101</v>
      </c>
    </row>
    <row r="11" spans="1:19" ht="15">
      <c r="A11" s="317" t="s">
        <v>1003</v>
      </c>
      <c r="B11" s="318">
        <v>1191</v>
      </c>
      <c r="C11" s="318">
        <v>599.274</v>
      </c>
      <c r="D11" s="318">
        <v>101</v>
      </c>
      <c r="E11" s="318">
        <v>157</v>
      </c>
      <c r="F11" s="318">
        <v>192</v>
      </c>
      <c r="H11" s="312">
        <f t="shared" si="0"/>
        <v>4.6753332401668832E-3</v>
      </c>
      <c r="I11" s="312">
        <f t="shared" si="1"/>
        <v>1.9999981711220616E-3</v>
      </c>
      <c r="J11" s="312">
        <f t="shared" si="2"/>
        <v>2.9488534507424689E-4</v>
      </c>
      <c r="K11" s="312">
        <f t="shared" si="3"/>
        <v>5.465317858709349E-4</v>
      </c>
      <c r="L11" s="312">
        <f t="shared" si="4"/>
        <v>7.0531447106924943E-4</v>
      </c>
      <c r="M11" s="313">
        <f t="shared" si="5"/>
        <v>1.6444126026606751E-3</v>
      </c>
      <c r="N11" s="314"/>
      <c r="O11" s="315">
        <f t="shared" si="6"/>
        <v>-0.49683123425692699</v>
      </c>
      <c r="P11" s="315">
        <f t="shared" si="6"/>
        <v>-0.83146273657792591</v>
      </c>
      <c r="Q11" s="315">
        <f t="shared" si="6"/>
        <v>0.5544554455445545</v>
      </c>
      <c r="R11" s="315">
        <f t="shared" si="6"/>
        <v>0.22292993630573243</v>
      </c>
      <c r="S11" s="316">
        <f t="shared" si="7"/>
        <v>-0.13772714724614149</v>
      </c>
    </row>
    <row r="12" spans="1:19" ht="15">
      <c r="A12" s="310" t="s">
        <v>1004</v>
      </c>
      <c r="B12" s="319">
        <f>+SUM(B6:B11)</f>
        <v>254741.2</v>
      </c>
      <c r="C12" s="319">
        <f>+SUM(C6:C11)</f>
        <v>299637.27399999998</v>
      </c>
      <c r="D12" s="319">
        <f>+SUM(D6:D11)</f>
        <v>342506</v>
      </c>
      <c r="E12" s="319">
        <f>+SUM(E6:E11)</f>
        <v>287266</v>
      </c>
      <c r="F12" s="319">
        <f>+SUM(F6:F11)</f>
        <v>272219</v>
      </c>
      <c r="O12" s="320">
        <f t="shared" si="6"/>
        <v>0.17624190354760039</v>
      </c>
      <c r="P12" s="320">
        <f t="shared" si="6"/>
        <v>0.14306873583424751</v>
      </c>
      <c r="Q12" s="320">
        <f t="shared" si="6"/>
        <v>-0.16128184615743957</v>
      </c>
      <c r="R12" s="320">
        <f t="shared" si="6"/>
        <v>-5.2380024089171751E-2</v>
      </c>
      <c r="S12" s="316">
        <f t="shared" si="7"/>
        <v>2.6412192283809144E-2</v>
      </c>
    </row>
    <row r="13" spans="1:19">
      <c r="A13" s="309" t="s">
        <v>1005</v>
      </c>
      <c r="B13" s="311">
        <v>53677</v>
      </c>
      <c r="C13" s="311">
        <v>54371</v>
      </c>
      <c r="D13" s="311">
        <v>52166</v>
      </c>
      <c r="E13" s="311">
        <v>48571</v>
      </c>
      <c r="F13" s="311">
        <v>47894</v>
      </c>
      <c r="O13" s="321"/>
      <c r="P13" s="321"/>
      <c r="Q13" s="321"/>
      <c r="R13" s="321"/>
    </row>
    <row r="14" spans="1:19">
      <c r="A14" s="309" t="s">
        <v>1006</v>
      </c>
      <c r="B14" s="311">
        <f>+B12-[2]Resultados!C6</f>
        <v>0.20000000001164153</v>
      </c>
      <c r="C14" s="311">
        <f>+C12-[2]Resultados!D6</f>
        <v>0.27399999997578561</v>
      </c>
      <c r="D14" s="311">
        <f>+D12-[2]Resultados!E6</f>
        <v>0</v>
      </c>
      <c r="E14" s="311">
        <f>+E12-[2]Resultados!F6</f>
        <v>0</v>
      </c>
      <c r="F14" s="311">
        <f>+F12-[2]Resultados!G6</f>
        <v>0</v>
      </c>
      <c r="R14" s="322"/>
    </row>
    <row r="15" spans="1:19" hidden="1" outlineLevel="1">
      <c r="C15" s="323"/>
      <c r="D15" s="323"/>
      <c r="E15" s="323"/>
      <c r="F15" s="323"/>
    </row>
    <row r="16" spans="1:19" hidden="1" outlineLevel="1">
      <c r="C16" s="323"/>
      <c r="D16" s="323"/>
      <c r="E16" s="323"/>
      <c r="F16" s="323"/>
    </row>
    <row r="17" spans="1:24" ht="15" hidden="1" outlineLevel="1">
      <c r="A17" s="310" t="s">
        <v>1007</v>
      </c>
      <c r="C17" s="323"/>
      <c r="D17" s="323"/>
      <c r="E17" s="323"/>
      <c r="F17" s="323"/>
    </row>
    <row r="18" spans="1:24" hidden="1" outlineLevel="1">
      <c r="A18" s="324" t="s">
        <v>1112</v>
      </c>
      <c r="B18" s="325"/>
      <c r="C18" s="309" t="s">
        <v>1008</v>
      </c>
      <c r="D18" s="323"/>
      <c r="E18" s="323"/>
      <c r="F18" s="323"/>
    </row>
    <row r="19" spans="1:24" hidden="1" outlineLevel="1">
      <c r="A19" s="309" t="s">
        <v>1009</v>
      </c>
      <c r="B19" s="325"/>
      <c r="C19" s="309" t="s">
        <v>1010</v>
      </c>
      <c r="D19" s="323"/>
      <c r="E19" s="323"/>
      <c r="F19" s="323"/>
    </row>
    <row r="20" spans="1:24" hidden="1" outlineLevel="1">
      <c r="B20" s="325"/>
      <c r="C20" s="309" t="s">
        <v>1011</v>
      </c>
      <c r="D20" s="323"/>
      <c r="E20" s="323"/>
      <c r="F20" s="323"/>
    </row>
    <row r="21" spans="1:24" hidden="1" outlineLevel="1">
      <c r="C21" s="323"/>
      <c r="D21" s="323"/>
      <c r="E21" s="323"/>
      <c r="F21" s="323"/>
    </row>
    <row r="22" spans="1:24" hidden="1" outlineLevel="1">
      <c r="A22" s="324" t="s">
        <v>999</v>
      </c>
      <c r="C22" s="323"/>
      <c r="D22" s="323"/>
      <c r="E22" s="323"/>
      <c r="F22" s="323"/>
    </row>
    <row r="23" spans="1:24" hidden="1" outlineLevel="1">
      <c r="A23" s="309" t="s">
        <v>1012</v>
      </c>
      <c r="B23" s="325"/>
      <c r="C23" s="309" t="s">
        <v>1013</v>
      </c>
      <c r="D23" s="323"/>
      <c r="E23" s="323"/>
      <c r="F23" s="323"/>
    </row>
    <row r="24" spans="1:24" hidden="1" outlineLevel="1">
      <c r="B24" s="325"/>
      <c r="C24" s="323"/>
      <c r="D24" s="323"/>
      <c r="E24" s="323"/>
      <c r="F24" s="323"/>
    </row>
    <row r="25" spans="1:24" hidden="1" outlineLevel="1">
      <c r="B25" s="326"/>
      <c r="C25" s="323"/>
      <c r="D25" s="323"/>
      <c r="E25" s="323"/>
      <c r="F25" s="323"/>
    </row>
    <row r="26" spans="1:24" hidden="1" outlineLevel="1">
      <c r="A26" s="324" t="s">
        <v>1000</v>
      </c>
      <c r="B26" s="325"/>
      <c r="C26" s="323" t="s">
        <v>1014</v>
      </c>
      <c r="D26" s="323"/>
      <c r="E26" s="323"/>
      <c r="F26" s="323"/>
    </row>
    <row r="27" spans="1:24" hidden="1" outlineLevel="1">
      <c r="A27" s="309" t="s">
        <v>1015</v>
      </c>
      <c r="B27" s="325"/>
      <c r="C27" s="323"/>
      <c r="D27" s="323"/>
      <c r="E27" s="323"/>
      <c r="F27" s="323"/>
    </row>
    <row r="28" spans="1:24" hidden="1" outlineLevel="1">
      <c r="C28" s="323"/>
      <c r="D28" s="323"/>
      <c r="E28" s="323"/>
      <c r="F28" s="323"/>
    </row>
    <row r="29" spans="1:24" hidden="1" outlineLevel="1">
      <c r="A29" s="324" t="s">
        <v>1001</v>
      </c>
      <c r="B29" s="325"/>
      <c r="C29" s="309" t="s">
        <v>1008</v>
      </c>
      <c r="D29" s="323"/>
      <c r="E29" s="323"/>
      <c r="F29" s="323"/>
    </row>
    <row r="30" spans="1:24" hidden="1" outlineLevel="1">
      <c r="B30" s="325"/>
      <c r="C30" s="309" t="s">
        <v>1010</v>
      </c>
      <c r="D30" s="323"/>
      <c r="E30" s="323"/>
      <c r="F30" s="323"/>
    </row>
    <row r="31" spans="1:24" hidden="1" outlineLevel="1">
      <c r="B31" s="325"/>
      <c r="C31" s="309" t="s">
        <v>1011</v>
      </c>
    </row>
    <row r="32" spans="1:24" hidden="1" outlineLevel="1">
      <c r="B32" s="325"/>
      <c r="C32" s="327" t="s">
        <v>1016</v>
      </c>
      <c r="R32" s="323"/>
      <c r="T32" s="309">
        <v>2009</v>
      </c>
      <c r="U32" s="309">
        <v>2010</v>
      </c>
      <c r="V32" s="309">
        <v>2011</v>
      </c>
      <c r="W32" s="309">
        <v>2012</v>
      </c>
      <c r="X32" s="309">
        <v>2013</v>
      </c>
    </row>
    <row r="33" spans="19:37" collapsed="1">
      <c r="S33" s="309" t="s">
        <v>1017</v>
      </c>
      <c r="T33" s="328">
        <v>167582</v>
      </c>
      <c r="U33" s="328">
        <v>190516</v>
      </c>
      <c r="V33" s="328">
        <v>214907</v>
      </c>
      <c r="W33" s="328">
        <v>188293</v>
      </c>
      <c r="X33" s="328">
        <v>176167</v>
      </c>
      <c r="Y33" s="315">
        <f>+T33/T35</f>
        <v>0.6578524854656298</v>
      </c>
      <c r="Z33" s="315">
        <f>+U33/U35</f>
        <v>0.63582267877465071</v>
      </c>
      <c r="AA33" s="315">
        <f>+V33/V35</f>
        <v>0.62745470152347693</v>
      </c>
      <c r="AB33" s="315">
        <f>+W33/W35</f>
        <v>0.65546566596812705</v>
      </c>
      <c r="AC33" s="315">
        <f>+X33/X35</f>
        <v>0.64715174179612733</v>
      </c>
      <c r="AD33" s="329"/>
    </row>
    <row r="34" spans="19:37" ht="15" customHeight="1">
      <c r="S34" s="330" t="s">
        <v>1018</v>
      </c>
      <c r="T34" s="328">
        <v>87159</v>
      </c>
      <c r="U34" s="328">
        <v>109121</v>
      </c>
      <c r="V34" s="328">
        <v>127599</v>
      </c>
      <c r="W34" s="328">
        <v>98973</v>
      </c>
      <c r="X34" s="328">
        <v>96052</v>
      </c>
      <c r="Y34" s="315">
        <f>+T34/T35</f>
        <v>0.3421475145343702</v>
      </c>
      <c r="Z34" s="315">
        <f>+U34/U35</f>
        <v>0.36417732122534935</v>
      </c>
      <c r="AA34" s="315">
        <f>+V34/V35</f>
        <v>0.37254529847652301</v>
      </c>
      <c r="AB34" s="315">
        <f>+W34/W35</f>
        <v>0.34453433403187289</v>
      </c>
      <c r="AC34" s="315">
        <f>+X34/X35</f>
        <v>0.35284825820387261</v>
      </c>
      <c r="AD34" s="329"/>
    </row>
    <row r="35" spans="19:37" ht="14.25" customHeight="1">
      <c r="S35" s="330" t="s">
        <v>1019</v>
      </c>
      <c r="T35" s="328">
        <v>254741</v>
      </c>
      <c r="U35" s="328">
        <v>299637</v>
      </c>
      <c r="V35" s="328">
        <v>342506</v>
      </c>
      <c r="W35" s="328">
        <v>287266</v>
      </c>
      <c r="X35" s="328">
        <f>+X33+X34</f>
        <v>272219</v>
      </c>
      <c r="Y35" s="328"/>
      <c r="Z35" s="328"/>
      <c r="AA35" s="328"/>
      <c r="AB35" s="328"/>
      <c r="AC35" s="328"/>
      <c r="AD35" s="328"/>
    </row>
    <row r="37" spans="19:37" ht="15" thickBot="1">
      <c r="AF37" s="309">
        <v>2009</v>
      </c>
      <c r="AG37" s="309">
        <v>2010</v>
      </c>
      <c r="AH37" s="309">
        <v>2011</v>
      </c>
      <c r="AI37" s="309">
        <v>2012</v>
      </c>
      <c r="AJ37" s="331">
        <v>2013</v>
      </c>
      <c r="AK37" s="326"/>
    </row>
    <row r="38" spans="19:37" ht="29.25">
      <c r="AE38" s="330" t="s">
        <v>1020</v>
      </c>
      <c r="AF38" s="332">
        <v>-10628</v>
      </c>
      <c r="AG38" s="332">
        <v>-7110</v>
      </c>
      <c r="AH38" s="332">
        <v>-8753</v>
      </c>
      <c r="AI38" s="332">
        <v>-8280</v>
      </c>
      <c r="AJ38" s="333">
        <v>-5336</v>
      </c>
      <c r="AK38" s="334"/>
    </row>
    <row r="39" spans="19:37" ht="16.5">
      <c r="AE39" s="309" t="s">
        <v>1021</v>
      </c>
      <c r="AF39" s="335">
        <v>2556</v>
      </c>
      <c r="AG39" s="335">
        <v>5323</v>
      </c>
      <c r="AH39" s="335">
        <v>2632</v>
      </c>
      <c r="AI39" s="335">
        <v>2529</v>
      </c>
      <c r="AJ39" s="335">
        <v>4821</v>
      </c>
    </row>
  </sheetData>
  <phoneticPr fontId="65" type="noConversion"/>
  <pageMargins left="0.75" right="0.75" top="1" bottom="1" header="0" footer="0"/>
  <pageSetup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dimension ref="A1:O86"/>
  <sheetViews>
    <sheetView showGridLines="0" zoomScale="70" zoomScaleNormal="70" workbookViewId="0">
      <selection activeCell="B9" sqref="B9"/>
    </sheetView>
  </sheetViews>
  <sheetFormatPr baseColWidth="10" defaultRowHeight="15" outlineLevelRow="1" outlineLevelCol="1"/>
  <cols>
    <col min="1" max="1" width="24.33203125" customWidth="1"/>
    <col min="2" max="3" width="11.5546875" outlineLevel="1"/>
    <col min="4" max="4" width="14" customWidth="1"/>
    <col min="5" max="5" width="12.33203125" bestFit="1" customWidth="1"/>
  </cols>
  <sheetData>
    <row r="1" spans="1:15" ht="15.75">
      <c r="A1" s="51" t="str">
        <f>+Proyecciones!A1</f>
        <v>ENKA de Colombia S.A.</v>
      </c>
    </row>
    <row r="2" spans="1:15" ht="15.75">
      <c r="A2" s="51" t="s">
        <v>1147</v>
      </c>
    </row>
    <row r="4" spans="1:15" ht="16.5" thickBot="1">
      <c r="A4" s="419" t="s">
        <v>1022</v>
      </c>
      <c r="B4" s="68" t="s">
        <v>1023</v>
      </c>
      <c r="C4" s="68" t="s">
        <v>1024</v>
      </c>
      <c r="D4" s="68"/>
      <c r="E4" s="68">
        <f>+[2]Resultados!H4</f>
        <v>2014</v>
      </c>
      <c r="F4" s="68">
        <f>+[2]Resultados!I4</f>
        <v>2015</v>
      </c>
      <c r="G4" s="68">
        <f>+[2]Resultados!J4</f>
        <v>2016</v>
      </c>
      <c r="H4" s="68">
        <f>+[2]Resultados!K4</f>
        <v>2017</v>
      </c>
      <c r="I4" s="68">
        <f>+[2]Resultados!L4</f>
        <v>2018</v>
      </c>
      <c r="J4" s="68">
        <f>+[2]Resultados!M4</f>
        <v>2019</v>
      </c>
      <c r="K4" s="68">
        <f>+[2]Resultados!N4</f>
        <v>2020</v>
      </c>
      <c r="L4" s="68">
        <f>+[2]Resultados!O4</f>
        <v>2021</v>
      </c>
      <c r="M4" s="68">
        <f>+[2]Resultados!P4</f>
        <v>2022</v>
      </c>
      <c r="N4" s="68">
        <f>+[2]Resultados!Q4</f>
        <v>2023</v>
      </c>
      <c r="O4" s="68">
        <f>+[2]Resultados!R4</f>
        <v>2024</v>
      </c>
    </row>
    <row r="5" spans="1:15">
      <c r="A5" s="122" t="str">
        <f>+'Historico Ingresos'!A6</f>
        <v>Hilos Industriales</v>
      </c>
      <c r="B5" s="299">
        <v>0.78</v>
      </c>
      <c r="C5" s="299">
        <v>0.22</v>
      </c>
      <c r="D5" s="299"/>
      <c r="E5" s="337">
        <f>+(1+E6)*(1+E7)-1</f>
        <v>6.5172769771519867E-2</v>
      </c>
      <c r="F5" s="337">
        <f t="shared" ref="F5:O5" si="0">+(1+F6)*(1+F7)-1</f>
        <v>8.9553427819156983E-2</v>
      </c>
      <c r="G5" s="337">
        <f t="shared" si="0"/>
        <v>8.3234161243016969E-2</v>
      </c>
      <c r="H5" s="337">
        <f t="shared" si="0"/>
        <v>7.5934011084761055E-2</v>
      </c>
      <c r="I5" s="337">
        <f t="shared" si="0"/>
        <v>6.2197145034796231E-2</v>
      </c>
      <c r="J5" s="337">
        <f t="shared" si="0"/>
        <v>6.5048741242705432E-2</v>
      </c>
      <c r="K5" s="337">
        <f t="shared" si="0"/>
        <v>6.5048741242705432E-2</v>
      </c>
      <c r="L5" s="337">
        <f t="shared" si="0"/>
        <v>6.5048741242705432E-2</v>
      </c>
      <c r="M5" s="337">
        <f t="shared" si="0"/>
        <v>6.5048741242705432E-2</v>
      </c>
      <c r="N5" s="337">
        <f t="shared" si="0"/>
        <v>6.5048741242705432E-2</v>
      </c>
      <c r="O5" s="337">
        <f t="shared" si="0"/>
        <v>6.5048741242705432E-2</v>
      </c>
    </row>
    <row r="6" spans="1:15" hidden="1" outlineLevel="1">
      <c r="A6" s="338" t="s">
        <v>1025</v>
      </c>
      <c r="B6" s="339"/>
      <c r="C6" s="339"/>
      <c r="D6" s="339"/>
      <c r="E6" s="340">
        <f>((1+'Sup Macroec'!B5)*(1+'Sup Macroec'!B9)-1)*$B$5</f>
        <v>5.3913600000000055E-2</v>
      </c>
      <c r="F6" s="340">
        <f>((1+'Sup Macroec'!C5)*(1+'Sup Macroec'!C9)-1)*$B$5</f>
        <v>7.6530721799999993E-2</v>
      </c>
      <c r="G6" s="340">
        <f>((1+'Sup Macroec'!D5)*(1+'Sup Macroec'!D9)-1)*$B$5</f>
        <v>6.5900600999999989E-2</v>
      </c>
      <c r="H6" s="340">
        <f>((1+'Sup Macroec'!E5)*(1+'Sup Macroec'!E9)-1)*$B$5</f>
        <v>5.9429760000000033E-2</v>
      </c>
      <c r="I6" s="340">
        <f>((1+'Sup Macroec'!F5)*(1+'Sup Macroec'!F9)-1)*$B$5</f>
        <v>4.6606934400000175E-2</v>
      </c>
      <c r="J6" s="340">
        <f>((1+'Sup Macroec'!G5)*(1+'Sup Macroec'!G9)-1)*$B$5</f>
        <v>5.0074806600000181E-2</v>
      </c>
      <c r="K6" s="340">
        <f>((1+'Sup Macroec'!H5)*(1+'Sup Macroec'!H9)-1)*$B$5</f>
        <v>5.0074806600000181E-2</v>
      </c>
      <c r="L6" s="340">
        <f>((1+'Sup Macroec'!I5)*(1+'Sup Macroec'!I9)-1)*$B$5</f>
        <v>5.0074806600000181E-2</v>
      </c>
      <c r="M6" s="340">
        <f>((1+'Sup Macroec'!J5)*(1+'Sup Macroec'!J9)-1)*$B$5</f>
        <v>5.0074806600000181E-2</v>
      </c>
      <c r="N6" s="340">
        <f>((1+'Sup Macroec'!K5)*(1+'Sup Macroec'!K9)-1)*$B$5</f>
        <v>5.0074806600000181E-2</v>
      </c>
      <c r="O6" s="340">
        <f>((1+'Sup Macroec'!L5)*(1+'Sup Macroec'!L9)-1)*$B$5</f>
        <v>5.0074806600000181E-2</v>
      </c>
    </row>
    <row r="7" spans="1:15" hidden="1" outlineLevel="1">
      <c r="A7" s="338" t="s">
        <v>1026</v>
      </c>
      <c r="B7" s="339"/>
      <c r="C7" s="339"/>
      <c r="D7" s="339"/>
      <c r="E7" s="340">
        <f>+((1+'Sup Macroec'!B5)*(1+'Sup Macroec'!B13)-1)*$C$5</f>
        <v>1.0683199999999986E-2</v>
      </c>
      <c r="F7" s="340">
        <f>+((1+'Sup Macroec'!C5)*(1+'Sup Macroec'!C13)-1)*$C$5</f>
        <v>1.2096919999999995E-2</v>
      </c>
      <c r="G7" s="340">
        <f>+((1+'Sup Macroec'!D5)*(1+'Sup Macroec'!D13)-1)*$C$5</f>
        <v>1.6261891800000008E-2</v>
      </c>
      <c r="H7" s="340">
        <f>+((1+'Sup Macroec'!E5)*(1+'Sup Macroec'!E13)-1)*$C$5</f>
        <v>1.5578428799999986E-2</v>
      </c>
      <c r="I7" s="340">
        <f>+((1+'Sup Macroec'!F5)*(1+'Sup Macroec'!F13)-1)*$C$5</f>
        <v>1.4895955800000053E-2</v>
      </c>
      <c r="J7" s="340">
        <f>+((1+'Sup Macroec'!G5)*(1+'Sup Macroec'!G13)-1)*$C$5</f>
        <v>1.4259874200000043E-2</v>
      </c>
      <c r="K7" s="340">
        <f>+((1+'Sup Macroec'!H5)*(1+'Sup Macroec'!H13)-1)*$C$5</f>
        <v>1.4259874200000043E-2</v>
      </c>
      <c r="L7" s="340">
        <f>+((1+'Sup Macroec'!I5)*(1+'Sup Macroec'!I13)-1)*$C$5</f>
        <v>1.4259874200000043E-2</v>
      </c>
      <c r="M7" s="340">
        <f>+((1+'Sup Macroec'!J5)*(1+'Sup Macroec'!J13)-1)*$C$5</f>
        <v>1.4259874200000043E-2</v>
      </c>
      <c r="N7" s="340">
        <f>+((1+'Sup Macroec'!K5)*(1+'Sup Macroec'!K13)-1)*$C$5</f>
        <v>1.4259874200000043E-2</v>
      </c>
      <c r="O7" s="340">
        <f>+((1+'Sup Macroec'!L5)*(1+'Sup Macroec'!L13)-1)*$C$5</f>
        <v>1.4259874200000043E-2</v>
      </c>
    </row>
    <row r="8" spans="1:15" collapsed="1">
      <c r="A8" s="122" t="str">
        <f>+'Historico Ingresos'!A7</f>
        <v>Filamentos</v>
      </c>
      <c r="B8" s="299"/>
      <c r="C8" s="299">
        <v>1</v>
      </c>
      <c r="D8" s="299"/>
      <c r="E8" s="303">
        <f>+'Sup Macroec'!B5*'Anex Proyecc'!$C$8</f>
        <v>2.8000000000000001E-2</v>
      </c>
      <c r="F8" s="303">
        <f>+'Sup Macroec'!C5*'Anex Proyecc'!$C$8</f>
        <v>3.4299999999999997E-2</v>
      </c>
      <c r="G8" s="303">
        <f>+'Sup Macroec'!D5*'Anex Proyecc'!$C$8</f>
        <v>3.6299999999999999E-2</v>
      </c>
      <c r="H8" s="303">
        <f>+'Sup Macroec'!E5*'Anex Proyecc'!$C$8</f>
        <v>3.4799999999999998E-2</v>
      </c>
      <c r="I8" s="303">
        <f>+'Sup Macroec'!F5*'Anex Proyecc'!$C$8</f>
        <v>3.3300000000000003E-2</v>
      </c>
      <c r="J8" s="303">
        <f>+'Sup Macroec'!G5*'Anex Proyecc'!$C$8</f>
        <v>3.1899999999999998E-2</v>
      </c>
      <c r="K8" s="303">
        <f>+'Sup Macroec'!H5*'Anex Proyecc'!$C$8</f>
        <v>3.1899999999999998E-2</v>
      </c>
      <c r="L8" s="303">
        <f>+'Sup Macroec'!I5*'Anex Proyecc'!$C$8</f>
        <v>3.1899999999999998E-2</v>
      </c>
      <c r="M8" s="303">
        <f>+'Sup Macroec'!J5*'Anex Proyecc'!$C$8</f>
        <v>3.1899999999999998E-2</v>
      </c>
      <c r="N8" s="303">
        <f>+'Sup Macroec'!K5*'Anex Proyecc'!$C$8</f>
        <v>3.1899999999999998E-2</v>
      </c>
      <c r="O8" s="303">
        <f>+'Sup Macroec'!L5*'Anex Proyecc'!$C$8</f>
        <v>3.1899999999999998E-2</v>
      </c>
    </row>
    <row r="9" spans="1:15">
      <c r="A9" s="122" t="str">
        <f>+'Historico Ingresos'!A8</f>
        <v>Resinas</v>
      </c>
      <c r="B9" s="299">
        <v>0.24</v>
      </c>
      <c r="C9" s="299">
        <v>0.76</v>
      </c>
      <c r="D9" s="299"/>
      <c r="E9" s="337">
        <f>+(1+E10)*(1+E11)-1</f>
        <v>5.4106619617279916E-2</v>
      </c>
      <c r="F9" s="337">
        <f t="shared" ref="F9:O9" si="1">+(1+F10)*(1+F11)-1</f>
        <v>6.6321326672110548E-2</v>
      </c>
      <c r="G9" s="337">
        <f t="shared" si="1"/>
        <v>7.7593668507262681E-2</v>
      </c>
      <c r="H9" s="337">
        <f t="shared" si="1"/>
        <v>7.3086561220165658E-2</v>
      </c>
      <c r="I9" s="337">
        <f t="shared" si="1"/>
        <v>6.6537300795028065E-2</v>
      </c>
      <c r="J9" s="337">
        <f t="shared" si="1"/>
        <v>6.5428017709729058E-2</v>
      </c>
      <c r="K9" s="337">
        <f t="shared" si="1"/>
        <v>6.5428017709729058E-2</v>
      </c>
      <c r="L9" s="337">
        <f t="shared" si="1"/>
        <v>6.5428017709729058E-2</v>
      </c>
      <c r="M9" s="337">
        <f t="shared" si="1"/>
        <v>6.5428017709729058E-2</v>
      </c>
      <c r="N9" s="337">
        <f t="shared" si="1"/>
        <v>6.5428017709729058E-2</v>
      </c>
      <c r="O9" s="337">
        <f t="shared" si="1"/>
        <v>6.5428017709729058E-2</v>
      </c>
    </row>
    <row r="10" spans="1:15" hidden="1" outlineLevel="1">
      <c r="A10" s="341" t="s">
        <v>1025</v>
      </c>
      <c r="B10" s="299"/>
      <c r="C10" s="299"/>
      <c r="D10" s="299"/>
      <c r="E10" s="340">
        <f>((1+'Sup Macroec'!B5)*(1+'Sup Macroec'!B9)-1)*$B$9</f>
        <v>1.6588800000000015E-2</v>
      </c>
      <c r="F10" s="340">
        <f>((1+'Sup Macroec'!C5)*(1+'Sup Macroec'!C9)-1)*$B$9</f>
        <v>2.3547914399999995E-2</v>
      </c>
      <c r="G10" s="340">
        <f>((1+'Sup Macroec'!D5)*(1+'Sup Macroec'!D9)-1)*$B$9</f>
        <v>2.0277107999999995E-2</v>
      </c>
      <c r="H10" s="340">
        <f>((1+'Sup Macroec'!E5)*(1+'Sup Macroec'!E9)-1)*$B$9</f>
        <v>1.8286080000000007E-2</v>
      </c>
      <c r="I10" s="340">
        <f>((1+'Sup Macroec'!F5)*(1+'Sup Macroec'!F9)-1)*$B$9</f>
        <v>1.4340595200000052E-2</v>
      </c>
      <c r="J10" s="340">
        <f>((1+'Sup Macroec'!G5)*(1+'Sup Macroec'!G9)-1)*$B$9</f>
        <v>1.5407632800000055E-2</v>
      </c>
      <c r="K10" s="340">
        <f>((1+'Sup Macroec'!H5)*(1+'Sup Macroec'!H9)-1)*$B$9</f>
        <v>1.5407632800000055E-2</v>
      </c>
      <c r="L10" s="340">
        <f>((1+'Sup Macroec'!I5)*(1+'Sup Macroec'!I9)-1)*$B$9</f>
        <v>1.5407632800000055E-2</v>
      </c>
      <c r="M10" s="340">
        <f>((1+'Sup Macroec'!J5)*(1+'Sup Macroec'!J9)-1)*$B$9</f>
        <v>1.5407632800000055E-2</v>
      </c>
      <c r="N10" s="340">
        <f>((1+'Sup Macroec'!K5)*(1+'Sup Macroec'!K9)-1)*$B$9</f>
        <v>1.5407632800000055E-2</v>
      </c>
      <c r="O10" s="340">
        <f>((1+'Sup Macroec'!L5)*(1+'Sup Macroec'!L9)-1)*$B$9</f>
        <v>1.5407632800000055E-2</v>
      </c>
    </row>
    <row r="11" spans="1:15" hidden="1" outlineLevel="1">
      <c r="A11" s="341" t="s">
        <v>1026</v>
      </c>
      <c r="B11" s="299"/>
      <c r="C11" s="299"/>
      <c r="D11" s="299"/>
      <c r="E11" s="340">
        <f>((1+'Sup Macroec'!B5)*(1+'Sup Macroec'!B13)-1)*$C$9</f>
        <v>3.6905599999999955E-2</v>
      </c>
      <c r="F11" s="340">
        <f>((1+'Sup Macroec'!C5)*(1+'Sup Macroec'!C13)-1)*$C$9</f>
        <v>4.1789359999999984E-2</v>
      </c>
      <c r="G11" s="340">
        <f>((1+'Sup Macroec'!D5)*(1+'Sup Macroec'!D13)-1)*$C$9</f>
        <v>5.6177444400000026E-2</v>
      </c>
      <c r="H11" s="340">
        <f>((1+'Sup Macroec'!E5)*(1+'Sup Macroec'!E13)-1)*$C$9</f>
        <v>5.3816390399999955E-2</v>
      </c>
      <c r="I11" s="340">
        <f>((1+'Sup Macroec'!F5)*(1+'Sup Macroec'!F13)-1)*$C$9</f>
        <v>5.1458756400000187E-2</v>
      </c>
      <c r="J11" s="340">
        <f>((1+'Sup Macroec'!G5)*(1+'Sup Macroec'!G13)-1)*$C$9</f>
        <v>4.9261383600000146E-2</v>
      </c>
      <c r="K11" s="340">
        <f>((1+'Sup Macroec'!H5)*(1+'Sup Macroec'!H13)-1)*$C$9</f>
        <v>4.9261383600000146E-2</v>
      </c>
      <c r="L11" s="340">
        <f>((1+'Sup Macroec'!I5)*(1+'Sup Macroec'!I13)-1)*$C$9</f>
        <v>4.9261383600000146E-2</v>
      </c>
      <c r="M11" s="340">
        <f>((1+'Sup Macroec'!J5)*(1+'Sup Macroec'!J13)-1)*$C$9</f>
        <v>4.9261383600000146E-2</v>
      </c>
      <c r="N11" s="340">
        <f>((1+'Sup Macroec'!K5)*(1+'Sup Macroec'!K13)-1)*$C$9</f>
        <v>4.9261383600000146E-2</v>
      </c>
      <c r="O11" s="340">
        <f>((1+'Sup Macroec'!L5)*(1+'Sup Macroec'!L13)-1)*$C$9</f>
        <v>4.9261383600000146E-2</v>
      </c>
    </row>
    <row r="12" spans="1:15" collapsed="1">
      <c r="A12" s="122" t="str">
        <f>+'Historico Ingresos'!A9</f>
        <v>Fibras</v>
      </c>
      <c r="B12" s="299">
        <v>0.41</v>
      </c>
      <c r="C12" s="299">
        <v>0.59</v>
      </c>
      <c r="D12" s="299"/>
      <c r="E12" s="337">
        <f>+(1+E13)*(1+E14)-1</f>
        <v>4.5327363584000135E-2</v>
      </c>
      <c r="F12" s="337">
        <f t="shared" ref="F12:O12" si="2">+(1+F13)*(1+F14)-1</f>
        <v>6.1278774803842806E-2</v>
      </c>
      <c r="G12" s="337">
        <f t="shared" si="2"/>
        <v>5.679894565431165E-2</v>
      </c>
      <c r="H12" s="337">
        <f t="shared" si="2"/>
        <v>5.2412113399039839E-2</v>
      </c>
      <c r="I12" s="337">
        <f t="shared" si="2"/>
        <v>4.4626839159569665E-2</v>
      </c>
      <c r="J12" s="337">
        <f t="shared" si="2"/>
        <v>4.563776725558677E-2</v>
      </c>
      <c r="K12" s="337">
        <f t="shared" si="2"/>
        <v>4.563776725558677E-2</v>
      </c>
      <c r="L12" s="337">
        <f t="shared" si="2"/>
        <v>4.563776725558677E-2</v>
      </c>
      <c r="M12" s="337">
        <f t="shared" si="2"/>
        <v>4.563776725558677E-2</v>
      </c>
      <c r="N12" s="337">
        <f t="shared" si="2"/>
        <v>4.563776725558677E-2</v>
      </c>
      <c r="O12" s="337">
        <f t="shared" si="2"/>
        <v>4.563776725558677E-2</v>
      </c>
    </row>
    <row r="13" spans="1:15" hidden="1" outlineLevel="1">
      <c r="A13" s="341" t="s">
        <v>1025</v>
      </c>
      <c r="B13" s="299"/>
      <c r="C13" s="299"/>
      <c r="D13" s="299"/>
      <c r="E13" s="340">
        <f>((1+'Sup Macroec'!B5)*(1+'Sup Macroec'!B9)-1)*$B$12</f>
        <v>2.8339200000000026E-2</v>
      </c>
      <c r="F13" s="340">
        <f>((1+'Sup Macroec'!C5)*(1+'Sup Macroec'!C9)-1)*$B$12</f>
        <v>4.0227687099999992E-2</v>
      </c>
      <c r="G13" s="340">
        <f>((1+'Sup Macroec'!D5)*(1+'Sup Macroec'!D9)-1)*$B$12</f>
        <v>3.4640059499999987E-2</v>
      </c>
      <c r="H13" s="340">
        <f>((1+'Sup Macroec'!E5)*(1+'Sup Macroec'!E9)-1)*$B$12</f>
        <v>3.1238720000000015E-2</v>
      </c>
      <c r="I13" s="340">
        <f>((1+'Sup Macroec'!F5)*(1+'Sup Macroec'!F9)-1)*$B$12</f>
        <v>2.4498516800000088E-2</v>
      </c>
      <c r="J13" s="340">
        <f>((1+'Sup Macroec'!G5)*(1+'Sup Macroec'!G9)-1)*$B$12</f>
        <v>2.6321372700000092E-2</v>
      </c>
      <c r="K13" s="340">
        <f>((1+'Sup Macroec'!H5)*(1+'Sup Macroec'!H9)-1)*$B$12</f>
        <v>2.6321372700000092E-2</v>
      </c>
      <c r="L13" s="340">
        <f>((1+'Sup Macroec'!I5)*(1+'Sup Macroec'!I9)-1)*$B$12</f>
        <v>2.6321372700000092E-2</v>
      </c>
      <c r="M13" s="340">
        <f>((1+'Sup Macroec'!J5)*(1+'Sup Macroec'!J9)-1)*$B$12</f>
        <v>2.6321372700000092E-2</v>
      </c>
      <c r="N13" s="340">
        <f>((1+'Sup Macroec'!K5)*(1+'Sup Macroec'!K9)-1)*$B$12</f>
        <v>2.6321372700000092E-2</v>
      </c>
      <c r="O13" s="340">
        <f>((1+'Sup Macroec'!L5)*(1+'Sup Macroec'!L9)-1)*$B$12</f>
        <v>2.6321372700000092E-2</v>
      </c>
    </row>
    <row r="14" spans="1:15" hidden="1" outlineLevel="1">
      <c r="A14" s="341" t="s">
        <v>1026</v>
      </c>
      <c r="B14" s="299"/>
      <c r="C14" s="299"/>
      <c r="D14" s="299"/>
      <c r="E14" s="340">
        <f>'Sup Macroec'!B5*$C$12</f>
        <v>1.652E-2</v>
      </c>
      <c r="F14" s="340">
        <f>'Sup Macroec'!C5*$C$12</f>
        <v>2.0236999999999998E-2</v>
      </c>
      <c r="G14" s="340">
        <f>'Sup Macroec'!D5*$C$12</f>
        <v>2.1416999999999999E-2</v>
      </c>
      <c r="H14" s="340">
        <f>'Sup Macroec'!E5*$C$12</f>
        <v>2.0531999999999998E-2</v>
      </c>
      <c r="I14" s="340">
        <f>'Sup Macroec'!F5*$C$12</f>
        <v>1.9647000000000001E-2</v>
      </c>
      <c r="J14" s="340">
        <f>'Sup Macroec'!G5*$C$12</f>
        <v>1.8820999999999997E-2</v>
      </c>
      <c r="K14" s="340">
        <f>'Sup Macroec'!H5*$C$12</f>
        <v>1.8820999999999997E-2</v>
      </c>
      <c r="L14" s="340">
        <f>'Sup Macroec'!I5*$C$12</f>
        <v>1.8820999999999997E-2</v>
      </c>
      <c r="M14" s="340">
        <f>'Sup Macroec'!J5*$C$12</f>
        <v>1.8820999999999997E-2</v>
      </c>
      <c r="N14" s="340">
        <f>'Sup Macroec'!K5*$C$12</f>
        <v>1.8820999999999997E-2</v>
      </c>
      <c r="O14" s="340">
        <f>'Sup Macroec'!L5*$C$12</f>
        <v>1.8820999999999997E-2</v>
      </c>
    </row>
    <row r="15" spans="1:15" collapsed="1">
      <c r="A15" t="str">
        <f>+'Historico Ingresos'!A10</f>
        <v xml:space="preserve">Comercialización </v>
      </c>
      <c r="B15" s="299"/>
      <c r="C15" s="299">
        <v>1</v>
      </c>
      <c r="D15" s="299"/>
      <c r="E15" s="303">
        <f>+'Sup Macroec'!B5</f>
        <v>2.8000000000000001E-2</v>
      </c>
      <c r="F15" s="303">
        <f>+'Sup Macroec'!C5</f>
        <v>3.4299999999999997E-2</v>
      </c>
      <c r="G15" s="303">
        <f>+'Sup Macroec'!D5</f>
        <v>3.6299999999999999E-2</v>
      </c>
      <c r="H15" s="303">
        <f>+'Sup Macroec'!E5</f>
        <v>3.4799999999999998E-2</v>
      </c>
      <c r="I15" s="303">
        <f>+'Sup Macroec'!F5</f>
        <v>3.3300000000000003E-2</v>
      </c>
      <c r="J15" s="303">
        <f>+'Sup Macroec'!G5</f>
        <v>3.1899999999999998E-2</v>
      </c>
      <c r="K15" s="303">
        <f>+'Sup Macroec'!H5</f>
        <v>3.1899999999999998E-2</v>
      </c>
      <c r="L15" s="303">
        <f>+'Sup Macroec'!I5</f>
        <v>3.1899999999999998E-2</v>
      </c>
      <c r="M15" s="303">
        <f>+'Sup Macroec'!J5</f>
        <v>3.1899999999999998E-2</v>
      </c>
      <c r="N15" s="303">
        <f>+'Sup Macroec'!K5</f>
        <v>3.1899999999999998E-2</v>
      </c>
      <c r="O15" s="303">
        <f>+'Sup Macroec'!L5</f>
        <v>3.1899999999999998E-2</v>
      </c>
    </row>
    <row r="16" spans="1:15">
      <c r="A16" t="str">
        <f>+'Historico Ingresos'!A11</f>
        <v>Otros</v>
      </c>
      <c r="B16" s="299"/>
      <c r="C16" s="299">
        <v>1</v>
      </c>
      <c r="D16" s="299"/>
      <c r="E16" s="303">
        <f>+'Sup Macroec'!B5</f>
        <v>2.8000000000000001E-2</v>
      </c>
      <c r="F16" s="303">
        <f>+'Sup Macroec'!C5</f>
        <v>3.4299999999999997E-2</v>
      </c>
      <c r="G16" s="303">
        <f>+'Sup Macroec'!D5</f>
        <v>3.6299999999999999E-2</v>
      </c>
      <c r="H16" s="303">
        <f>+'Sup Macroec'!E5</f>
        <v>3.4799999999999998E-2</v>
      </c>
      <c r="I16" s="303">
        <f>+'Sup Macroec'!F5</f>
        <v>3.3300000000000003E-2</v>
      </c>
      <c r="J16" s="303">
        <f>+'Sup Macroec'!G5</f>
        <v>3.1899999999999998E-2</v>
      </c>
      <c r="K16" s="303">
        <f>+'Sup Macroec'!H5</f>
        <v>3.1899999999999998E-2</v>
      </c>
      <c r="L16" s="303">
        <f>+'Sup Macroec'!I5</f>
        <v>3.1899999999999998E-2</v>
      </c>
      <c r="M16" s="303">
        <f>+'Sup Macroec'!J5</f>
        <v>3.1899999999999998E-2</v>
      </c>
      <c r="N16" s="303">
        <f>+'Sup Macroec'!K5</f>
        <v>3.1899999999999998E-2</v>
      </c>
      <c r="O16" s="303">
        <f>+'Sup Macroec'!L5</f>
        <v>3.1899999999999998E-2</v>
      </c>
    </row>
    <row r="18" spans="1:15" ht="16.5" thickBot="1">
      <c r="A18" s="419" t="s">
        <v>1027</v>
      </c>
      <c r="B18" s="68"/>
      <c r="C18" s="417"/>
      <c r="D18" s="68">
        <v>2013</v>
      </c>
      <c r="E18" s="68">
        <f t="shared" ref="E18:O18" si="3">+E4</f>
        <v>2014</v>
      </c>
      <c r="F18" s="68">
        <f t="shared" si="3"/>
        <v>2015</v>
      </c>
      <c r="G18" s="68">
        <f t="shared" si="3"/>
        <v>2016</v>
      </c>
      <c r="H18" s="68">
        <f t="shared" si="3"/>
        <v>2017</v>
      </c>
      <c r="I18" s="68">
        <f t="shared" si="3"/>
        <v>2018</v>
      </c>
      <c r="J18" s="68">
        <f t="shared" si="3"/>
        <v>2019</v>
      </c>
      <c r="K18" s="68">
        <f t="shared" si="3"/>
        <v>2020</v>
      </c>
      <c r="L18" s="68">
        <f t="shared" si="3"/>
        <v>2021</v>
      </c>
      <c r="M18" s="68">
        <f t="shared" si="3"/>
        <v>2022</v>
      </c>
      <c r="N18" s="68">
        <f t="shared" si="3"/>
        <v>2023</v>
      </c>
      <c r="O18" s="68">
        <f t="shared" si="3"/>
        <v>2024</v>
      </c>
    </row>
    <row r="19" spans="1:15">
      <c r="A19" t="str">
        <f>+A5</f>
        <v>Hilos Industriales</v>
      </c>
      <c r="B19" s="342"/>
      <c r="D19" s="342">
        <f>VLOOKUP(A19,'Historico Ingresos'!$A$5:$F$11,6,0)</f>
        <v>86015</v>
      </c>
      <c r="E19" s="342">
        <f t="shared" ref="E19:O19" si="4">+D19*(1+E5)</f>
        <v>91620.835791897276</v>
      </c>
      <c r="F19" s="342">
        <f t="shared" si="4"/>
        <v>99825.795696717789</v>
      </c>
      <c r="G19" s="342">
        <f t="shared" si="4"/>
        <v>108134.71207195087</v>
      </c>
      <c r="H19" s="342">
        <f t="shared" si="4"/>
        <v>116345.81449706983</v>
      </c>
      <c r="I19" s="342">
        <f t="shared" si="4"/>
        <v>123582.19199553558</v>
      </c>
      <c r="J19" s="342">
        <f t="shared" si="4"/>
        <v>131621.05802485952</v>
      </c>
      <c r="K19" s="342">
        <f t="shared" si="4"/>
        <v>140182.84217040971</v>
      </c>
      <c r="L19" s="342">
        <f t="shared" si="4"/>
        <v>149301.55959741972</v>
      </c>
      <c r="M19" s="342">
        <f t="shared" si="4"/>
        <v>159013.43811480465</v>
      </c>
      <c r="N19" s="342">
        <f t="shared" si="4"/>
        <v>169357.06210484754</v>
      </c>
      <c r="O19" s="342">
        <f t="shared" si="4"/>
        <v>180373.52581533056</v>
      </c>
    </row>
    <row r="20" spans="1:15">
      <c r="A20" t="str">
        <f>+A8</f>
        <v>Filamentos</v>
      </c>
      <c r="B20" s="342"/>
      <c r="D20" s="342">
        <f>VLOOKUP(A20,'Historico Ingresos'!$A$5:$F$11,6,0)</f>
        <v>93387</v>
      </c>
      <c r="E20" s="342">
        <f t="shared" ref="E20:O21" si="5">+D20*(1+E8)</f>
        <v>96001.835999999996</v>
      </c>
      <c r="F20" s="342">
        <f t="shared" si="5"/>
        <v>99294.698974799991</v>
      </c>
      <c r="G20" s="342">
        <f t="shared" si="5"/>
        <v>102899.09654758523</v>
      </c>
      <c r="H20" s="342">
        <f t="shared" si="5"/>
        <v>106479.98510744119</v>
      </c>
      <c r="I20" s="342">
        <f t="shared" si="5"/>
        <v>110025.76861151899</v>
      </c>
      <c r="J20" s="342">
        <f t="shared" si="5"/>
        <v>113535.59063022645</v>
      </c>
      <c r="K20" s="342">
        <f t="shared" si="5"/>
        <v>117157.37597133068</v>
      </c>
      <c r="L20" s="342">
        <f t="shared" si="5"/>
        <v>120894.69626481613</v>
      </c>
      <c r="M20" s="342">
        <f t="shared" si="5"/>
        <v>124751.23707566377</v>
      </c>
      <c r="N20" s="342">
        <f t="shared" si="5"/>
        <v>128730.80153837745</v>
      </c>
      <c r="O20" s="342">
        <f t="shared" si="5"/>
        <v>132837.3141074517</v>
      </c>
    </row>
    <row r="21" spans="1:15">
      <c r="A21" t="str">
        <f>+A9</f>
        <v>Resinas</v>
      </c>
      <c r="B21" s="342"/>
      <c r="D21" s="342">
        <f>VLOOKUP(A21,'Historico Ingresos'!$A$5:$F$11,6,0)</f>
        <v>41711</v>
      </c>
      <c r="E21" s="342">
        <f t="shared" si="5"/>
        <v>43967.841210856364</v>
      </c>
      <c r="F21" s="342">
        <f t="shared" si="5"/>
        <v>46883.846770869051</v>
      </c>
      <c r="G21" s="342">
        <f t="shared" si="5"/>
        <v>50521.736435553161</v>
      </c>
      <c r="H21" s="342">
        <f t="shared" si="5"/>
        <v>54214.19641849929</v>
      </c>
      <c r="I21" s="342">
        <f t="shared" si="5"/>
        <v>57821.462712957713</v>
      </c>
      <c r="J21" s="342">
        <f t="shared" si="5"/>
        <v>61604.606399343545</v>
      </c>
      <c r="K21" s="342">
        <f t="shared" si="5"/>
        <v>65635.273677840683</v>
      </c>
      <c r="L21" s="342">
        <f t="shared" si="5"/>
        <v>69929.659526417352</v>
      </c>
      <c r="M21" s="342">
        <f t="shared" si="5"/>
        <v>74505.018528347107</v>
      </c>
      <c r="N21" s="342">
        <f t="shared" si="5"/>
        <v>79379.734200083491</v>
      </c>
      <c r="O21" s="342">
        <f t="shared" si="5"/>
        <v>84573.392855120139</v>
      </c>
    </row>
    <row r="22" spans="1:15">
      <c r="A22" t="str">
        <f>+A12</f>
        <v>Fibras</v>
      </c>
      <c r="B22" s="342"/>
      <c r="D22" s="342">
        <f>VLOOKUP(A22,'Historico Ingresos'!$A$5:$F$11,6,0)</f>
        <v>33722</v>
      </c>
      <c r="E22" s="342">
        <f t="shared" ref="E22:O22" si="6">+D22*(1+E12)</f>
        <v>35250.529354779654</v>
      </c>
      <c r="F22" s="342">
        <f t="shared" si="6"/>
        <v>37410.638604827443</v>
      </c>
      <c r="G22" s="342">
        <f t="shared" si="6"/>
        <v>39535.523433836133</v>
      </c>
      <c r="H22" s="342">
        <f t="shared" si="6"/>
        <v>41607.663771340747</v>
      </c>
      <c r="I22" s="342">
        <f t="shared" si="6"/>
        <v>43464.482290269822</v>
      </c>
      <c r="J22" s="342">
        <f t="shared" si="6"/>
        <v>45448.104216917731</v>
      </c>
      <c r="K22" s="342">
        <f t="shared" si="6"/>
        <v>47522.254219377071</v>
      </c>
      <c r="L22" s="342">
        <f t="shared" si="6"/>
        <v>49691.063796901828</v>
      </c>
      <c r="M22" s="342">
        <f t="shared" si="6"/>
        <v>51958.853001147349</v>
      </c>
      <c r="N22" s="342">
        <f t="shared" si="6"/>
        <v>54330.139041280956</v>
      </c>
      <c r="O22" s="342">
        <f t="shared" si="6"/>
        <v>56809.645281810605</v>
      </c>
    </row>
    <row r="23" spans="1:15">
      <c r="A23" t="str">
        <f>+A15</f>
        <v xml:space="preserve">Comercialización </v>
      </c>
      <c r="B23" s="342"/>
      <c r="D23" s="342">
        <f>VLOOKUP(A23,'Historico Ingresos'!$A$5:$F$11,6,0)</f>
        <v>17192</v>
      </c>
      <c r="E23" s="342">
        <f t="shared" ref="E23:O24" si="7">+D23*(1+E15)</f>
        <v>17673.376</v>
      </c>
      <c r="F23" s="342">
        <f t="shared" si="7"/>
        <v>18279.572796799999</v>
      </c>
      <c r="G23" s="342">
        <f t="shared" si="7"/>
        <v>18943.121289323841</v>
      </c>
      <c r="H23" s="342">
        <f t="shared" si="7"/>
        <v>19602.34191019231</v>
      </c>
      <c r="I23" s="342">
        <f t="shared" si="7"/>
        <v>20255.099895801715</v>
      </c>
      <c r="J23" s="342">
        <f t="shared" si="7"/>
        <v>20901.237582477792</v>
      </c>
      <c r="K23" s="342">
        <f t="shared" si="7"/>
        <v>21567.987061358835</v>
      </c>
      <c r="L23" s="342">
        <f t="shared" si="7"/>
        <v>22256.005848616183</v>
      </c>
      <c r="M23" s="342">
        <f t="shared" si="7"/>
        <v>22965.972435187039</v>
      </c>
      <c r="N23" s="342">
        <f t="shared" si="7"/>
        <v>23698.586955869505</v>
      </c>
      <c r="O23" s="342">
        <f t="shared" si="7"/>
        <v>24454.571879761745</v>
      </c>
    </row>
    <row r="24" spans="1:15">
      <c r="A24" t="str">
        <f>+A16</f>
        <v>Otros</v>
      </c>
      <c r="B24" s="342"/>
      <c r="D24" s="342">
        <f>VLOOKUP(A24,'Historico Ingresos'!$A$5:$F$11,6,0)</f>
        <v>192</v>
      </c>
      <c r="E24" s="342">
        <f t="shared" si="7"/>
        <v>197.376</v>
      </c>
      <c r="F24" s="342">
        <f t="shared" si="7"/>
        <v>204.14599680000001</v>
      </c>
      <c r="G24" s="342">
        <f t="shared" si="7"/>
        <v>211.55649648383999</v>
      </c>
      <c r="H24" s="342">
        <f t="shared" si="7"/>
        <v>218.91866256147762</v>
      </c>
      <c r="I24" s="342">
        <f t="shared" si="7"/>
        <v>226.20865402477486</v>
      </c>
      <c r="J24" s="342">
        <f t="shared" si="7"/>
        <v>233.4247100881652</v>
      </c>
      <c r="K24" s="342">
        <f t="shared" si="7"/>
        <v>240.87095833997768</v>
      </c>
      <c r="L24" s="342">
        <f t="shared" si="7"/>
        <v>248.55474191102297</v>
      </c>
      <c r="M24" s="342">
        <f t="shared" si="7"/>
        <v>256.48363817798463</v>
      </c>
      <c r="N24" s="342">
        <f t="shared" si="7"/>
        <v>264.66546623586237</v>
      </c>
      <c r="O24" s="342">
        <f t="shared" si="7"/>
        <v>273.10829460878637</v>
      </c>
    </row>
    <row r="25" spans="1:15" ht="15.75" thickBot="1">
      <c r="A25" s="53" t="s">
        <v>1124</v>
      </c>
      <c r="B25" s="342"/>
      <c r="D25" s="342"/>
      <c r="E25" s="342">
        <f>E29*(1.9*(1+0%))</f>
        <v>24700</v>
      </c>
      <c r="F25" s="342">
        <f>F29*(1.9*(1+'Sup Macroec'!C9))</f>
        <v>27665.94231414</v>
      </c>
      <c r="G25" s="342">
        <f>G29*(1.9*(1+'Sup Macroec'!D9))</f>
        <v>29285.583307659737</v>
      </c>
      <c r="H25" s="342">
        <f>H29*(1.9*(1+'Sup Macroec'!E9))</f>
        <v>31164.547496826599</v>
      </c>
      <c r="I25" s="342">
        <f>I29*(1.9*(1+'Sup Macroec'!F9))</f>
        <v>32813.938292517167</v>
      </c>
      <c r="J25" s="342">
        <f>J29*(1.9*(1+'Sup Macroec'!G9))</f>
        <v>35135.050940812122</v>
      </c>
      <c r="K25" s="342">
        <f>K29*(1.9*(1+'Sup Macroec'!H9))</f>
        <v>37412.420970023821</v>
      </c>
      <c r="L25" s="342">
        <f>L29*(1.9*(1+'Sup Macroec'!I9))</f>
        <v>39837.404681614651</v>
      </c>
      <c r="M25" s="342">
        <f>M29*(1.9*(1+'Sup Macroec'!J9))</f>
        <v>42419.570041679734</v>
      </c>
      <c r="N25" s="342">
        <f>N29*(1.9*(1+'Sup Macroec'!K9))</f>
        <v>45169.105189009024</v>
      </c>
      <c r="O25" s="342">
        <f>O29*(1.9*(1+'Sup Macroec'!L9))</f>
        <v>48096.85863319919</v>
      </c>
    </row>
    <row r="26" spans="1:15" ht="15.75">
      <c r="A26" s="420" t="s">
        <v>1004</v>
      </c>
      <c r="B26" s="416"/>
      <c r="C26" s="415"/>
      <c r="D26" s="416">
        <f>SUM(D19:D25)</f>
        <v>272219</v>
      </c>
      <c r="E26" s="416">
        <f t="shared" ref="E26:O26" si="8">SUM(E19:E25)</f>
        <v>309411.79435753328</v>
      </c>
      <c r="F26" s="416">
        <f t="shared" si="8"/>
        <v>329564.64115495421</v>
      </c>
      <c r="G26" s="416">
        <f t="shared" si="8"/>
        <v>349531.32958239282</v>
      </c>
      <c r="H26" s="416">
        <f t="shared" si="8"/>
        <v>369633.46786393144</v>
      </c>
      <c r="I26" s="416">
        <f t="shared" si="8"/>
        <v>388189.15245262574</v>
      </c>
      <c r="J26" s="416">
        <f t="shared" si="8"/>
        <v>408479.07250472531</v>
      </c>
      <c r="K26" s="416">
        <f t="shared" si="8"/>
        <v>429719.0250286808</v>
      </c>
      <c r="L26" s="416">
        <f t="shared" si="8"/>
        <v>452158.94445769687</v>
      </c>
      <c r="M26" s="416">
        <f t="shared" si="8"/>
        <v>475870.57283500762</v>
      </c>
      <c r="N26" s="416">
        <f t="shared" si="8"/>
        <v>500930.09449570382</v>
      </c>
      <c r="O26" s="416">
        <f t="shared" si="8"/>
        <v>527418.41686728271</v>
      </c>
    </row>
    <row r="27" spans="1:15" ht="16.5" thickBot="1">
      <c r="A27" s="419" t="s">
        <v>1028</v>
      </c>
      <c r="B27" s="417"/>
      <c r="C27" s="417"/>
      <c r="D27" s="417"/>
      <c r="E27" s="421">
        <f>+(E26/D26)-1</f>
        <v>0.1366282087493278</v>
      </c>
      <c r="F27" s="421">
        <f>+(F26/E26)-1</f>
        <v>6.5132768578736844E-2</v>
      </c>
      <c r="G27" s="421">
        <f t="shared" ref="G27:O27" si="9">+(G26/F26)-1</f>
        <v>6.0585044431543666E-2</v>
      </c>
      <c r="H27" s="421">
        <f t="shared" si="9"/>
        <v>5.7511692315409535E-2</v>
      </c>
      <c r="I27" s="421">
        <f t="shared" si="9"/>
        <v>5.0200228610048248E-2</v>
      </c>
      <c r="J27" s="421">
        <f t="shared" si="9"/>
        <v>5.2268127339224701E-2</v>
      </c>
      <c r="K27" s="421">
        <f t="shared" si="9"/>
        <v>5.199765166356185E-2</v>
      </c>
      <c r="L27" s="421">
        <f t="shared" si="9"/>
        <v>5.2219981248254888E-2</v>
      </c>
      <c r="M27" s="421">
        <f t="shared" si="9"/>
        <v>5.2440914125340576E-2</v>
      </c>
      <c r="N27" s="421">
        <f t="shared" si="9"/>
        <v>5.2660372570221492E-2</v>
      </c>
      <c r="O27" s="421">
        <f t="shared" si="9"/>
        <v>5.2878281146684136E-2</v>
      </c>
    </row>
    <row r="28" spans="1:15" ht="15.75" thickBot="1"/>
    <row r="29" spans="1:15" ht="16.5" thickBot="1">
      <c r="A29" s="413" t="s">
        <v>1125</v>
      </c>
      <c r="B29" s="422"/>
      <c r="C29" s="422"/>
      <c r="D29" s="422"/>
      <c r="E29" s="423">
        <v>13000</v>
      </c>
      <c r="F29" s="423">
        <f>+E29*((1+'Sup Macroec'!C13)*(1+'Sup Macroec'!C5))</f>
        <v>13714.817999999999</v>
      </c>
      <c r="G29" s="423">
        <f>+F29*((1+'Sup Macroec'!D13)*(1+'Sup Macroec'!D5))</f>
        <v>14728.58566533042</v>
      </c>
      <c r="H29" s="423">
        <f>+G29*((1+'Sup Macroec'!E13)*(1+'Sup Macroec'!E5))</f>
        <v>15771.532134021558</v>
      </c>
      <c r="I29" s="423">
        <f>+H29*((1+'Sup Macroec'!F13)*(1+'Sup Macroec'!F5))</f>
        <v>16839.405068415494</v>
      </c>
      <c r="J29" s="423">
        <f>+I29*((1+'Sup Macroec'!G13)*(1+'Sup Macroec'!G5))</f>
        <v>17930.895058772076</v>
      </c>
      <c r="K29" s="423">
        <f>+J29*((1+'Sup Macroec'!H13)*(1+'Sup Macroec'!H5))</f>
        <v>19093.132821642495</v>
      </c>
      <c r="L29" s="423">
        <f>+K29*((1+'Sup Macroec'!I13)*(1+'Sup Macroec'!I5))</f>
        <v>20330.704058553922</v>
      </c>
      <c r="M29" s="423">
        <f>+L29*((1+'Sup Macroec'!J13)*(1+'Sup Macroec'!J5))</f>
        <v>21648.491705246692</v>
      </c>
      <c r="N29" s="423">
        <f>+M29*((1+'Sup Macroec'!K13)*(1+'Sup Macroec'!K5))</f>
        <v>23051.695197685611</v>
      </c>
      <c r="O29" s="423">
        <f>+N29*((1+'Sup Macroec'!L13)*(1+'Sup Macroec'!L5))</f>
        <v>24545.850986848072</v>
      </c>
    </row>
    <row r="30" spans="1:15">
      <c r="N30" s="303"/>
    </row>
    <row r="31" spans="1:15" ht="16.5" thickBot="1">
      <c r="A31" s="419" t="s">
        <v>1029</v>
      </c>
      <c r="B31" s="417"/>
      <c r="C31" s="417"/>
      <c r="D31" s="68">
        <f t="shared" ref="D31:O31" si="10">+D18</f>
        <v>2013</v>
      </c>
      <c r="E31" s="68">
        <f t="shared" si="10"/>
        <v>2014</v>
      </c>
      <c r="F31" s="68">
        <f t="shared" si="10"/>
        <v>2015</v>
      </c>
      <c r="G31" s="68">
        <f t="shared" si="10"/>
        <v>2016</v>
      </c>
      <c r="H31" s="68">
        <f t="shared" si="10"/>
        <v>2017</v>
      </c>
      <c r="I31" s="68">
        <f t="shared" si="10"/>
        <v>2018</v>
      </c>
      <c r="J31" s="68">
        <f t="shared" si="10"/>
        <v>2019</v>
      </c>
      <c r="K31" s="68">
        <f t="shared" si="10"/>
        <v>2020</v>
      </c>
      <c r="L31" s="68">
        <f t="shared" si="10"/>
        <v>2021</v>
      </c>
      <c r="M31" s="68">
        <f t="shared" si="10"/>
        <v>2022</v>
      </c>
      <c r="N31" s="68">
        <f t="shared" si="10"/>
        <v>2023</v>
      </c>
      <c r="O31" s="68">
        <f t="shared" si="10"/>
        <v>2024</v>
      </c>
    </row>
    <row r="32" spans="1:15">
      <c r="A32" s="53" t="s">
        <v>1030</v>
      </c>
      <c r="D32" s="342">
        <f>+Resultados!G8</f>
        <v>-239499</v>
      </c>
      <c r="E32" s="342">
        <f>+E26*$D$33</f>
        <v>-272221.31936725526</v>
      </c>
      <c r="F32" s="342">
        <f t="shared" ref="F32:O32" si="11">+F26*$D$33</f>
        <v>-289951.8475638011</v>
      </c>
      <c r="G32" s="342">
        <f t="shared" si="11"/>
        <v>-307518.59313146217</v>
      </c>
      <c r="H32" s="342">
        <f t="shared" si="11"/>
        <v>-325204.50784090644</v>
      </c>
      <c r="I32" s="342">
        <f t="shared" si="11"/>
        <v>-341529.84847953822</v>
      </c>
      <c r="J32" s="342">
        <f t="shared" si="11"/>
        <v>-359380.97409001284</v>
      </c>
      <c r="K32" s="342">
        <f t="shared" si="11"/>
        <v>-378067.94079525687</v>
      </c>
      <c r="L32" s="342">
        <f t="shared" si="11"/>
        <v>-397810.64157415146</v>
      </c>
      <c r="M32" s="342">
        <f t="shared" si="11"/>
        <v>-418672.19526708825</v>
      </c>
      <c r="N32" s="342">
        <f t="shared" si="11"/>
        <v>-440719.6290546456</v>
      </c>
      <c r="O32" s="342">
        <f t="shared" si="11"/>
        <v>-464024.1255066595</v>
      </c>
    </row>
    <row r="33" spans="1:15">
      <c r="A33" s="344" t="s">
        <v>1031</v>
      </c>
      <c r="D33" s="299">
        <f>+D32/Resultados!G6</f>
        <v>-0.87980265888861542</v>
      </c>
      <c r="E33" s="540">
        <f>-D33*(1-E34)</f>
        <v>0.87540364559417239</v>
      </c>
      <c r="F33" s="540">
        <f t="shared" ref="F33:O33" si="12">+E33*(1-F34)</f>
        <v>0.87102662736620151</v>
      </c>
      <c r="G33" s="540">
        <f t="shared" si="12"/>
        <v>0.86667149422937051</v>
      </c>
      <c r="H33" s="540">
        <f t="shared" si="12"/>
        <v>0.86233813675822368</v>
      </c>
      <c r="I33" s="540">
        <f t="shared" si="12"/>
        <v>0.85802644607443257</v>
      </c>
      <c r="J33" s="540">
        <f t="shared" si="12"/>
        <v>0.85373631384406046</v>
      </c>
      <c r="K33" s="540">
        <f t="shared" si="12"/>
        <v>0.84946763227484012</v>
      </c>
      <c r="L33" s="540">
        <f t="shared" si="12"/>
        <v>0.84522029411346589</v>
      </c>
      <c r="M33" s="540">
        <f t="shared" si="12"/>
        <v>0.84099419264289854</v>
      </c>
      <c r="N33" s="540">
        <f t="shared" si="12"/>
        <v>0.84166698799701278</v>
      </c>
      <c r="O33" s="540">
        <f t="shared" si="12"/>
        <v>0.85538615990136413</v>
      </c>
    </row>
    <row r="34" spans="1:15">
      <c r="A34" s="53"/>
      <c r="E34" s="380">
        <v>5.0000000000000001E-3</v>
      </c>
      <c r="F34" s="380">
        <v>5.0000000000000001E-3</v>
      </c>
      <c r="G34" s="380">
        <v>5.0000000000000001E-3</v>
      </c>
      <c r="H34" s="380">
        <v>5.0000000000000001E-3</v>
      </c>
      <c r="I34" s="380">
        <v>5.0000000000000001E-3</v>
      </c>
      <c r="J34" s="380">
        <v>5.0000000000000001E-3</v>
      </c>
      <c r="K34" s="380">
        <v>5.0000000000000001E-3</v>
      </c>
      <c r="L34" s="380">
        <v>5.0000000000000001E-3</v>
      </c>
      <c r="M34" s="380">
        <v>5.0000000000000001E-3</v>
      </c>
      <c r="N34" s="380">
        <v>-8.0000000000000004E-4</v>
      </c>
      <c r="O34" s="380">
        <v>-1.6299999999999999E-2</v>
      </c>
    </row>
    <row r="35" spans="1:15">
      <c r="A35" s="53"/>
      <c r="E35" s="301"/>
      <c r="F35" s="299"/>
      <c r="G35" s="299"/>
      <c r="H35" s="299"/>
      <c r="I35" s="299"/>
      <c r="J35" s="299"/>
      <c r="K35" s="299"/>
      <c r="L35" s="299"/>
      <c r="M35" s="299"/>
      <c r="N35" s="299"/>
      <c r="O35" s="299"/>
    </row>
    <row r="36" spans="1:15">
      <c r="A36" s="53"/>
      <c r="E36" s="378">
        <f>+E26*0.88</f>
        <v>272282.37903462927</v>
      </c>
      <c r="F36" s="299"/>
      <c r="G36" s="299"/>
      <c r="H36" s="299"/>
      <c r="I36" s="299"/>
      <c r="J36" s="299"/>
      <c r="K36" s="299"/>
      <c r="L36" s="299"/>
      <c r="M36" s="299"/>
      <c r="N36" s="299"/>
      <c r="O36" s="299"/>
    </row>
    <row r="37" spans="1:15">
      <c r="A37" s="53"/>
      <c r="E37" s="378">
        <f>+E36-9000</f>
        <v>263282.37903462927</v>
      </c>
      <c r="F37" s="299"/>
      <c r="G37" s="299"/>
      <c r="H37" s="299"/>
      <c r="I37" s="299"/>
      <c r="J37" s="299"/>
      <c r="K37" s="299"/>
      <c r="L37" s="299"/>
      <c r="M37" s="299"/>
      <c r="N37" s="299"/>
      <c r="O37" s="299"/>
    </row>
    <row r="38" spans="1:15">
      <c r="E38" s="299">
        <f>+E37/E26</f>
        <v>0.85091255031603519</v>
      </c>
    </row>
    <row r="40" spans="1:15" ht="16.5" thickBot="1">
      <c r="A40" s="419" t="str">
        <f>+[2]Resultados!A13</f>
        <v>GastosOperacionales:</v>
      </c>
      <c r="B40" s="417"/>
      <c r="C40" s="417"/>
      <c r="D40" s="68">
        <f t="shared" ref="D40:O40" si="13">+D18</f>
        <v>2013</v>
      </c>
      <c r="E40" s="68">
        <f t="shared" si="13"/>
        <v>2014</v>
      </c>
      <c r="F40" s="68">
        <f t="shared" si="13"/>
        <v>2015</v>
      </c>
      <c r="G40" s="68">
        <f t="shared" si="13"/>
        <v>2016</v>
      </c>
      <c r="H40" s="68">
        <f t="shared" si="13"/>
        <v>2017</v>
      </c>
      <c r="I40" s="68">
        <f t="shared" si="13"/>
        <v>2018</v>
      </c>
      <c r="J40" s="68">
        <f t="shared" si="13"/>
        <v>2019</v>
      </c>
      <c r="K40" s="68">
        <f t="shared" si="13"/>
        <v>2020</v>
      </c>
      <c r="L40" s="68">
        <f t="shared" si="13"/>
        <v>2021</v>
      </c>
      <c r="M40" s="68">
        <f t="shared" si="13"/>
        <v>2022</v>
      </c>
      <c r="N40" s="68">
        <f t="shared" si="13"/>
        <v>2023</v>
      </c>
      <c r="O40" s="68">
        <f t="shared" si="13"/>
        <v>2024</v>
      </c>
    </row>
    <row r="41" spans="1:15">
      <c r="A41" t="str">
        <f>+[2]Resultados!B14</f>
        <v>de Ventas</v>
      </c>
      <c r="D41" s="342">
        <f>+[2]Resultados!G14</f>
        <v>-14812</v>
      </c>
      <c r="E41" s="342">
        <f>+D41*(1+'Sup Macroec'!B5)</f>
        <v>-15226.736000000001</v>
      </c>
      <c r="F41" s="342">
        <f>+E41*(1+'Sup Macroec'!C5)</f>
        <v>-15749.0130448</v>
      </c>
      <c r="G41" s="342">
        <f>+F41*(1+'Sup Macroec'!D5)</f>
        <v>-16320.70221832624</v>
      </c>
      <c r="H41" s="342">
        <f>+G41*(1+'Sup Macroec'!E5)</f>
        <v>-16888.662655523993</v>
      </c>
      <c r="I41" s="342">
        <f>+H41*(1+'Sup Macroec'!F5)</f>
        <v>-17451.055121952944</v>
      </c>
      <c r="J41" s="342">
        <f>+I41*(1+'Sup Macroec'!G5)</f>
        <v>-18007.743780343244</v>
      </c>
      <c r="K41" s="342">
        <f>+J41*(1+'Sup Macroec'!H5)</f>
        <v>-18582.190806936193</v>
      </c>
      <c r="L41" s="342">
        <f>+K41*(1+'Sup Macroec'!I5)</f>
        <v>-19174.962693677458</v>
      </c>
      <c r="M41" s="342">
        <f>+L41*(1+'Sup Macroec'!J5)</f>
        <v>-19786.644003605768</v>
      </c>
      <c r="N41" s="342">
        <f>+M41*(1+'Sup Macroec'!K5)</f>
        <v>-20417.837947320793</v>
      </c>
      <c r="O41" s="342">
        <f>+N41*(1+'Sup Macroec'!L5)</f>
        <v>-21069.166977840327</v>
      </c>
    </row>
    <row r="42" spans="1:15" hidden="1" outlineLevel="1">
      <c r="A42" s="344" t="s">
        <v>1031</v>
      </c>
      <c r="D42" s="340">
        <f>+D41/D26</f>
        <v>-5.441207263269647E-2</v>
      </c>
      <c r="E42" s="340">
        <f>-E41/E26</f>
        <v>4.9211879694557203E-2</v>
      </c>
      <c r="F42" s="340">
        <f t="shared" ref="F42:O42" si="14">-F41/F26</f>
        <v>4.77873263029912E-2</v>
      </c>
      <c r="G42" s="340">
        <f t="shared" si="14"/>
        <v>4.669310255485714E-2</v>
      </c>
      <c r="H42" s="340">
        <f t="shared" si="14"/>
        <v>4.5690296263272909E-2</v>
      </c>
      <c r="I42" s="340">
        <f t="shared" si="14"/>
        <v>4.4955030329145163E-2</v>
      </c>
      <c r="J42" s="340">
        <f t="shared" si="14"/>
        <v>4.4084862585303995E-2</v>
      </c>
      <c r="K42" s="340">
        <f t="shared" si="14"/>
        <v>4.3242653279537621E-2</v>
      </c>
      <c r="L42" s="340">
        <f t="shared" si="14"/>
        <v>4.2407571339045866E-2</v>
      </c>
      <c r="M42" s="340">
        <f t="shared" si="14"/>
        <v>4.157988565194623E-2</v>
      </c>
      <c r="N42" s="340">
        <f t="shared" si="14"/>
        <v>4.0759854861337153E-2</v>
      </c>
      <c r="O42" s="340">
        <f t="shared" si="14"/>
        <v>3.9947727087319515E-2</v>
      </c>
    </row>
    <row r="43" spans="1:15" collapsed="1">
      <c r="A43" t="str">
        <f>+[2]Resultados!B16</f>
        <v>de Administración</v>
      </c>
      <c r="D43" s="342">
        <f>+[2]Resultados!G16</f>
        <v>-12890</v>
      </c>
      <c r="E43" s="342">
        <f>+D43*(1+'Sup Macroec'!B5)</f>
        <v>-13250.92</v>
      </c>
      <c r="F43" s="342">
        <f>+E43*(1+'Sup Macroec'!C5)</f>
        <v>-13705.426556</v>
      </c>
      <c r="G43" s="342">
        <f>+F43*(1+'Sup Macroec'!D5)</f>
        <v>-14202.9335399828</v>
      </c>
      <c r="H43" s="342">
        <f>+G43*(1+'Sup Macroec'!E5)</f>
        <v>-14697.1956271742</v>
      </c>
      <c r="I43" s="342">
        <f>+H43*(1+'Sup Macroec'!F5)</f>
        <v>-15186.612241559102</v>
      </c>
      <c r="J43" s="342">
        <f>+I43*(1+'Sup Macroec'!G5)</f>
        <v>-15671.065172064838</v>
      </c>
      <c r="K43" s="342">
        <f>+J43*(1+'Sup Macroec'!H5)</f>
        <v>-16170.972151053707</v>
      </c>
      <c r="L43" s="342">
        <f>+K43*(1+'Sup Macroec'!I5)</f>
        <v>-16686.826162672322</v>
      </c>
      <c r="M43" s="342">
        <f>+L43*(1+'Sup Macroec'!J5)</f>
        <v>-17219.13591726157</v>
      </c>
      <c r="N43" s="342">
        <f>+M43*(1+'Sup Macroec'!K5)</f>
        <v>-17768.426353022216</v>
      </c>
      <c r="O43" s="342">
        <f>+N43*(1+'Sup Macroec'!L5)</f>
        <v>-18335.239153683626</v>
      </c>
    </row>
    <row r="44" spans="1:15" hidden="1" outlineLevel="1">
      <c r="A44" s="344" t="s">
        <v>1031</v>
      </c>
      <c r="D44" s="340">
        <f>+D43/D26</f>
        <v>-4.7351580896263672E-2</v>
      </c>
      <c r="E44" s="340">
        <f>-E43/E26</f>
        <v>4.2826163196249142E-2</v>
      </c>
      <c r="F44" s="340">
        <f t="shared" ref="F44:O44" si="15">-F43/F26</f>
        <v>4.1586459360353538E-2</v>
      </c>
      <c r="G44" s="340">
        <f t="shared" si="15"/>
        <v>4.0634221707541759E-2</v>
      </c>
      <c r="H44" s="340">
        <f t="shared" si="15"/>
        <v>3.9761539213717778E-2</v>
      </c>
      <c r="I44" s="340">
        <f t="shared" si="15"/>
        <v>3.9121681133046246E-2</v>
      </c>
      <c r="J44" s="340">
        <f t="shared" si="15"/>
        <v>3.8364426054858798E-2</v>
      </c>
      <c r="K44" s="340">
        <f t="shared" si="15"/>
        <v>3.7631501537485817E-2</v>
      </c>
      <c r="L44" s="340">
        <f t="shared" si="15"/>
        <v>3.6904779540933109E-2</v>
      </c>
      <c r="M44" s="340">
        <f t="shared" si="15"/>
        <v>3.6184494062488998E-2</v>
      </c>
      <c r="N44" s="340">
        <f t="shared" si="15"/>
        <v>3.5470870183812855E-2</v>
      </c>
      <c r="O44" s="340">
        <f t="shared" si="15"/>
        <v>3.4764123829027049E-2</v>
      </c>
    </row>
    <row r="45" spans="1:15" collapsed="1">
      <c r="A45" t="str">
        <f>+[2]Resultados!B17</f>
        <v>Depreciaciones</v>
      </c>
      <c r="D45" s="342">
        <f>+[2]Resultados!G17</f>
        <v>-469</v>
      </c>
    </row>
    <row r="46" spans="1:15">
      <c r="A46" t="str">
        <f>+[2]Resultados!B18</f>
        <v>Amortizaciones</v>
      </c>
      <c r="D46" s="342">
        <f>+[2]Resultados!G18</f>
        <v>-197</v>
      </c>
    </row>
    <row r="49" spans="1:15" ht="16.5" thickBot="1">
      <c r="A49" s="419" t="s">
        <v>37</v>
      </c>
      <c r="B49" s="68">
        <v>2011</v>
      </c>
      <c r="C49" s="68">
        <f>+B49+1</f>
        <v>2012</v>
      </c>
      <c r="D49" s="68">
        <f t="shared" ref="D49:O49" si="16">+C49+1</f>
        <v>2013</v>
      </c>
      <c r="E49" s="68">
        <f t="shared" si="16"/>
        <v>2014</v>
      </c>
      <c r="F49" s="68">
        <f t="shared" si="16"/>
        <v>2015</v>
      </c>
      <c r="G49" s="68">
        <f t="shared" si="16"/>
        <v>2016</v>
      </c>
      <c r="H49" s="68">
        <f t="shared" si="16"/>
        <v>2017</v>
      </c>
      <c r="I49" s="68">
        <f t="shared" si="16"/>
        <v>2018</v>
      </c>
      <c r="J49" s="68">
        <f t="shared" si="16"/>
        <v>2019</v>
      </c>
      <c r="K49" s="68">
        <f t="shared" si="16"/>
        <v>2020</v>
      </c>
      <c r="L49" s="68">
        <f t="shared" si="16"/>
        <v>2021</v>
      </c>
      <c r="M49" s="68">
        <f t="shared" si="16"/>
        <v>2022</v>
      </c>
      <c r="N49" s="68">
        <f t="shared" si="16"/>
        <v>2023</v>
      </c>
      <c r="O49" s="68">
        <f t="shared" si="16"/>
        <v>2024</v>
      </c>
    </row>
    <row r="50" spans="1:15">
      <c r="A50" s="53" t="s">
        <v>4</v>
      </c>
      <c r="B50" s="342">
        <f>+Balance!F9</f>
        <v>83328</v>
      </c>
      <c r="C50" s="342">
        <f>+Balance!G9</f>
        <v>71880</v>
      </c>
      <c r="D50" s="342">
        <f>+Balance!H9</f>
        <v>62160</v>
      </c>
      <c r="E50" s="342">
        <f>+Balance!I9</f>
        <v>72196.085350091089</v>
      </c>
      <c r="F50" s="342">
        <f>+Balance!J9</f>
        <v>75982.958932947775</v>
      </c>
      <c r="G50" s="342">
        <f>+Balance!K9</f>
        <v>79615.469515989491</v>
      </c>
      <c r="H50" s="342">
        <f>+Balance!L9</f>
        <v>83167.530269384573</v>
      </c>
      <c r="I50" s="342">
        <f>+Balance!M9</f>
        <v>86264.256100583501</v>
      </c>
      <c r="J50" s="342">
        <f>+Balance!N9</f>
        <v>89638.463132981386</v>
      </c>
      <c r="K50" s="342">
        <f>+Balance!O9</f>
        <v>94299.452714627201</v>
      </c>
      <c r="L50" s="342">
        <f>+Balance!P9</f>
        <v>99223.768367105717</v>
      </c>
      <c r="M50" s="342">
        <f>+Balance!Q9</f>
        <v>104427.15348323778</v>
      </c>
      <c r="N50" s="342">
        <f>+Balance!R9</f>
        <v>109926.3262921128</v>
      </c>
      <c r="O50" s="342">
        <f>+Balance!S9</f>
        <v>115739.04147920925</v>
      </c>
    </row>
    <row r="51" spans="1:15">
      <c r="A51" s="53" t="s">
        <v>37</v>
      </c>
      <c r="B51" s="342">
        <v>307</v>
      </c>
      <c r="C51" s="342">
        <v>772</v>
      </c>
      <c r="D51" s="342">
        <v>712</v>
      </c>
      <c r="E51" s="342">
        <f>+E50*(AVERAGE(B52:D52))</f>
        <v>622.7795481208542</v>
      </c>
      <c r="F51" s="342">
        <f>+F50*(AVERAGE(C52:E52))</f>
        <v>780.61490768505564</v>
      </c>
      <c r="G51" s="342">
        <f>+G50*(AVERAGE(D52:F52))</f>
        <v>805.55163064162707</v>
      </c>
      <c r="H51" s="342">
        <f t="shared" ref="H51:O51" si="17">+H50*(AVERAGE(E52:G52))</f>
        <v>804.44638101503426</v>
      </c>
      <c r="I51" s="342">
        <f t="shared" si="17"/>
        <v>864.4881249391234</v>
      </c>
      <c r="J51" s="342">
        <f t="shared" si="17"/>
        <v>890.7680303774174</v>
      </c>
      <c r="K51" s="342">
        <f t="shared" si="17"/>
        <v>931.40630194274115</v>
      </c>
      <c r="L51" s="342">
        <f t="shared" si="17"/>
        <v>986.80843732001586</v>
      </c>
      <c r="M51" s="342">
        <f t="shared" si="17"/>
        <v>1035.9082046666226</v>
      </c>
      <c r="N51" s="342">
        <f t="shared" si="17"/>
        <v>1089.8208697924217</v>
      </c>
      <c r="O51" s="342">
        <f t="shared" si="17"/>
        <v>1148.8757882432405</v>
      </c>
    </row>
    <row r="52" spans="1:15">
      <c r="A52" s="53" t="s">
        <v>1086</v>
      </c>
      <c r="B52" s="303">
        <f t="shared" ref="B52:O52" si="18">+B51/B50</f>
        <v>3.6842357910906297E-3</v>
      </c>
      <c r="C52" s="303">
        <f t="shared" si="18"/>
        <v>1.0740122426265999E-2</v>
      </c>
      <c r="D52" s="303">
        <f t="shared" si="18"/>
        <v>1.1454311454311455E-2</v>
      </c>
      <c r="E52" s="303">
        <f t="shared" si="18"/>
        <v>8.6262232238893607E-3</v>
      </c>
      <c r="F52" s="303">
        <f t="shared" si="18"/>
        <v>1.0273552368155605E-2</v>
      </c>
      <c r="G52" s="303">
        <f t="shared" si="18"/>
        <v>1.011802901545214E-2</v>
      </c>
      <c r="H52" s="303">
        <f t="shared" si="18"/>
        <v>9.6726015358323692E-3</v>
      </c>
      <c r="I52" s="303">
        <f t="shared" si="18"/>
        <v>1.0021394306480039E-2</v>
      </c>
      <c r="J52" s="303">
        <f t="shared" si="18"/>
        <v>9.9373416192548494E-3</v>
      </c>
      <c r="K52" s="303">
        <f t="shared" si="18"/>
        <v>9.8771124871890863E-3</v>
      </c>
      <c r="L52" s="303">
        <f t="shared" si="18"/>
        <v>9.9452828043079932E-3</v>
      </c>
      <c r="M52" s="303">
        <f t="shared" si="18"/>
        <v>9.9199123035839751E-3</v>
      </c>
      <c r="N52" s="303">
        <f t="shared" si="18"/>
        <v>9.9141025316936849E-3</v>
      </c>
      <c r="O52" s="303">
        <f t="shared" si="18"/>
        <v>9.9264325465285505E-3</v>
      </c>
    </row>
    <row r="53" spans="1:15">
      <c r="B53" s="342"/>
      <c r="C53" s="342"/>
      <c r="D53" s="342"/>
      <c r="E53" s="342"/>
      <c r="F53" s="342"/>
      <c r="G53" s="342"/>
      <c r="H53" s="342"/>
      <c r="I53" s="342"/>
      <c r="J53" s="342"/>
      <c r="K53" s="342"/>
      <c r="L53" s="342"/>
      <c r="M53" s="342"/>
      <c r="N53" s="342"/>
      <c r="O53" s="342"/>
    </row>
    <row r="54" spans="1:15">
      <c r="A54" s="53" t="s">
        <v>1180</v>
      </c>
      <c r="B54" s="342"/>
      <c r="C54" s="342"/>
      <c r="D54" s="342"/>
      <c r="E54" s="342"/>
      <c r="F54" s="342"/>
      <c r="G54" s="342"/>
      <c r="H54" s="342"/>
      <c r="I54" s="342"/>
      <c r="J54" s="342"/>
      <c r="K54" s="342"/>
      <c r="L54" s="342"/>
      <c r="M54" s="342"/>
      <c r="N54" s="342"/>
      <c r="O54" s="342"/>
    </row>
    <row r="55" spans="1:15">
      <c r="A55" s="53" t="s">
        <v>37</v>
      </c>
      <c r="B55" s="342"/>
      <c r="C55" s="342"/>
      <c r="D55" s="342"/>
      <c r="E55" s="342"/>
      <c r="F55" s="342"/>
      <c r="G55" s="342"/>
      <c r="H55" s="342"/>
      <c r="I55" s="342"/>
      <c r="J55" s="342"/>
      <c r="K55" s="342"/>
      <c r="L55" s="342"/>
      <c r="M55" s="342"/>
      <c r="N55" s="342"/>
      <c r="O55" s="342"/>
    </row>
    <row r="56" spans="1:15">
      <c r="A56" s="53"/>
      <c r="B56" s="303"/>
      <c r="C56" s="303"/>
      <c r="D56" s="303"/>
      <c r="E56" s="303"/>
      <c r="F56" s="303"/>
      <c r="G56" s="303"/>
      <c r="H56" s="303"/>
      <c r="I56" s="303"/>
      <c r="J56" s="303"/>
      <c r="K56" s="303"/>
      <c r="L56" s="303"/>
      <c r="M56" s="303"/>
      <c r="N56" s="303"/>
      <c r="O56" s="303"/>
    </row>
    <row r="57" spans="1:15">
      <c r="B57" s="342"/>
      <c r="C57" s="342"/>
      <c r="D57" s="342"/>
      <c r="E57" s="342"/>
      <c r="F57" s="342"/>
      <c r="G57" s="342"/>
      <c r="H57" s="342"/>
      <c r="I57" s="342"/>
      <c r="J57" s="342"/>
      <c r="K57" s="342"/>
      <c r="L57" s="342"/>
      <c r="M57" s="342"/>
      <c r="N57" s="342"/>
      <c r="O57" s="342"/>
    </row>
    <row r="58" spans="1:15">
      <c r="A58" s="53" t="s">
        <v>202</v>
      </c>
      <c r="B58" s="342">
        <f>+Resultados!E6</f>
        <v>342506</v>
      </c>
      <c r="C58" s="342">
        <f>+Resultados!F6</f>
        <v>287266</v>
      </c>
      <c r="D58" s="342">
        <f>+Resultados!G6</f>
        <v>272219</v>
      </c>
      <c r="E58" s="342">
        <f>+Resultados!H6</f>
        <v>309411.79435753328</v>
      </c>
      <c r="F58" s="342">
        <f>+Resultados!I6</f>
        <v>329564.64115495421</v>
      </c>
      <c r="G58" s="342">
        <f>+Resultados!J6</f>
        <v>349531.32958239288</v>
      </c>
      <c r="H58" s="342">
        <f>+Resultados!K6</f>
        <v>369633.46786393144</v>
      </c>
      <c r="I58" s="342">
        <f>+Resultados!L6</f>
        <v>388189.15245262574</v>
      </c>
      <c r="J58" s="342">
        <f>+Resultados!M6</f>
        <v>408479.07250472531</v>
      </c>
      <c r="K58" s="342">
        <f>+Resultados!N6</f>
        <v>429719.02502868086</v>
      </c>
      <c r="L58" s="342">
        <f>+Resultados!O6</f>
        <v>452158.94445769693</v>
      </c>
      <c r="M58" s="342">
        <f>+Resultados!P6</f>
        <v>475870.57283500762</v>
      </c>
      <c r="N58" s="342">
        <f>+Resultados!Q6</f>
        <v>500930.09449570387</v>
      </c>
      <c r="O58" s="342">
        <f>+Resultados!R6</f>
        <v>527418.41686728271</v>
      </c>
    </row>
    <row r="59" spans="1:15">
      <c r="A59" s="53" t="s">
        <v>37</v>
      </c>
      <c r="B59" s="342">
        <v>108</v>
      </c>
      <c r="C59" s="342">
        <v>137</v>
      </c>
      <c r="D59" s="342">
        <v>185</v>
      </c>
      <c r="E59" s="342">
        <f>+E58*AVERAGE(B60:D60)</f>
        <v>151.8008016382864</v>
      </c>
      <c r="F59" s="342">
        <f t="shared" ref="F59:O59" si="19">+F58*AVERAGE(C60:E60)</f>
        <v>180.94424661549436</v>
      </c>
      <c r="G59" s="342">
        <f t="shared" si="19"/>
        <v>200.31069836540422</v>
      </c>
      <c r="H59" s="342">
        <f t="shared" si="19"/>
        <v>198.70692056774655</v>
      </c>
      <c r="I59" s="342">
        <f t="shared" si="19"/>
        <v>214.75946024551922</v>
      </c>
      <c r="J59" s="342">
        <f t="shared" si="19"/>
        <v>226.55556534438665</v>
      </c>
      <c r="K59" s="342">
        <f t="shared" si="19"/>
        <v>235.69291113733843</v>
      </c>
      <c r="L59" s="342">
        <f t="shared" si="19"/>
        <v>249.64411285282105</v>
      </c>
      <c r="M59" s="342">
        <f t="shared" si="19"/>
        <v>262.55830168524727</v>
      </c>
      <c r="N59" s="342">
        <f t="shared" si="19"/>
        <v>275.9023393430341</v>
      </c>
      <c r="O59" s="342">
        <f t="shared" si="19"/>
        <v>290.89570288251792</v>
      </c>
    </row>
    <row r="60" spans="1:15">
      <c r="A60" s="53" t="s">
        <v>1086</v>
      </c>
      <c r="B60" s="303">
        <f t="shared" ref="B60:O60" si="20">+B59/B58</f>
        <v>3.1532294324770953E-4</v>
      </c>
      <c r="C60" s="303">
        <f t="shared" si="20"/>
        <v>4.7690990232049737E-4</v>
      </c>
      <c r="D60" s="303">
        <f t="shared" si="20"/>
        <v>6.7959988097818301E-4</v>
      </c>
      <c r="E60" s="303">
        <f t="shared" si="20"/>
        <v>4.9061090884879672E-4</v>
      </c>
      <c r="F60" s="303">
        <f t="shared" si="20"/>
        <v>5.4904023071582566E-4</v>
      </c>
      <c r="G60" s="303">
        <f t="shared" si="20"/>
        <v>5.730836735142685E-4</v>
      </c>
      <c r="H60" s="303">
        <f t="shared" si="20"/>
        <v>5.3757827102629693E-4</v>
      </c>
      <c r="I60" s="303">
        <f t="shared" si="20"/>
        <v>5.5323405841879692E-4</v>
      </c>
      <c r="J60" s="303">
        <f t="shared" si="20"/>
        <v>5.5463200098645408E-4</v>
      </c>
      <c r="K60" s="303">
        <f t="shared" si="20"/>
        <v>5.4848144347718257E-4</v>
      </c>
      <c r="L60" s="303">
        <f t="shared" si="20"/>
        <v>5.5211583429414445E-4</v>
      </c>
      <c r="M60" s="303">
        <f t="shared" si="20"/>
        <v>5.5174309291926033E-4</v>
      </c>
      <c r="N60" s="303">
        <f t="shared" si="20"/>
        <v>5.5078012356352915E-4</v>
      </c>
      <c r="O60" s="303">
        <f t="shared" si="20"/>
        <v>5.5154635025897794E-4</v>
      </c>
    </row>
    <row r="61" spans="1:15" ht="15.75" thickBot="1"/>
    <row r="62" spans="1:15" ht="16.5" thickBot="1">
      <c r="A62" s="413" t="s">
        <v>1079</v>
      </c>
      <c r="B62" s="414">
        <f t="shared" ref="B62:O62" si="21">+B51+B55+B59</f>
        <v>415</v>
      </c>
      <c r="C62" s="414">
        <f t="shared" si="21"/>
        <v>909</v>
      </c>
      <c r="D62" s="414">
        <f t="shared" si="21"/>
        <v>897</v>
      </c>
      <c r="E62" s="414">
        <f t="shared" si="21"/>
        <v>774.58034975914063</v>
      </c>
      <c r="F62" s="414">
        <f t="shared" si="21"/>
        <v>961.55915430055006</v>
      </c>
      <c r="G62" s="414">
        <f t="shared" si="21"/>
        <v>1005.8623290070313</v>
      </c>
      <c r="H62" s="414">
        <f t="shared" si="21"/>
        <v>1003.1533015827808</v>
      </c>
      <c r="I62" s="414">
        <f t="shared" si="21"/>
        <v>1079.2475851846425</v>
      </c>
      <c r="J62" s="414">
        <f t="shared" si="21"/>
        <v>1117.3235957218039</v>
      </c>
      <c r="K62" s="414">
        <f t="shared" si="21"/>
        <v>1167.0992130800796</v>
      </c>
      <c r="L62" s="414">
        <f t="shared" si="21"/>
        <v>1236.4525501728369</v>
      </c>
      <c r="M62" s="414">
        <f t="shared" si="21"/>
        <v>1298.4665063518698</v>
      </c>
      <c r="N62" s="414">
        <f t="shared" si="21"/>
        <v>1365.7232091354558</v>
      </c>
      <c r="O62" s="414">
        <f t="shared" si="21"/>
        <v>1439.7714911257585</v>
      </c>
    </row>
    <row r="65" spans="1:15" ht="16.5" thickBot="1">
      <c r="A65" s="419" t="s">
        <v>1185</v>
      </c>
      <c r="B65" s="68">
        <v>2011</v>
      </c>
      <c r="C65" s="68">
        <f t="shared" ref="C65:O65" si="22">+B65+1</f>
        <v>2012</v>
      </c>
      <c r="D65" s="68">
        <f t="shared" si="22"/>
        <v>2013</v>
      </c>
      <c r="E65" s="68">
        <f t="shared" si="22"/>
        <v>2014</v>
      </c>
      <c r="F65" s="68">
        <f t="shared" si="22"/>
        <v>2015</v>
      </c>
      <c r="G65" s="68">
        <f t="shared" si="22"/>
        <v>2016</v>
      </c>
      <c r="H65" s="68">
        <f t="shared" si="22"/>
        <v>2017</v>
      </c>
      <c r="I65" s="68">
        <f t="shared" si="22"/>
        <v>2018</v>
      </c>
      <c r="J65" s="68">
        <f t="shared" si="22"/>
        <v>2019</v>
      </c>
      <c r="K65" s="68">
        <f t="shared" si="22"/>
        <v>2020</v>
      </c>
      <c r="L65" s="68">
        <f t="shared" si="22"/>
        <v>2021</v>
      </c>
      <c r="M65" s="68">
        <f t="shared" si="22"/>
        <v>2022</v>
      </c>
      <c r="N65" s="68">
        <f t="shared" si="22"/>
        <v>2023</v>
      </c>
      <c r="O65" s="68">
        <f t="shared" si="22"/>
        <v>2024</v>
      </c>
    </row>
    <row r="66" spans="1:15">
      <c r="A66" s="53" t="s">
        <v>1181</v>
      </c>
      <c r="B66" s="342">
        <v>793</v>
      </c>
      <c r="C66" s="342">
        <v>859</v>
      </c>
      <c r="D66" s="342">
        <v>701</v>
      </c>
      <c r="E66" s="342">
        <f>+D66*(1+'Sup Macroec'!B$5)</f>
        <v>720.62800000000004</v>
      </c>
      <c r="F66" s="342">
        <f>+E66*(1+'Sup Macroec'!C$5)</f>
        <v>745.3455404</v>
      </c>
      <c r="G66" s="342">
        <f>+F66*(1+'Sup Macroec'!D$5)</f>
        <v>772.40158351651996</v>
      </c>
      <c r="H66" s="342">
        <f>+G66*(1+'Sup Macroec'!E$5)</f>
        <v>799.28115862289485</v>
      </c>
      <c r="I66" s="342">
        <f>+H66*(1+'Sup Macroec'!F$5)</f>
        <v>825.89722120503734</v>
      </c>
      <c r="J66" s="342">
        <f>+I66*(1+'Sup Macroec'!G$5)</f>
        <v>852.24334256147802</v>
      </c>
      <c r="K66" s="342">
        <f>+J66*(1+'Sup Macroec'!H$5)</f>
        <v>879.42990518918918</v>
      </c>
      <c r="L66" s="342">
        <f>+K66*(1+'Sup Macroec'!I$5)</f>
        <v>907.48371916472433</v>
      </c>
      <c r="M66" s="342">
        <f>+L66*(1+'Sup Macroec'!J$5)</f>
        <v>936.43244980607903</v>
      </c>
      <c r="N66" s="342">
        <f>+M66*(1+'Sup Macroec'!K$5)</f>
        <v>966.30464495489298</v>
      </c>
      <c r="O66" s="342">
        <f>+N66*(1+'Sup Macroec'!L$5)</f>
        <v>997.1297631289541</v>
      </c>
    </row>
    <row r="67" spans="1:15">
      <c r="A67" s="53" t="s">
        <v>1182</v>
      </c>
      <c r="B67" s="342">
        <v>320</v>
      </c>
      <c r="C67" s="342">
        <v>315</v>
      </c>
      <c r="D67" s="342">
        <v>484</v>
      </c>
      <c r="E67" s="342">
        <f>+D67*(1+'Sup Macroec'!B$5)</f>
        <v>497.55200000000002</v>
      </c>
      <c r="F67" s="342">
        <f>+E67*(1+'Sup Macroec'!C$5)</f>
        <v>514.61803359999999</v>
      </c>
      <c r="G67" s="342">
        <f>+F67*(1+'Sup Macroec'!D$5)</f>
        <v>533.29866821967994</v>
      </c>
      <c r="H67" s="342">
        <f>+G67*(1+'Sup Macroec'!E$5)</f>
        <v>551.85746187372479</v>
      </c>
      <c r="I67" s="342">
        <f>+H67*(1+'Sup Macroec'!F$5)</f>
        <v>570.23431535411987</v>
      </c>
      <c r="J67" s="342">
        <f>+I67*(1+'Sup Macroec'!G$5)</f>
        <v>588.42479001391632</v>
      </c>
      <c r="K67" s="342">
        <f>+J67*(1+'Sup Macroec'!H$5)</f>
        <v>607.19554081536023</v>
      </c>
      <c r="L67" s="342">
        <f>+K67*(1+'Sup Macroec'!I$5)</f>
        <v>626.56507856737028</v>
      </c>
      <c r="M67" s="342">
        <f>+L67*(1+'Sup Macroec'!J$5)</f>
        <v>646.55250457366947</v>
      </c>
      <c r="N67" s="342">
        <f>+M67*(1+'Sup Macroec'!K$5)</f>
        <v>667.17752946956955</v>
      </c>
      <c r="O67" s="342">
        <f>+N67*(1+'Sup Macroec'!L$5)</f>
        <v>688.46049265964882</v>
      </c>
    </row>
    <row r="68" spans="1:15">
      <c r="A68" s="53" t="s">
        <v>1183</v>
      </c>
      <c r="B68" s="342">
        <v>350</v>
      </c>
      <c r="C68" s="342">
        <v>354</v>
      </c>
      <c r="D68" s="342">
        <v>420</v>
      </c>
      <c r="E68" s="342">
        <f>+D68*(1+'Sup Macroec'!B$5)</f>
        <v>431.76</v>
      </c>
      <c r="F68" s="342">
        <f>+E68*(1+'Sup Macroec'!C$5)</f>
        <v>446.569368</v>
      </c>
      <c r="G68" s="342">
        <f>+F68*(1+'Sup Macroec'!D$5)</f>
        <v>462.77983605840001</v>
      </c>
      <c r="H68" s="342">
        <f>+G68*(1+'Sup Macroec'!E$5)</f>
        <v>478.88457435323232</v>
      </c>
      <c r="I68" s="342">
        <f>+H68*(1+'Sup Macroec'!F$5)</f>
        <v>494.83143067919502</v>
      </c>
      <c r="J68" s="342">
        <f>+I68*(1+'Sup Macroec'!G$5)</f>
        <v>510.61655331786136</v>
      </c>
      <c r="K68" s="342">
        <f>+J68*(1+'Sup Macroec'!H$5)</f>
        <v>526.90522136870118</v>
      </c>
      <c r="L68" s="342">
        <f>+K68*(1+'Sup Macroec'!I$5)</f>
        <v>543.71349793036279</v>
      </c>
      <c r="M68" s="342">
        <f>+L68*(1+'Sup Macroec'!J$5)</f>
        <v>561.05795851434141</v>
      </c>
      <c r="N68" s="342">
        <f>+M68*(1+'Sup Macroec'!K$5)</f>
        <v>578.95570739094887</v>
      </c>
      <c r="O68" s="342">
        <f>+N68*(1+'Sup Macroec'!L$5)</f>
        <v>597.42439445672017</v>
      </c>
    </row>
    <row r="69" spans="1:15">
      <c r="A69" s="53" t="s">
        <v>1184</v>
      </c>
      <c r="B69" s="342">
        <v>389</v>
      </c>
      <c r="C69" s="342">
        <v>402</v>
      </c>
      <c r="D69" s="342">
        <v>412</v>
      </c>
      <c r="E69" s="342">
        <f>+D69*(1+'Sup Macroec'!B$5)</f>
        <v>423.536</v>
      </c>
      <c r="F69" s="342">
        <f>+E69*(1+'Sup Macroec'!C$5)</f>
        <v>438.06328480000002</v>
      </c>
      <c r="G69" s="342">
        <f>+F69*(1+'Sup Macroec'!D$5)</f>
        <v>453.96498203824001</v>
      </c>
      <c r="H69" s="342">
        <f>+G69*(1+'Sup Macroec'!E$5)</f>
        <v>469.76296341317072</v>
      </c>
      <c r="I69" s="342">
        <f>+H69*(1+'Sup Macroec'!F$5)</f>
        <v>485.40607009482937</v>
      </c>
      <c r="J69" s="342">
        <f>+I69*(1+'Sup Macroec'!G$5)</f>
        <v>500.89052373085445</v>
      </c>
      <c r="K69" s="342">
        <f>+J69*(1+'Sup Macroec'!H$5)</f>
        <v>516.8689314378687</v>
      </c>
      <c r="L69" s="342">
        <f>+K69*(1+'Sup Macroec'!I$5)</f>
        <v>533.3570503507367</v>
      </c>
      <c r="M69" s="342">
        <f>+L69*(1+'Sup Macroec'!J$5)</f>
        <v>550.37114025692517</v>
      </c>
      <c r="N69" s="342">
        <f>+M69*(1+'Sup Macroec'!K$5)</f>
        <v>567.92797963112116</v>
      </c>
      <c r="O69" s="342">
        <f>+N69*(1+'Sup Macroec'!L$5)</f>
        <v>586.04488218135396</v>
      </c>
    </row>
    <row r="70" spans="1:15" ht="15.75" thickBot="1"/>
    <row r="71" spans="1:15" ht="16.5" thickBot="1">
      <c r="A71" s="413" t="s">
        <v>1191</v>
      </c>
      <c r="B71" s="414">
        <f t="shared" ref="B71:L71" si="23">SUM(B66:B70)</f>
        <v>1852</v>
      </c>
      <c r="C71" s="414">
        <f t="shared" si="23"/>
        <v>1930</v>
      </c>
      <c r="D71" s="414">
        <f t="shared" si="23"/>
        <v>2017</v>
      </c>
      <c r="E71" s="414">
        <f t="shared" si="23"/>
        <v>2073.4760000000001</v>
      </c>
      <c r="F71" s="414">
        <f t="shared" si="23"/>
        <v>2144.5962267999998</v>
      </c>
      <c r="G71" s="414">
        <f t="shared" si="23"/>
        <v>2222.4450698328396</v>
      </c>
      <c r="H71" s="414">
        <f t="shared" si="23"/>
        <v>2299.786158263023</v>
      </c>
      <c r="I71" s="414">
        <f t="shared" si="23"/>
        <v>2376.3690373331815</v>
      </c>
      <c r="J71" s="414">
        <f t="shared" si="23"/>
        <v>2452.1752096241103</v>
      </c>
      <c r="K71" s="414">
        <f t="shared" si="23"/>
        <v>2530.3995988111192</v>
      </c>
      <c r="L71" s="414">
        <f t="shared" si="23"/>
        <v>2611.119346013194</v>
      </c>
      <c r="M71" s="414">
        <f>SUM(M66:M70)</f>
        <v>2694.4140531510152</v>
      </c>
      <c r="N71" s="414">
        <f>SUM(N66:N70)</f>
        <v>2780.3658614465326</v>
      </c>
      <c r="O71" s="414">
        <f>SUM(O66:O70)</f>
        <v>2869.0595324266769</v>
      </c>
    </row>
    <row r="72" spans="1:15">
      <c r="D72" s="303"/>
      <c r="E72" s="303"/>
    </row>
    <row r="73" spans="1:15" ht="16.5" thickBot="1">
      <c r="A73" s="419" t="s">
        <v>1186</v>
      </c>
      <c r="B73" s="68">
        <v>2011</v>
      </c>
      <c r="C73" s="68">
        <f t="shared" ref="C73:O73" si="24">+B73+1</f>
        <v>2012</v>
      </c>
      <c r="D73" s="68">
        <f t="shared" si="24"/>
        <v>2013</v>
      </c>
      <c r="E73" s="68">
        <f t="shared" si="24"/>
        <v>2014</v>
      </c>
      <c r="F73" s="68">
        <f t="shared" si="24"/>
        <v>2015</v>
      </c>
      <c r="G73" s="68">
        <f t="shared" si="24"/>
        <v>2016</v>
      </c>
      <c r="H73" s="68">
        <f t="shared" si="24"/>
        <v>2017</v>
      </c>
      <c r="I73" s="68">
        <f t="shared" si="24"/>
        <v>2018</v>
      </c>
      <c r="J73" s="68">
        <f t="shared" si="24"/>
        <v>2019</v>
      </c>
      <c r="K73" s="68">
        <f t="shared" si="24"/>
        <v>2020</v>
      </c>
      <c r="L73" s="68">
        <f t="shared" si="24"/>
        <v>2021</v>
      </c>
      <c r="M73" s="68">
        <f t="shared" si="24"/>
        <v>2022</v>
      </c>
      <c r="N73" s="68">
        <f t="shared" si="24"/>
        <v>2023</v>
      </c>
      <c r="O73" s="68">
        <f t="shared" si="24"/>
        <v>2024</v>
      </c>
    </row>
    <row r="74" spans="1:15">
      <c r="A74" s="53" t="s">
        <v>1187</v>
      </c>
      <c r="B74" s="342">
        <v>1105</v>
      </c>
      <c r="C74" s="342">
        <v>1013</v>
      </c>
      <c r="D74" s="342">
        <v>981</v>
      </c>
      <c r="E74" s="342">
        <f>-(Resultados!H8+Resultados!H14+Resultados!H16)*E76</f>
        <v>1197.3514750816762</v>
      </c>
      <c r="F74" s="342">
        <f>-(Resultados!I8+Resultados!I14+Resultados!I16)*F76</f>
        <v>633.02803497030436</v>
      </c>
      <c r="G74" s="342">
        <f>-(Resultados!J8+Resultados!J14+Resultados!J16)*G76</f>
        <v>333.45247544746002</v>
      </c>
      <c r="H74" s="342">
        <f>-(Resultados!K8+Resultados!K14+Resultados!K16)*H76</f>
        <v>350.33489424396163</v>
      </c>
      <c r="I74" s="342">
        <f>-(Resultados!L8+Resultados!L14+Resultados!L16)*I76</f>
        <v>0</v>
      </c>
      <c r="J74" s="342">
        <f>-(Resultados!M8+Resultados!M14+Resultados!M16)*J76</f>
        <v>0</v>
      </c>
      <c r="K74" s="342">
        <f>-(Resultados!N8+Resultados!N14+Resultados!N16)*K76</f>
        <v>0</v>
      </c>
      <c r="L74" s="342">
        <f>-(Resultados!O8+Resultados!O14+Resultados!O16)*L76</f>
        <v>0</v>
      </c>
      <c r="M74" s="342">
        <f>-(Resultados!P8+Resultados!P14+Resultados!P16)*M76</f>
        <v>0</v>
      </c>
      <c r="N74" s="342">
        <f>-(Resultados!Q8+Resultados!Q14+Resultados!Q16)*N76</f>
        <v>0</v>
      </c>
      <c r="O74" s="342">
        <f>-(Resultados!R8+Resultados!R14+Resultados!R16)*O76</f>
        <v>0</v>
      </c>
    </row>
    <row r="75" spans="1:15" ht="15.75">
      <c r="A75" s="370" t="s">
        <v>1086</v>
      </c>
      <c r="B75" s="303">
        <f>B74/(Resultados!E8+Resultados!E14+Resultados!E16)</f>
        <v>-3.253396929146609E-3</v>
      </c>
      <c r="C75" s="303">
        <f>C74/(Resultados!F8+Resultados!F14+Resultados!F16)</f>
        <v>-3.5605200538471543E-3</v>
      </c>
      <c r="D75" s="303">
        <f>D74/(Resultados!G8+Resultados!G14+Resultados!G16)</f>
        <v>-3.6713934453838121E-3</v>
      </c>
      <c r="E75" s="303">
        <f>E74/(Resultados!H8+Resultados!H14+Resultados!H16)</f>
        <v>-4.0000000000000001E-3</v>
      </c>
      <c r="F75" s="303">
        <f>F74/(Resultados!I8+Resultados!I14+Resultados!I16)</f>
        <v>-2E-3</v>
      </c>
      <c r="G75" s="303">
        <f>G74/(Resultados!J8+Resultados!J14+Resultados!J16)</f>
        <v>-1E-3</v>
      </c>
      <c r="H75" s="303">
        <f>H74/(Resultados!K8+Resultados!K14+Resultados!K16)</f>
        <v>-1E-3</v>
      </c>
      <c r="I75" s="303">
        <f>I74/(Resultados!L8+Resultados!L14+Resultados!L16)</f>
        <v>0</v>
      </c>
      <c r="J75" s="303">
        <f>J74/(Resultados!M8+Resultados!M14+Resultados!M16)</f>
        <v>0</v>
      </c>
      <c r="K75" s="303">
        <f>K74/(Resultados!N8+Resultados!N14+Resultados!N16)</f>
        <v>0</v>
      </c>
      <c r="L75" s="303">
        <f>L74/(Resultados!O8+Resultados!O14+Resultados!O16)</f>
        <v>0</v>
      </c>
      <c r="M75" s="303">
        <f>M74/(Resultados!P8+Resultados!P14+Resultados!P16)</f>
        <v>0</v>
      </c>
      <c r="N75" s="303">
        <f>N74/(Resultados!Q8+Resultados!Q14+Resultados!Q16)</f>
        <v>0</v>
      </c>
      <c r="O75" s="303">
        <f>O74/(Resultados!R8+Resultados!R14+Resultados!R16)</f>
        <v>0</v>
      </c>
    </row>
    <row r="76" spans="1:15" ht="15.75">
      <c r="A76" s="51" t="s">
        <v>1188</v>
      </c>
      <c r="E76" s="303">
        <f>+(0.004)</f>
        <v>4.0000000000000001E-3</v>
      </c>
      <c r="F76" s="303">
        <f>+(0.002)</f>
        <v>2E-3</v>
      </c>
      <c r="G76" s="303">
        <f>+(0.001)</f>
        <v>1E-3</v>
      </c>
      <c r="H76" s="303">
        <f>+(0.001)</f>
        <v>1E-3</v>
      </c>
      <c r="I76" s="303">
        <v>0</v>
      </c>
      <c r="J76" s="303">
        <v>0</v>
      </c>
      <c r="K76" s="303">
        <v>0</v>
      </c>
      <c r="L76" s="303">
        <v>0</v>
      </c>
      <c r="M76" s="303">
        <v>0</v>
      </c>
      <c r="N76" s="303">
        <v>0</v>
      </c>
      <c r="O76" s="303">
        <v>0</v>
      </c>
    </row>
    <row r="78" spans="1:15">
      <c r="A78" s="53" t="s">
        <v>1189</v>
      </c>
      <c r="B78" s="342">
        <v>307</v>
      </c>
      <c r="C78" s="342">
        <v>261</v>
      </c>
      <c r="D78" s="342">
        <v>245</v>
      </c>
      <c r="E78" s="342">
        <f>+E66*AVERAGE(B79:D79)</f>
        <v>249.93296927666952</v>
      </c>
      <c r="F78" s="342">
        <f t="shared" ref="F78:O78" si="25">+F66*AVERAGE(C79:E79)</f>
        <v>248.49050219710367</v>
      </c>
      <c r="G78" s="342">
        <f t="shared" si="25"/>
        <v>265.1183459141925</v>
      </c>
      <c r="H78" s="342">
        <f t="shared" si="25"/>
        <v>272.67617412288007</v>
      </c>
      <c r="I78" s="342">
        <f t="shared" si="25"/>
        <v>280.19400868230747</v>
      </c>
      <c r="J78" s="342">
        <f t="shared" si="25"/>
        <v>290.79988842545163</v>
      </c>
      <c r="K78" s="342">
        <f t="shared" si="25"/>
        <v>299.48365987194035</v>
      </c>
      <c r="L78" s="342">
        <f t="shared" si="25"/>
        <v>308.85302879414144</v>
      </c>
      <c r="M78" s="342">
        <f t="shared" si="25"/>
        <v>319.04251853287053</v>
      </c>
      <c r="N78" s="342">
        <f t="shared" si="25"/>
        <v>329.05345314178373</v>
      </c>
      <c r="O78" s="342">
        <f t="shared" si="25"/>
        <v>339.54517190792666</v>
      </c>
    </row>
    <row r="79" spans="1:15">
      <c r="A79" s="53" t="s">
        <v>1086</v>
      </c>
      <c r="B79" s="303">
        <f t="shared" ref="B79:O79" si="26">+B78/B66</f>
        <v>0.38713745271122318</v>
      </c>
      <c r="C79" s="303">
        <f t="shared" si="26"/>
        <v>0.30384167636786963</v>
      </c>
      <c r="D79" s="303">
        <f t="shared" si="26"/>
        <v>0.34950071326676174</v>
      </c>
      <c r="E79" s="303">
        <f t="shared" si="26"/>
        <v>0.34682661411528487</v>
      </c>
      <c r="F79" s="303">
        <f t="shared" si="26"/>
        <v>0.33338966791663877</v>
      </c>
      <c r="G79" s="303">
        <f t="shared" si="26"/>
        <v>0.34323899843289513</v>
      </c>
      <c r="H79" s="303">
        <f t="shared" si="26"/>
        <v>0.34115176015493964</v>
      </c>
      <c r="I79" s="303">
        <f t="shared" si="26"/>
        <v>0.33926014216815786</v>
      </c>
      <c r="J79" s="303">
        <f t="shared" si="26"/>
        <v>0.34121696691866416</v>
      </c>
      <c r="K79" s="303">
        <f t="shared" si="26"/>
        <v>0.34054295641392057</v>
      </c>
      <c r="L79" s="303">
        <f t="shared" si="26"/>
        <v>0.34034002183358086</v>
      </c>
      <c r="M79" s="303">
        <f t="shared" si="26"/>
        <v>0.34069998172205523</v>
      </c>
      <c r="N79" s="303">
        <f t="shared" si="26"/>
        <v>0.34052765332318558</v>
      </c>
      <c r="O79" s="303">
        <f t="shared" si="26"/>
        <v>0.34052255229294054</v>
      </c>
    </row>
    <row r="81" spans="1:15">
      <c r="A81" s="53" t="s">
        <v>1190</v>
      </c>
      <c r="B81" s="342">
        <v>212</v>
      </c>
      <c r="C81" s="342">
        <v>17</v>
      </c>
      <c r="D81" s="342">
        <v>43</v>
      </c>
      <c r="E81" s="342">
        <f>+D81*(1+'Sup Macroec'!B$5)</f>
        <v>44.204000000000001</v>
      </c>
      <c r="F81" s="342">
        <f>+E81*(1+'Sup Macroec'!C$5)</f>
        <v>45.720197200000001</v>
      </c>
      <c r="G81" s="342">
        <f>+F81*(1+'Sup Macroec'!D$5)</f>
        <v>47.379840358359999</v>
      </c>
      <c r="H81" s="342">
        <f>+G81*(1+'Sup Macroec'!E$5)</f>
        <v>49.028658802830925</v>
      </c>
      <c r="I81" s="342">
        <f>+H81*(1+'Sup Macroec'!F$5)</f>
        <v>50.661313140965198</v>
      </c>
      <c r="J81" s="342">
        <f>+I81*(1+'Sup Macroec'!G$5)</f>
        <v>52.277409030161991</v>
      </c>
      <c r="K81" s="342">
        <f>+J81*(1+'Sup Macroec'!H$5)</f>
        <v>53.945058378224161</v>
      </c>
      <c r="L81" s="342">
        <f>+K81*(1+'Sup Macroec'!I$5)</f>
        <v>55.665905740489514</v>
      </c>
      <c r="M81" s="342">
        <f>+L81*(1+'Sup Macroec'!J$5)</f>
        <v>57.441648133611132</v>
      </c>
      <c r="N81" s="342">
        <f>+M81*(1+'Sup Macroec'!K$5)</f>
        <v>59.274036709073329</v>
      </c>
      <c r="O81" s="342">
        <f>+N81*(1+'Sup Macroec'!L$5)</f>
        <v>61.164878480092767</v>
      </c>
    </row>
    <row r="82" spans="1:15" ht="15.75" thickBot="1"/>
    <row r="83" spans="1:15" ht="16.5" thickBot="1">
      <c r="A83" s="413" t="s">
        <v>1192</v>
      </c>
      <c r="B83" s="414">
        <f>+B74+B78+B81</f>
        <v>1624</v>
      </c>
      <c r="C83" s="414">
        <f t="shared" ref="C83:O83" si="27">+C74+C78+C81</f>
        <v>1291</v>
      </c>
      <c r="D83" s="414">
        <f t="shared" si="27"/>
        <v>1269</v>
      </c>
      <c r="E83" s="414">
        <f t="shared" si="27"/>
        <v>1491.4884443583458</v>
      </c>
      <c r="F83" s="414">
        <f t="shared" si="27"/>
        <v>927.23873436740803</v>
      </c>
      <c r="G83" s="414">
        <f t="shared" si="27"/>
        <v>645.95066172001248</v>
      </c>
      <c r="H83" s="414">
        <f t="shared" si="27"/>
        <v>672.03972716967269</v>
      </c>
      <c r="I83" s="414">
        <f t="shared" si="27"/>
        <v>330.85532182327267</v>
      </c>
      <c r="J83" s="414">
        <f t="shared" si="27"/>
        <v>343.07729745561363</v>
      </c>
      <c r="K83" s="414">
        <f t="shared" si="27"/>
        <v>353.42871825016448</v>
      </c>
      <c r="L83" s="414">
        <f t="shared" si="27"/>
        <v>364.51893453463094</v>
      </c>
      <c r="M83" s="414">
        <f t="shared" si="27"/>
        <v>376.48416666648166</v>
      </c>
      <c r="N83" s="414">
        <f t="shared" si="27"/>
        <v>388.32748985085709</v>
      </c>
      <c r="O83" s="414">
        <f t="shared" si="27"/>
        <v>400.71005038801945</v>
      </c>
    </row>
    <row r="86" spans="1:15">
      <c r="F86" s="299"/>
    </row>
  </sheetData>
  <phoneticPr fontId="65"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dimension ref="A1:R106"/>
  <sheetViews>
    <sheetView showGridLines="0" zoomScale="70" zoomScaleNormal="70" workbookViewId="0">
      <pane xSplit="1" ySplit="8" topLeftCell="B9" activePane="bottomRight" state="frozen"/>
      <selection pane="topRight" activeCell="B1" sqref="B1"/>
      <selection pane="bottomLeft" activeCell="A9" sqref="A9"/>
      <selection pane="bottomRight" activeCell="A24" sqref="A24"/>
    </sheetView>
  </sheetViews>
  <sheetFormatPr baseColWidth="10" defaultRowHeight="15"/>
  <cols>
    <col min="1" max="1" width="25" customWidth="1"/>
    <col min="6" max="6" width="13.88671875" customWidth="1"/>
    <col min="7" max="7" width="12.77734375" bestFit="1" customWidth="1"/>
    <col min="8" max="16" width="11.88671875" bestFit="1" customWidth="1"/>
  </cols>
  <sheetData>
    <row r="1" spans="1:17" ht="15.75">
      <c r="A1" s="51" t="str">
        <f>+'Anex Proyecc'!A1</f>
        <v>ENKA de Colombia S.A.</v>
      </c>
    </row>
    <row r="2" spans="1:17" ht="15.75">
      <c r="A2" s="51" t="s">
        <v>1146</v>
      </c>
    </row>
    <row r="4" spans="1:17" ht="16.5" thickBot="1">
      <c r="A4" s="68" t="s">
        <v>1040</v>
      </c>
      <c r="B4" s="68">
        <v>2014</v>
      </c>
      <c r="C4" s="68">
        <f>+B4+1</f>
        <v>2015</v>
      </c>
      <c r="D4" s="68">
        <f t="shared" ref="D4:L4" si="0">+C4+1</f>
        <v>2016</v>
      </c>
      <c r="E4" s="68">
        <f t="shared" si="0"/>
        <v>2017</v>
      </c>
      <c r="F4" s="68">
        <f t="shared" si="0"/>
        <v>2018</v>
      </c>
      <c r="G4" s="68">
        <f t="shared" si="0"/>
        <v>2019</v>
      </c>
      <c r="H4" s="68">
        <f t="shared" si="0"/>
        <v>2020</v>
      </c>
      <c r="I4" s="68">
        <f t="shared" si="0"/>
        <v>2021</v>
      </c>
      <c r="J4" s="68">
        <f t="shared" si="0"/>
        <v>2022</v>
      </c>
      <c r="K4" s="68">
        <f t="shared" si="0"/>
        <v>2023</v>
      </c>
      <c r="L4" s="68">
        <f t="shared" si="0"/>
        <v>2024</v>
      </c>
    </row>
    <row r="5" spans="1:17">
      <c r="A5" t="s">
        <v>113</v>
      </c>
      <c r="B5" s="303">
        <f>+'Sup Macroec'!B9</f>
        <v>0.04</v>
      </c>
      <c r="C5" s="303">
        <f>+'Sup Macroec'!C9</f>
        <v>6.1699999999999998E-2</v>
      </c>
      <c r="D5" s="303">
        <f>+'Sup Macroec'!D9</f>
        <v>4.65E-2</v>
      </c>
      <c r="E5" s="303">
        <f>+'Sup Macroec'!E9</f>
        <v>0.04</v>
      </c>
      <c r="F5" s="303">
        <f>+'Sup Macroec'!F9</f>
        <v>2.5600000000000001E-2</v>
      </c>
      <c r="G5" s="303">
        <f>+'Sup Macroec'!G9</f>
        <v>3.1300000000000001E-2</v>
      </c>
      <c r="H5" s="303">
        <f>+'Sup Macroec'!H9</f>
        <v>3.1300000000000001E-2</v>
      </c>
      <c r="I5" s="303">
        <f>+'Sup Macroec'!I9</f>
        <v>3.1300000000000001E-2</v>
      </c>
      <c r="J5" s="303">
        <f>+'Sup Macroec'!J9</f>
        <v>3.1300000000000001E-2</v>
      </c>
      <c r="K5" s="303">
        <f>+'Sup Macroec'!K9</f>
        <v>3.1300000000000001E-2</v>
      </c>
      <c r="L5" s="303">
        <f>+'Sup Macroec'!L9</f>
        <v>3.1300000000000001E-2</v>
      </c>
    </row>
    <row r="6" spans="1:17">
      <c r="A6" s="53" t="s">
        <v>191</v>
      </c>
      <c r="B6" s="303">
        <f>+'Sup Macroec'!B12</f>
        <v>4.1300000000000003E-2</v>
      </c>
      <c r="C6" s="303">
        <f>+'Sup Macroec'!C12</f>
        <v>4.9599999999999998E-2</v>
      </c>
      <c r="D6" s="303">
        <f>+'Sup Macroec'!D12</f>
        <v>5.3499999999999999E-2</v>
      </c>
      <c r="E6" s="303">
        <f>+'Sup Macroec'!E12</f>
        <v>5.11E-2</v>
      </c>
      <c r="F6" s="303">
        <f>+'Sup Macroec'!F12</f>
        <v>4.8599999999999997E-2</v>
      </c>
      <c r="G6" s="303">
        <f>+'Sup Macroec'!G12</f>
        <v>4.36E-2</v>
      </c>
      <c r="H6" s="303">
        <f>+'Sup Macroec'!H12</f>
        <v>4.36E-2</v>
      </c>
      <c r="I6" s="303">
        <f>+'Sup Macroec'!I12</f>
        <v>4.36E-2</v>
      </c>
      <c r="J6" s="303">
        <f>+'Sup Macroec'!J12</f>
        <v>4.36E-2</v>
      </c>
      <c r="K6" s="303">
        <f>+'Sup Macroec'!K12</f>
        <v>4.36E-2</v>
      </c>
      <c r="L6" s="303">
        <f>+'Sup Macroec'!L12</f>
        <v>4.36E-2</v>
      </c>
    </row>
    <row r="8" spans="1:17" ht="16.5" thickBot="1">
      <c r="A8" s="68" t="s">
        <v>1041</v>
      </c>
      <c r="B8" s="68" t="s">
        <v>1042</v>
      </c>
      <c r="C8" s="68" t="s">
        <v>1043</v>
      </c>
      <c r="D8" s="68" t="s">
        <v>1044</v>
      </c>
      <c r="E8" s="68">
        <v>2012</v>
      </c>
      <c r="F8" s="68">
        <v>2013</v>
      </c>
      <c r="G8" s="68">
        <f>+F8+1</f>
        <v>2014</v>
      </c>
      <c r="H8" s="68">
        <f t="shared" ref="H8:Q8" si="1">+G8+1</f>
        <v>2015</v>
      </c>
      <c r="I8" s="68">
        <f t="shared" si="1"/>
        <v>2016</v>
      </c>
      <c r="J8" s="68">
        <f t="shared" si="1"/>
        <v>2017</v>
      </c>
      <c r="K8" s="68">
        <f t="shared" si="1"/>
        <v>2018</v>
      </c>
      <c r="L8" s="68">
        <f t="shared" si="1"/>
        <v>2019</v>
      </c>
      <c r="M8" s="68">
        <f t="shared" si="1"/>
        <v>2020</v>
      </c>
      <c r="N8" s="68">
        <f t="shared" si="1"/>
        <v>2021</v>
      </c>
      <c r="O8" s="68">
        <f t="shared" si="1"/>
        <v>2022</v>
      </c>
      <c r="P8" s="68">
        <f t="shared" si="1"/>
        <v>2023</v>
      </c>
      <c r="Q8" s="68">
        <f t="shared" si="1"/>
        <v>2024</v>
      </c>
    </row>
    <row r="9" spans="1:17">
      <c r="A9" s="53" t="s">
        <v>1045</v>
      </c>
      <c r="B9" s="53" t="s">
        <v>1046</v>
      </c>
      <c r="C9" s="303">
        <v>1.95E-2</v>
      </c>
      <c r="D9" s="303">
        <v>2.8000000000000001E-2</v>
      </c>
      <c r="E9" s="342">
        <v>8769</v>
      </c>
      <c r="F9" s="342">
        <v>9170</v>
      </c>
      <c r="G9" s="342">
        <f t="shared" ref="G9:P9" si="2">F9-VLOOKUP(G$8,$B$20:$F$30,3,0)</f>
        <v>0</v>
      </c>
      <c r="H9" s="342">
        <f t="shared" si="2"/>
        <v>0</v>
      </c>
      <c r="I9" s="342">
        <f t="shared" si="2"/>
        <v>0</v>
      </c>
      <c r="J9" s="342">
        <f t="shared" si="2"/>
        <v>0</v>
      </c>
      <c r="K9" s="342">
        <f t="shared" si="2"/>
        <v>0</v>
      </c>
      <c r="L9" s="342">
        <f t="shared" si="2"/>
        <v>0</v>
      </c>
      <c r="M9" s="342">
        <f t="shared" si="2"/>
        <v>0</v>
      </c>
      <c r="N9" s="342">
        <f t="shared" si="2"/>
        <v>0</v>
      </c>
      <c r="O9" s="342">
        <f t="shared" si="2"/>
        <v>0</v>
      </c>
      <c r="P9" s="342">
        <f t="shared" si="2"/>
        <v>0</v>
      </c>
      <c r="Q9" s="342"/>
    </row>
    <row r="10" spans="1:17">
      <c r="A10" s="53" t="s">
        <v>1047</v>
      </c>
      <c r="B10" s="53" t="s">
        <v>1048</v>
      </c>
      <c r="C10" s="303">
        <v>4.24E-2</v>
      </c>
      <c r="E10" s="342">
        <v>29089</v>
      </c>
      <c r="F10" s="342">
        <f>40426+3504</f>
        <v>43930</v>
      </c>
      <c r="G10" s="342">
        <f>F10-VLOOKUP(G$8,$B$35:$F$45,3,0)</f>
        <v>40426</v>
      </c>
      <c r="H10" s="342">
        <f t="shared" ref="H10:P10" si="3">G10-VLOOKUP(H$8,$B$35:$F$45,3,0)</f>
        <v>35527</v>
      </c>
      <c r="I10" s="342">
        <f t="shared" si="3"/>
        <v>30360</v>
      </c>
      <c r="J10" s="342">
        <f t="shared" si="3"/>
        <v>24908</v>
      </c>
      <c r="K10" s="342">
        <f t="shared" si="3"/>
        <v>19154</v>
      </c>
      <c r="L10" s="342">
        <f t="shared" si="3"/>
        <v>15323.2</v>
      </c>
      <c r="M10" s="342">
        <f t="shared" si="3"/>
        <v>11492.400000000001</v>
      </c>
      <c r="N10" s="342">
        <f t="shared" si="3"/>
        <v>7661.6000000000013</v>
      </c>
      <c r="O10" s="342">
        <f t="shared" si="3"/>
        <v>3830.8000000000011</v>
      </c>
      <c r="P10" s="342">
        <f t="shared" si="3"/>
        <v>0</v>
      </c>
    </row>
    <row r="11" spans="1:17">
      <c r="A11" s="53" t="s">
        <v>1049</v>
      </c>
      <c r="B11" s="53" t="s">
        <v>1050</v>
      </c>
      <c r="E11" s="342">
        <v>4500</v>
      </c>
      <c r="F11" s="342">
        <v>4000</v>
      </c>
      <c r="G11" s="342">
        <f>F11-VLOOKUP(G$8,$B$50:$F$58,3,0)</f>
        <v>3500</v>
      </c>
      <c r="H11" s="342">
        <f t="shared" ref="H11:N11" si="4">G11-VLOOKUP(H$8,$B$50:$F$58,3,0)</f>
        <v>3000</v>
      </c>
      <c r="I11" s="342">
        <f t="shared" si="4"/>
        <v>2500</v>
      </c>
      <c r="J11" s="342">
        <f t="shared" si="4"/>
        <v>2000</v>
      </c>
      <c r="K11" s="342">
        <f t="shared" si="4"/>
        <v>1500</v>
      </c>
      <c r="L11" s="342">
        <f t="shared" si="4"/>
        <v>1000</v>
      </c>
      <c r="M11" s="342">
        <f t="shared" si="4"/>
        <v>500</v>
      </c>
      <c r="N11" s="342">
        <f t="shared" si="4"/>
        <v>0</v>
      </c>
    </row>
    <row r="12" spans="1:17">
      <c r="A12" s="53" t="s">
        <v>352</v>
      </c>
      <c r="B12" t="str">
        <f>+B11</f>
        <v>50% DTF</v>
      </c>
      <c r="E12" s="342">
        <f>670+5358</f>
        <v>6028</v>
      </c>
      <c r="F12" s="342">
        <f>670+4689</f>
        <v>5359</v>
      </c>
      <c r="G12" s="342">
        <f>F12-VLOOKUP(G$8,$B$63:$F$71,3,0)</f>
        <v>4689</v>
      </c>
      <c r="H12" s="342">
        <f t="shared" ref="H12:N12" si="5">G12-VLOOKUP(H$8,$B$63:$F$71,3,0)</f>
        <v>4019</v>
      </c>
      <c r="I12" s="342">
        <f t="shared" si="5"/>
        <v>3349</v>
      </c>
      <c r="J12" s="342">
        <f t="shared" si="5"/>
        <v>2679</v>
      </c>
      <c r="K12" s="342">
        <f t="shared" si="5"/>
        <v>2009</v>
      </c>
      <c r="L12" s="342">
        <f t="shared" si="5"/>
        <v>1339</v>
      </c>
      <c r="M12" s="342">
        <f t="shared" si="5"/>
        <v>669</v>
      </c>
      <c r="N12" s="342">
        <f t="shared" si="5"/>
        <v>0</v>
      </c>
    </row>
    <row r="13" spans="1:17" ht="15.75" thickBot="1">
      <c r="A13" s="53" t="s">
        <v>1127</v>
      </c>
      <c r="E13" s="342"/>
      <c r="F13" s="342"/>
      <c r="G13" s="342">
        <f>+Proyecciones!B63*Resultados!H6/360</f>
        <v>91964.061100711275</v>
      </c>
      <c r="H13" s="342">
        <f>+Proyecciones!C63*Resultados!I6/360</f>
        <v>95207.563000320108</v>
      </c>
      <c r="I13" s="342">
        <f>+Proyecciones!D63*Resultados!J6/360</f>
        <v>98062.956355060218</v>
      </c>
      <c r="J13" s="342">
        <f>+Proyecciones!E63*Resultados!K6/360</f>
        <v>100622.44402962577</v>
      </c>
      <c r="K13" s="342">
        <f>+Proyecciones!F63*Resultados!L6/360</f>
        <v>102438.8041194429</v>
      </c>
      <c r="L13" s="342">
        <f>+Proyecciones!G63*Resultados!M6/360</f>
        <v>104389.09630676314</v>
      </c>
      <c r="M13" s="342">
        <f>+Proyecciones!H63*Resultados!N6/360</f>
        <v>109817.08417399623</v>
      </c>
      <c r="N13" s="342">
        <f>+Proyecciones!I63*Resultados!O6/360</f>
        <v>115551.73025030032</v>
      </c>
      <c r="O13" s="342">
        <f>+Proyecciones!J63*Resultados!P6/360</f>
        <v>121611.36861339083</v>
      </c>
      <c r="P13" s="342">
        <f>+Proyecciones!K63*Resultados!Q6/360</f>
        <v>128015.46859334655</v>
      </c>
      <c r="Q13" s="342">
        <f>+Proyecciones!L63*Resultados!R6/360</f>
        <v>134784.70653275002</v>
      </c>
    </row>
    <row r="14" spans="1:17" ht="15.75">
      <c r="B14" s="415"/>
      <c r="C14" s="415"/>
      <c r="D14" s="415"/>
      <c r="E14" s="416">
        <f>SUM(E9:E13)</f>
        <v>48386</v>
      </c>
      <c r="F14" s="416">
        <f t="shared" ref="F14:Q14" si="6">SUM(F9:F13)</f>
        <v>62459</v>
      </c>
      <c r="G14" s="416">
        <f t="shared" si="6"/>
        <v>140579.06110071129</v>
      </c>
      <c r="H14" s="416">
        <f t="shared" si="6"/>
        <v>137753.56300032011</v>
      </c>
      <c r="I14" s="416">
        <f t="shared" si="6"/>
        <v>134271.95635506022</v>
      </c>
      <c r="J14" s="416">
        <f t="shared" si="6"/>
        <v>130209.44402962577</v>
      </c>
      <c r="K14" s="416">
        <f t="shared" si="6"/>
        <v>125101.8041194429</v>
      </c>
      <c r="L14" s="416">
        <f t="shared" si="6"/>
        <v>122051.29630676314</v>
      </c>
      <c r="M14" s="416">
        <f t="shared" si="6"/>
        <v>122478.48417399623</v>
      </c>
      <c r="N14" s="416">
        <f t="shared" si="6"/>
        <v>123213.33025030032</v>
      </c>
      <c r="O14" s="416">
        <f t="shared" si="6"/>
        <v>125442.16861339084</v>
      </c>
      <c r="P14" s="416">
        <f t="shared" si="6"/>
        <v>128015.46859334655</v>
      </c>
      <c r="Q14" s="416">
        <f t="shared" si="6"/>
        <v>134784.70653275002</v>
      </c>
    </row>
    <row r="15" spans="1:17" ht="16.5" thickBot="1">
      <c r="B15" s="417"/>
      <c r="C15" s="417"/>
      <c r="D15" s="417"/>
      <c r="E15" s="418">
        <f>+E14-(Balance!G32+Balance!G33+Balance!G39+Balance!G43+Balance!G44+Balance!G50)</f>
        <v>0</v>
      </c>
      <c r="F15" s="418">
        <f>+F14-(Balance!H32+Balance!H33+Balance!H39+Balance!H43+Balance!H44+Balance!H50)</f>
        <v>0</v>
      </c>
      <c r="G15" s="418">
        <f>+G14-(Balance!I32+Balance!I33+Balance!I39+Balance!I43+Balance!I44+Balance!I50)</f>
        <v>91964.061100711289</v>
      </c>
      <c r="H15" s="418">
        <f>+H14-(Balance!J32+Balance!J33+Balance!J39+Balance!J43+Balance!J44+Balance!J50)</f>
        <v>95207.563000320108</v>
      </c>
      <c r="I15" s="418">
        <f>+I14-(Balance!K32+Balance!K33+Balance!K39+Balance!K43+Balance!K44+Balance!K50)</f>
        <v>98062.956355060218</v>
      </c>
      <c r="J15" s="418">
        <f>+J14-(Balance!L32+Balance!L33+Balance!L39+Balance!L43+Balance!L44+Balance!L50)</f>
        <v>100622.44402962577</v>
      </c>
      <c r="K15" s="418">
        <f>+K14-(Balance!M32+Balance!M33+Balance!M39+Balance!M43+Balance!M44+Balance!M50)</f>
        <v>102438.8041194429</v>
      </c>
      <c r="L15" s="418">
        <f>+L14-(Balance!N32+Balance!N33+Balance!N39+Balance!N43+Balance!N44+Balance!N50)</f>
        <v>104389.09630676314</v>
      </c>
      <c r="M15" s="418">
        <f>+M14-(Balance!O32+Balance!O33+Balance!O39+Balance!O43+Balance!O44+Balance!O50)</f>
        <v>109817.08417399623</v>
      </c>
      <c r="N15" s="418">
        <f>+N14-(Balance!P32+Balance!P33+Balance!P39+Balance!P43+Balance!P44+Balance!P50)</f>
        <v>115551.73025030032</v>
      </c>
      <c r="O15" s="418">
        <f>+O14-(Balance!Q32+Balance!Q33+Balance!Q39+Balance!Q43+Balance!Q44+Balance!Q50)</f>
        <v>121611.36861339083</v>
      </c>
      <c r="P15" s="418">
        <f>+P14-(Balance!R32+Balance!R33+Balance!R39+Balance!R43+Balance!R44+Balance!R50)</f>
        <v>128015.46859334655</v>
      </c>
      <c r="Q15" s="418">
        <f>+Q14-(Balance!S32+Balance!S33+Balance!S39+Balance!S43+Balance!S44+Balance!S50)</f>
        <v>134784.70653275002</v>
      </c>
    </row>
    <row r="16" spans="1:17" ht="15.75">
      <c r="A16" s="51" t="s">
        <v>1051</v>
      </c>
    </row>
    <row r="17" spans="1:18" ht="15.75">
      <c r="B17" s="336" t="s">
        <v>1042</v>
      </c>
      <c r="C17" s="336" t="s">
        <v>1052</v>
      </c>
      <c r="D17" s="336" t="s">
        <v>1004</v>
      </c>
    </row>
    <row r="18" spans="1:18" ht="15.75">
      <c r="A18" s="51" t="str">
        <f>+A9</f>
        <v>Bancos Nacionales</v>
      </c>
      <c r="B18" s="303">
        <f>+Libor!E8</f>
        <v>3.2299999999999998E-3</v>
      </c>
      <c r="C18" s="303">
        <f>+D9</f>
        <v>2.8000000000000001E-2</v>
      </c>
      <c r="D18" s="303">
        <f>+B18+C18</f>
        <v>3.1230000000000001E-2</v>
      </c>
    </row>
    <row r="20" spans="1:18" ht="16.5" thickBot="1">
      <c r="B20" s="68" t="s">
        <v>1053</v>
      </c>
      <c r="C20" s="68" t="s">
        <v>1054</v>
      </c>
      <c r="D20" s="68" t="s">
        <v>1055</v>
      </c>
      <c r="E20" s="68" t="s">
        <v>1056</v>
      </c>
      <c r="F20" s="68" t="s">
        <v>1057</v>
      </c>
      <c r="G20" s="336"/>
      <c r="H20" s="68" t="s">
        <v>1053</v>
      </c>
      <c r="I20" s="68" t="s">
        <v>1054</v>
      </c>
      <c r="J20" s="68" t="s">
        <v>1055</v>
      </c>
      <c r="K20" s="68" t="s">
        <v>1056</v>
      </c>
      <c r="L20" s="68" t="s">
        <v>1057</v>
      </c>
      <c r="M20" s="336"/>
      <c r="N20" s="336"/>
      <c r="O20" s="336"/>
      <c r="P20" s="336"/>
      <c r="Q20" s="336"/>
    </row>
    <row r="21" spans="1:18">
      <c r="B21">
        <v>2014</v>
      </c>
      <c r="C21" s="303">
        <f t="shared" ref="C21:C30" si="7">+$D$18</f>
        <v>3.1230000000000001E-2</v>
      </c>
      <c r="D21" s="342">
        <f>9170</f>
        <v>9170</v>
      </c>
      <c r="E21" s="342">
        <f>+F9*C21+F13*C21</f>
        <v>286.37909999999999</v>
      </c>
      <c r="F21" s="342">
        <f>+F9-D21</f>
        <v>0</v>
      </c>
      <c r="G21" s="342"/>
      <c r="H21">
        <v>2014</v>
      </c>
      <c r="I21" s="303">
        <f t="shared" ref="I21:I30" si="8">+$D$18</f>
        <v>3.1230000000000001E-2</v>
      </c>
      <c r="J21" s="342"/>
      <c r="K21" s="342"/>
      <c r="L21" s="342"/>
      <c r="M21" s="342"/>
      <c r="N21" s="342"/>
      <c r="O21" s="342"/>
      <c r="P21" s="342"/>
      <c r="Q21" s="342"/>
      <c r="R21" s="53"/>
    </row>
    <row r="22" spans="1:18">
      <c r="B22">
        <f>+B21+1</f>
        <v>2015</v>
      </c>
      <c r="C22" s="303">
        <f t="shared" si="7"/>
        <v>3.1230000000000001E-2</v>
      </c>
      <c r="D22" s="342"/>
      <c r="E22" s="342">
        <f t="shared" ref="E22:E30" si="9">+F21*C21</f>
        <v>0</v>
      </c>
      <c r="F22" s="342">
        <f>+F21-D22</f>
        <v>0</v>
      </c>
      <c r="H22">
        <f>+H21+1</f>
        <v>2015</v>
      </c>
      <c r="I22" s="303">
        <f t="shared" si="8"/>
        <v>3.1230000000000001E-2</v>
      </c>
      <c r="J22" s="342"/>
      <c r="K22" s="342"/>
      <c r="L22" s="342"/>
    </row>
    <row r="23" spans="1:18">
      <c r="B23">
        <f t="shared" ref="B23:B30" si="10">+B22+1</f>
        <v>2016</v>
      </c>
      <c r="C23" s="303">
        <f t="shared" si="7"/>
        <v>3.1230000000000001E-2</v>
      </c>
      <c r="D23" s="342"/>
      <c r="E23" s="342">
        <f t="shared" si="9"/>
        <v>0</v>
      </c>
      <c r="F23" s="342">
        <f t="shared" ref="F23:F30" si="11">+F22-D23</f>
        <v>0</v>
      </c>
      <c r="H23">
        <f t="shared" ref="H23:H30" si="12">+H22+1</f>
        <v>2016</v>
      </c>
      <c r="I23" s="303">
        <f t="shared" si="8"/>
        <v>3.1230000000000001E-2</v>
      </c>
      <c r="J23" s="342"/>
      <c r="K23" s="342"/>
      <c r="L23" s="342"/>
    </row>
    <row r="24" spans="1:18">
      <c r="B24">
        <f t="shared" si="10"/>
        <v>2017</v>
      </c>
      <c r="C24" s="303">
        <f t="shared" si="7"/>
        <v>3.1230000000000001E-2</v>
      </c>
      <c r="D24" s="342"/>
      <c r="E24" s="342">
        <f t="shared" si="9"/>
        <v>0</v>
      </c>
      <c r="F24" s="342">
        <f t="shared" si="11"/>
        <v>0</v>
      </c>
      <c r="H24">
        <f t="shared" si="12"/>
        <v>2017</v>
      </c>
      <c r="I24" s="303">
        <f t="shared" si="8"/>
        <v>3.1230000000000001E-2</v>
      </c>
      <c r="J24" s="342"/>
      <c r="K24" s="342"/>
      <c r="L24" s="342"/>
    </row>
    <row r="25" spans="1:18">
      <c r="B25">
        <f t="shared" si="10"/>
        <v>2018</v>
      </c>
      <c r="C25" s="303">
        <f t="shared" si="7"/>
        <v>3.1230000000000001E-2</v>
      </c>
      <c r="D25" s="342"/>
      <c r="E25" s="342">
        <f t="shared" si="9"/>
        <v>0</v>
      </c>
      <c r="F25" s="342">
        <f t="shared" si="11"/>
        <v>0</v>
      </c>
      <c r="H25">
        <f t="shared" si="12"/>
        <v>2018</v>
      </c>
      <c r="I25" s="303">
        <f t="shared" si="8"/>
        <v>3.1230000000000001E-2</v>
      </c>
      <c r="J25" s="342"/>
      <c r="K25" s="342"/>
      <c r="L25" s="342"/>
    </row>
    <row r="26" spans="1:18">
      <c r="B26">
        <f t="shared" si="10"/>
        <v>2019</v>
      </c>
      <c r="C26" s="303">
        <f t="shared" si="7"/>
        <v>3.1230000000000001E-2</v>
      </c>
      <c r="D26" s="342"/>
      <c r="E26" s="342">
        <f t="shared" si="9"/>
        <v>0</v>
      </c>
      <c r="F26" s="342">
        <f t="shared" si="11"/>
        <v>0</v>
      </c>
      <c r="H26">
        <f t="shared" si="12"/>
        <v>2019</v>
      </c>
      <c r="I26" s="303">
        <f t="shared" si="8"/>
        <v>3.1230000000000001E-2</v>
      </c>
      <c r="J26" s="342"/>
      <c r="K26" s="342"/>
      <c r="L26" s="342"/>
    </row>
    <row r="27" spans="1:18">
      <c r="B27">
        <f t="shared" si="10"/>
        <v>2020</v>
      </c>
      <c r="C27" s="303">
        <f t="shared" si="7"/>
        <v>3.1230000000000001E-2</v>
      </c>
      <c r="D27" s="342"/>
      <c r="E27" s="342">
        <f t="shared" si="9"/>
        <v>0</v>
      </c>
      <c r="F27" s="342">
        <f t="shared" si="11"/>
        <v>0</v>
      </c>
      <c r="H27">
        <f t="shared" si="12"/>
        <v>2020</v>
      </c>
      <c r="I27" s="303">
        <f t="shared" si="8"/>
        <v>3.1230000000000001E-2</v>
      </c>
      <c r="J27" s="342"/>
      <c r="K27" s="342"/>
      <c r="L27" s="342"/>
    </row>
    <row r="28" spans="1:18">
      <c r="B28">
        <f t="shared" si="10"/>
        <v>2021</v>
      </c>
      <c r="C28" s="303">
        <f t="shared" si="7"/>
        <v>3.1230000000000001E-2</v>
      </c>
      <c r="D28" s="342"/>
      <c r="E28" s="342">
        <f t="shared" si="9"/>
        <v>0</v>
      </c>
      <c r="F28" s="342">
        <f t="shared" si="11"/>
        <v>0</v>
      </c>
      <c r="H28">
        <f t="shared" si="12"/>
        <v>2021</v>
      </c>
      <c r="I28" s="303">
        <f t="shared" si="8"/>
        <v>3.1230000000000001E-2</v>
      </c>
      <c r="J28" s="342"/>
      <c r="K28" s="342"/>
      <c r="L28" s="342"/>
    </row>
    <row r="29" spans="1:18">
      <c r="B29">
        <f t="shared" si="10"/>
        <v>2022</v>
      </c>
      <c r="C29" s="303">
        <f t="shared" si="7"/>
        <v>3.1230000000000001E-2</v>
      </c>
      <c r="D29" s="342"/>
      <c r="E29" s="342">
        <f t="shared" si="9"/>
        <v>0</v>
      </c>
      <c r="F29" s="342">
        <f t="shared" si="11"/>
        <v>0</v>
      </c>
      <c r="H29">
        <f t="shared" si="12"/>
        <v>2022</v>
      </c>
      <c r="I29" s="303">
        <f t="shared" si="8"/>
        <v>3.1230000000000001E-2</v>
      </c>
      <c r="J29" s="342"/>
      <c r="K29" s="342"/>
      <c r="L29" s="342"/>
    </row>
    <row r="30" spans="1:18">
      <c r="B30">
        <f t="shared" si="10"/>
        <v>2023</v>
      </c>
      <c r="C30" s="303">
        <f t="shared" si="7"/>
        <v>3.1230000000000001E-2</v>
      </c>
      <c r="D30" s="342"/>
      <c r="E30" s="342">
        <f t="shared" si="9"/>
        <v>0</v>
      </c>
      <c r="F30" s="342">
        <f t="shared" si="11"/>
        <v>0</v>
      </c>
      <c r="H30">
        <f t="shared" si="12"/>
        <v>2023</v>
      </c>
      <c r="I30" s="303">
        <f t="shared" si="8"/>
        <v>3.1230000000000001E-2</v>
      </c>
      <c r="J30" s="342"/>
      <c r="K30" s="342"/>
      <c r="L30" s="342"/>
    </row>
    <row r="32" spans="1:18" ht="15.75">
      <c r="B32" s="336" t="s">
        <v>1042</v>
      </c>
      <c r="C32" s="336" t="s">
        <v>1052</v>
      </c>
      <c r="D32" s="336" t="s">
        <v>1004</v>
      </c>
    </row>
    <row r="33" spans="1:17" ht="15.75">
      <c r="A33" s="51" t="str">
        <f>+A10</f>
        <v>Bancos Exterior</v>
      </c>
      <c r="B33" s="303">
        <f>+Libor!D8</f>
        <v>2.2659999999999998E-3</v>
      </c>
      <c r="C33" s="303">
        <f>+C10</f>
        <v>4.24E-2</v>
      </c>
      <c r="D33" s="303">
        <f>+B33+C33</f>
        <v>4.4665999999999997E-2</v>
      </c>
    </row>
    <row r="35" spans="1:17" ht="16.5" thickBot="1">
      <c r="B35" s="68" t="s">
        <v>1053</v>
      </c>
      <c r="C35" s="68" t="s">
        <v>1054</v>
      </c>
      <c r="D35" s="68" t="s">
        <v>1055</v>
      </c>
      <c r="E35" s="68" t="s">
        <v>1056</v>
      </c>
      <c r="F35" s="68" t="s">
        <v>1057</v>
      </c>
      <c r="G35" s="68" t="s">
        <v>1074</v>
      </c>
      <c r="H35" s="68" t="s">
        <v>1075</v>
      </c>
      <c r="I35" s="336"/>
      <c r="J35" s="68" t="s">
        <v>1077</v>
      </c>
      <c r="K35" s="68" t="s">
        <v>1076</v>
      </c>
      <c r="L35" s="68" t="s">
        <v>1056</v>
      </c>
      <c r="M35" s="336"/>
      <c r="N35" s="336"/>
      <c r="O35" s="336"/>
      <c r="P35" s="336"/>
      <c r="Q35" s="336"/>
    </row>
    <row r="36" spans="1:17">
      <c r="B36">
        <f>+B21</f>
        <v>2014</v>
      </c>
      <c r="C36" s="337">
        <f t="array" ref="C36:C45">((1+$D$33)*(1+TRANSPOSE(B5:L5)))-1</f>
        <v>8.6452640000000081E-2</v>
      </c>
      <c r="D36" s="342">
        <v>3504</v>
      </c>
      <c r="E36" s="342">
        <f>+F10*C36</f>
        <v>3797.8644752000037</v>
      </c>
      <c r="F36" s="342">
        <f>+F10-D36</f>
        <v>40426</v>
      </c>
      <c r="G36" s="342">
        <f>+D37</f>
        <v>4899</v>
      </c>
      <c r="H36" s="342">
        <f>+F36-G36</f>
        <v>35527</v>
      </c>
      <c r="I36" s="342"/>
      <c r="J36" s="303">
        <f t="array" ref="J36:J45">+TRANSPOSE(B5:K5)</f>
        <v>0.04</v>
      </c>
      <c r="K36" s="342">
        <f>+F10*J36</f>
        <v>1757.2</v>
      </c>
      <c r="L36" s="342">
        <f t="shared" ref="L36:L45" si="13">+E36-K36</f>
        <v>2040.6644752000036</v>
      </c>
      <c r="M36" s="342"/>
      <c r="N36" s="342"/>
      <c r="O36" s="342"/>
      <c r="P36" s="342"/>
    </row>
    <row r="37" spans="1:17">
      <c r="B37">
        <f>+B36+1</f>
        <v>2015</v>
      </c>
      <c r="C37" s="303">
        <v>0.10912189220000013</v>
      </c>
      <c r="D37" s="342">
        <v>4899</v>
      </c>
      <c r="E37" s="342">
        <f t="shared" ref="E37:E45" si="14">+F36*C37</f>
        <v>4411.3616140772046</v>
      </c>
      <c r="F37" s="342">
        <f t="shared" ref="F37:F45" si="15">+F36-D37</f>
        <v>35527</v>
      </c>
      <c r="G37" s="342">
        <f t="shared" ref="G37:G45" si="16">+D38</f>
        <v>5167</v>
      </c>
      <c r="H37" s="342">
        <f t="shared" ref="H37:H44" si="17">+F37-G37</f>
        <v>30360</v>
      </c>
      <c r="J37" s="303">
        <v>6.1699999999999998E-2</v>
      </c>
      <c r="K37" s="342">
        <f t="shared" ref="K37:K45" si="18">+F36*J37</f>
        <v>2494.2842000000001</v>
      </c>
      <c r="L37" s="342">
        <f t="shared" si="13"/>
        <v>1917.0774140772046</v>
      </c>
    </row>
    <row r="38" spans="1:17">
      <c r="B38">
        <f t="shared" ref="B38:B45" si="19">+B37+1</f>
        <v>2016</v>
      </c>
      <c r="C38" s="303">
        <v>9.3242969000000064E-2</v>
      </c>
      <c r="D38" s="342">
        <v>5167</v>
      </c>
      <c r="E38" s="342">
        <f t="shared" si="14"/>
        <v>3312.6429596630023</v>
      </c>
      <c r="F38" s="342">
        <f t="shared" si="15"/>
        <v>30360</v>
      </c>
      <c r="G38" s="342">
        <f t="shared" si="16"/>
        <v>5452</v>
      </c>
      <c r="H38" s="342">
        <f t="shared" si="17"/>
        <v>24908</v>
      </c>
      <c r="J38" s="303">
        <v>4.65E-2</v>
      </c>
      <c r="K38" s="342">
        <f t="shared" si="18"/>
        <v>1652.0055</v>
      </c>
      <c r="L38" s="342">
        <f t="shared" si="13"/>
        <v>1660.6374596630023</v>
      </c>
    </row>
    <row r="39" spans="1:17">
      <c r="B39">
        <f t="shared" si="19"/>
        <v>2017</v>
      </c>
      <c r="C39" s="303">
        <v>8.6452640000000081E-2</v>
      </c>
      <c r="D39" s="342">
        <v>5452</v>
      </c>
      <c r="E39" s="342">
        <f t="shared" si="14"/>
        <v>2624.7021504000027</v>
      </c>
      <c r="F39" s="342">
        <f t="shared" si="15"/>
        <v>24908</v>
      </c>
      <c r="G39" s="342">
        <f t="shared" si="16"/>
        <v>5754</v>
      </c>
      <c r="H39" s="342">
        <f t="shared" si="17"/>
        <v>19154</v>
      </c>
      <c r="J39" s="303">
        <v>0.04</v>
      </c>
      <c r="K39" s="342">
        <f t="shared" si="18"/>
        <v>1214.4000000000001</v>
      </c>
      <c r="L39" s="342">
        <f t="shared" si="13"/>
        <v>1410.3021504000026</v>
      </c>
    </row>
    <row r="40" spans="1:17">
      <c r="B40">
        <f t="shared" si="19"/>
        <v>2018</v>
      </c>
      <c r="C40" s="303">
        <v>7.1409449600000174E-2</v>
      </c>
      <c r="D40" s="342">
        <v>5754</v>
      </c>
      <c r="E40" s="342">
        <f t="shared" si="14"/>
        <v>1778.6665706368044</v>
      </c>
      <c r="F40" s="342">
        <f t="shared" si="15"/>
        <v>19154</v>
      </c>
      <c r="G40" s="342">
        <f t="shared" si="16"/>
        <v>3830.8</v>
      </c>
      <c r="H40" s="342">
        <f t="shared" si="17"/>
        <v>15323.2</v>
      </c>
      <c r="J40" s="303">
        <v>2.5600000000000001E-2</v>
      </c>
      <c r="K40" s="342">
        <f t="shared" si="18"/>
        <v>637.64480000000003</v>
      </c>
      <c r="L40" s="342">
        <f t="shared" si="13"/>
        <v>1141.0217706368044</v>
      </c>
    </row>
    <row r="41" spans="1:17">
      <c r="B41">
        <f t="shared" si="19"/>
        <v>2019</v>
      </c>
      <c r="C41" s="303">
        <v>7.7364045800000225E-2</v>
      </c>
      <c r="D41" s="342">
        <f>+F40/5</f>
        <v>3830.8</v>
      </c>
      <c r="E41" s="342">
        <f t="shared" si="14"/>
        <v>1481.8309332532044</v>
      </c>
      <c r="F41" s="342">
        <f t="shared" si="15"/>
        <v>15323.2</v>
      </c>
      <c r="G41" s="342">
        <f t="shared" si="16"/>
        <v>3830.8</v>
      </c>
      <c r="H41" s="342">
        <f t="shared" si="17"/>
        <v>11492.400000000001</v>
      </c>
      <c r="J41" s="303">
        <v>3.1300000000000001E-2</v>
      </c>
      <c r="K41" s="342">
        <f t="shared" si="18"/>
        <v>599.52020000000005</v>
      </c>
      <c r="L41" s="342">
        <f t="shared" si="13"/>
        <v>882.31073325320438</v>
      </c>
    </row>
    <row r="42" spans="1:17">
      <c r="B42">
        <f t="shared" si="19"/>
        <v>2020</v>
      </c>
      <c r="C42" s="303">
        <v>7.7364045800000225E-2</v>
      </c>
      <c r="D42" s="342">
        <f>+D41</f>
        <v>3830.8</v>
      </c>
      <c r="E42" s="342">
        <f t="shared" si="14"/>
        <v>1185.4647466025635</v>
      </c>
      <c r="F42" s="342">
        <f t="shared" si="15"/>
        <v>11492.400000000001</v>
      </c>
      <c r="G42" s="342">
        <f t="shared" si="16"/>
        <v>3830.8</v>
      </c>
      <c r="H42" s="342">
        <f t="shared" si="17"/>
        <v>7661.6000000000013</v>
      </c>
      <c r="J42" s="303">
        <v>3.1300000000000001E-2</v>
      </c>
      <c r="K42" s="342">
        <f t="shared" si="18"/>
        <v>479.61616000000004</v>
      </c>
      <c r="L42" s="342">
        <f t="shared" si="13"/>
        <v>705.8485866025635</v>
      </c>
    </row>
    <row r="43" spans="1:17">
      <c r="B43">
        <f t="shared" si="19"/>
        <v>2021</v>
      </c>
      <c r="C43" s="303">
        <v>7.7364045800000225E-2</v>
      </c>
      <c r="D43" s="342">
        <f>+D42</f>
        <v>3830.8</v>
      </c>
      <c r="E43" s="342">
        <f t="shared" si="14"/>
        <v>889.09855995192265</v>
      </c>
      <c r="F43" s="342">
        <f t="shared" si="15"/>
        <v>7661.6000000000013</v>
      </c>
      <c r="G43" s="342">
        <f t="shared" si="16"/>
        <v>3830.8</v>
      </c>
      <c r="H43" s="342">
        <f t="shared" si="17"/>
        <v>3830.8000000000011</v>
      </c>
      <c r="J43" s="303">
        <v>3.1300000000000001E-2</v>
      </c>
      <c r="K43" s="342">
        <f t="shared" si="18"/>
        <v>359.71212000000008</v>
      </c>
      <c r="L43" s="342">
        <f t="shared" si="13"/>
        <v>529.38643995192251</v>
      </c>
    </row>
    <row r="44" spans="1:17">
      <c r="B44">
        <f t="shared" si="19"/>
        <v>2022</v>
      </c>
      <c r="C44" s="303">
        <v>7.7364045800000225E-2</v>
      </c>
      <c r="D44" s="342">
        <f>+D43</f>
        <v>3830.8</v>
      </c>
      <c r="E44" s="342">
        <f t="shared" si="14"/>
        <v>592.73237330128177</v>
      </c>
      <c r="F44" s="342">
        <f t="shared" si="15"/>
        <v>3830.8000000000011</v>
      </c>
      <c r="G44" s="342">
        <f t="shared" si="16"/>
        <v>3830.8</v>
      </c>
      <c r="H44" s="342">
        <f t="shared" si="17"/>
        <v>0</v>
      </c>
      <c r="J44" s="303">
        <v>3.1300000000000001E-2</v>
      </c>
      <c r="K44" s="342">
        <f t="shared" si="18"/>
        <v>239.80808000000005</v>
      </c>
      <c r="L44" s="342">
        <f t="shared" si="13"/>
        <v>352.92429330128175</v>
      </c>
    </row>
    <row r="45" spans="1:17">
      <c r="B45">
        <f t="shared" si="19"/>
        <v>2023</v>
      </c>
      <c r="C45" s="303">
        <v>7.7364045800000225E-2</v>
      </c>
      <c r="D45" s="342">
        <f>+D44</f>
        <v>3830.8</v>
      </c>
      <c r="E45" s="342">
        <f t="shared" si="14"/>
        <v>296.36618665064094</v>
      </c>
      <c r="F45" s="342">
        <f t="shared" si="15"/>
        <v>0</v>
      </c>
      <c r="G45" s="342">
        <f t="shared" si="16"/>
        <v>0</v>
      </c>
      <c r="J45" s="303">
        <v>3.1300000000000001E-2</v>
      </c>
      <c r="K45" s="342">
        <f t="shared" si="18"/>
        <v>119.90404000000004</v>
      </c>
      <c r="L45" s="342">
        <f t="shared" si="13"/>
        <v>176.4621466506409</v>
      </c>
    </row>
    <row r="46" spans="1:17">
      <c r="C46" s="342"/>
      <c r="D46" s="342"/>
      <c r="E46" s="342"/>
    </row>
    <row r="47" spans="1:17" ht="15.75">
      <c r="B47" s="336" t="s">
        <v>1042</v>
      </c>
      <c r="C47" s="336" t="s">
        <v>1052</v>
      </c>
      <c r="D47" s="336" t="s">
        <v>1004</v>
      </c>
    </row>
    <row r="48" spans="1:17" ht="15.75">
      <c r="A48" s="51" t="str">
        <f>+A11</f>
        <v>Financieras Ley 550</v>
      </c>
      <c r="B48" s="303">
        <f>+B6/2</f>
        <v>2.0650000000000002E-2</v>
      </c>
      <c r="C48" s="303">
        <v>0</v>
      </c>
      <c r="D48" s="303">
        <f>+B48+C48</f>
        <v>2.0650000000000002E-2</v>
      </c>
    </row>
    <row r="50" spans="1:18" ht="16.5" thickBot="1">
      <c r="B50" s="68" t="s">
        <v>1053</v>
      </c>
      <c r="C50" s="68" t="s">
        <v>1054</v>
      </c>
      <c r="D50" s="68" t="s">
        <v>1055</v>
      </c>
      <c r="E50" s="68" t="s">
        <v>1056</v>
      </c>
      <c r="F50" s="68" t="s">
        <v>1057</v>
      </c>
      <c r="G50" s="68" t="s">
        <v>1074</v>
      </c>
      <c r="H50" s="68" t="s">
        <v>1075</v>
      </c>
      <c r="I50" s="336"/>
      <c r="J50" s="336"/>
      <c r="K50" s="336"/>
      <c r="L50" s="336"/>
      <c r="M50" s="336"/>
      <c r="N50" s="336"/>
      <c r="O50" s="336"/>
      <c r="P50" s="336"/>
      <c r="Q50" s="336"/>
    </row>
    <row r="51" spans="1:18">
      <c r="B51">
        <f>+B36</f>
        <v>2014</v>
      </c>
      <c r="C51" s="337">
        <f t="array" ref="C51:C58">+(TRANSPOSE(B6:I6))/2</f>
        <v>2.0650000000000002E-2</v>
      </c>
      <c r="D51" s="342">
        <v>500</v>
      </c>
      <c r="E51" s="342">
        <f>+F11*C51</f>
        <v>82.600000000000009</v>
      </c>
      <c r="F51" s="342">
        <f>+F11-D51</f>
        <v>3500</v>
      </c>
      <c r="G51" s="342">
        <f>+D52</f>
        <v>500</v>
      </c>
      <c r="H51" s="342">
        <f>+F51-G51</f>
        <v>3000</v>
      </c>
      <c r="I51" s="342"/>
      <c r="J51" s="342"/>
      <c r="K51" s="342"/>
      <c r="L51" s="342"/>
      <c r="M51" s="342"/>
      <c r="N51" s="342"/>
    </row>
    <row r="52" spans="1:18">
      <c r="B52">
        <f>+B51+1</f>
        <v>2015</v>
      </c>
      <c r="C52" s="337">
        <v>2.4799999999999999E-2</v>
      </c>
      <c r="D52" s="342">
        <f t="shared" ref="D52:D58" si="20">+D51</f>
        <v>500</v>
      </c>
      <c r="E52" s="342">
        <f t="shared" ref="E52:E58" si="21">+F51*C52</f>
        <v>86.8</v>
      </c>
      <c r="F52" s="342">
        <f t="shared" ref="F52:F58" si="22">+F51-D52</f>
        <v>3000</v>
      </c>
      <c r="G52" s="342">
        <f t="shared" ref="G52:G58" si="23">+D53</f>
        <v>500</v>
      </c>
      <c r="H52" s="342">
        <f t="shared" ref="H52:H58" si="24">+F52-G52</f>
        <v>2500</v>
      </c>
    </row>
    <row r="53" spans="1:18">
      <c r="B53">
        <f t="shared" ref="B53:B58" si="25">+B52+1</f>
        <v>2016</v>
      </c>
      <c r="C53" s="337">
        <v>2.6749999999999999E-2</v>
      </c>
      <c r="D53" s="342">
        <f t="shared" si="20"/>
        <v>500</v>
      </c>
      <c r="E53" s="342">
        <f t="shared" si="21"/>
        <v>80.25</v>
      </c>
      <c r="F53" s="342">
        <f t="shared" si="22"/>
        <v>2500</v>
      </c>
      <c r="G53" s="342">
        <f t="shared" si="23"/>
        <v>500</v>
      </c>
      <c r="H53" s="342">
        <f t="shared" si="24"/>
        <v>2000</v>
      </c>
    </row>
    <row r="54" spans="1:18">
      <c r="B54">
        <f t="shared" si="25"/>
        <v>2017</v>
      </c>
      <c r="C54" s="337">
        <v>2.555E-2</v>
      </c>
      <c r="D54" s="342">
        <f t="shared" si="20"/>
        <v>500</v>
      </c>
      <c r="E54" s="342">
        <f t="shared" si="21"/>
        <v>63.875</v>
      </c>
      <c r="F54" s="342">
        <f t="shared" si="22"/>
        <v>2000</v>
      </c>
      <c r="G54" s="342">
        <f t="shared" si="23"/>
        <v>500</v>
      </c>
      <c r="H54" s="342">
        <f t="shared" si="24"/>
        <v>1500</v>
      </c>
    </row>
    <row r="55" spans="1:18">
      <c r="B55">
        <f t="shared" si="25"/>
        <v>2018</v>
      </c>
      <c r="C55" s="337">
        <v>2.4299999999999999E-2</v>
      </c>
      <c r="D55" s="342">
        <f t="shared" si="20"/>
        <v>500</v>
      </c>
      <c r="E55" s="342">
        <f t="shared" si="21"/>
        <v>48.599999999999994</v>
      </c>
      <c r="F55" s="342">
        <f t="shared" si="22"/>
        <v>1500</v>
      </c>
      <c r="G55" s="342">
        <f t="shared" si="23"/>
        <v>500</v>
      </c>
      <c r="H55" s="342">
        <f t="shared" si="24"/>
        <v>1000</v>
      </c>
    </row>
    <row r="56" spans="1:18">
      <c r="B56">
        <f t="shared" si="25"/>
        <v>2019</v>
      </c>
      <c r="C56" s="337">
        <v>2.18E-2</v>
      </c>
      <c r="D56" s="342">
        <f t="shared" si="20"/>
        <v>500</v>
      </c>
      <c r="E56" s="342">
        <f t="shared" si="21"/>
        <v>32.700000000000003</v>
      </c>
      <c r="F56" s="342">
        <f t="shared" si="22"/>
        <v>1000</v>
      </c>
      <c r="G56" s="342">
        <f t="shared" si="23"/>
        <v>500</v>
      </c>
      <c r="H56" s="342">
        <f t="shared" si="24"/>
        <v>500</v>
      </c>
    </row>
    <row r="57" spans="1:18">
      <c r="B57">
        <f t="shared" si="25"/>
        <v>2020</v>
      </c>
      <c r="C57" s="337">
        <v>2.18E-2</v>
      </c>
      <c r="D57" s="342">
        <f t="shared" si="20"/>
        <v>500</v>
      </c>
      <c r="E57" s="342">
        <f t="shared" si="21"/>
        <v>21.8</v>
      </c>
      <c r="F57" s="342">
        <f t="shared" si="22"/>
        <v>500</v>
      </c>
      <c r="G57" s="342">
        <f t="shared" si="23"/>
        <v>500</v>
      </c>
      <c r="H57" s="342">
        <f t="shared" si="24"/>
        <v>0</v>
      </c>
    </row>
    <row r="58" spans="1:18">
      <c r="B58">
        <f t="shared" si="25"/>
        <v>2021</v>
      </c>
      <c r="C58" s="337">
        <v>2.18E-2</v>
      </c>
      <c r="D58" s="342">
        <f t="shared" si="20"/>
        <v>500</v>
      </c>
      <c r="E58" s="342">
        <f t="shared" si="21"/>
        <v>10.9</v>
      </c>
      <c r="F58" s="342">
        <f t="shared" si="22"/>
        <v>0</v>
      </c>
      <c r="G58" s="342">
        <f t="shared" si="23"/>
        <v>0</v>
      </c>
      <c r="H58" s="342">
        <f t="shared" si="24"/>
        <v>0</v>
      </c>
    </row>
    <row r="60" spans="1:18" ht="15.75">
      <c r="B60" s="336" t="s">
        <v>1042</v>
      </c>
      <c r="C60" s="336" t="s">
        <v>1052</v>
      </c>
      <c r="D60" s="336" t="s">
        <v>1004</v>
      </c>
    </row>
    <row r="61" spans="1:18" ht="15.75">
      <c r="A61" s="51" t="s">
        <v>352</v>
      </c>
      <c r="B61" s="303">
        <f>+B48</f>
        <v>2.0650000000000002E-2</v>
      </c>
      <c r="D61" s="303">
        <f>+B61+C61</f>
        <v>2.0650000000000002E-2</v>
      </c>
    </row>
    <row r="63" spans="1:18" ht="16.5" thickBot="1">
      <c r="B63" s="68" t="s">
        <v>1053</v>
      </c>
      <c r="C63" s="68" t="s">
        <v>1054</v>
      </c>
      <c r="D63" s="68" t="s">
        <v>1055</v>
      </c>
      <c r="E63" s="68" t="s">
        <v>1056</v>
      </c>
      <c r="F63" s="68" t="s">
        <v>1057</v>
      </c>
      <c r="G63" s="68" t="s">
        <v>1074</v>
      </c>
      <c r="H63" s="68" t="s">
        <v>1075</v>
      </c>
      <c r="I63" s="336"/>
      <c r="J63" s="336"/>
      <c r="K63" s="336"/>
      <c r="L63" s="336"/>
      <c r="M63" s="336"/>
      <c r="N63" s="336"/>
      <c r="O63" s="336"/>
      <c r="P63" s="336"/>
      <c r="Q63" s="336"/>
      <c r="R63" s="336"/>
    </row>
    <row r="64" spans="1:18">
      <c r="B64">
        <f>+B51</f>
        <v>2014</v>
      </c>
      <c r="C64" s="303">
        <f t="array" ref="C64:C71">+TRANSPOSE(B6:I6)/2</f>
        <v>2.0650000000000002E-2</v>
      </c>
      <c r="D64" s="342">
        <v>670</v>
      </c>
      <c r="E64" s="342">
        <f>+F12*C64</f>
        <v>110.66335000000001</v>
      </c>
      <c r="F64" s="342">
        <f>+F12-D64</f>
        <v>4689</v>
      </c>
      <c r="G64" s="342">
        <f>+D65</f>
        <v>670</v>
      </c>
      <c r="H64" s="342">
        <f>+F64-G64</f>
        <v>4019</v>
      </c>
      <c r="I64" s="342"/>
      <c r="J64" s="342"/>
      <c r="K64" s="342"/>
      <c r="L64" s="342"/>
      <c r="M64" s="342"/>
      <c r="N64" s="342"/>
    </row>
    <row r="65" spans="1:9">
      <c r="B65">
        <f>+B64+1</f>
        <v>2015</v>
      </c>
      <c r="C65" s="303">
        <v>2.4799999999999999E-2</v>
      </c>
      <c r="D65" s="342">
        <f t="shared" ref="D65:D70" si="26">+D64</f>
        <v>670</v>
      </c>
      <c r="E65" s="342">
        <f>+F64*C65</f>
        <v>116.2872</v>
      </c>
      <c r="F65" s="342">
        <f>+F64-D65</f>
        <v>4019</v>
      </c>
      <c r="G65" s="342">
        <f t="shared" ref="G65:G71" si="27">+D66</f>
        <v>670</v>
      </c>
      <c r="H65" s="342">
        <f t="shared" ref="H65:H71" si="28">+F65-G65</f>
        <v>3349</v>
      </c>
    </row>
    <row r="66" spans="1:9">
      <c r="B66">
        <f t="shared" ref="B66:B71" si="29">+B65+1</f>
        <v>2016</v>
      </c>
      <c r="C66" s="303">
        <v>2.6749999999999999E-2</v>
      </c>
      <c r="D66" s="342">
        <f t="shared" si="26"/>
        <v>670</v>
      </c>
      <c r="E66" s="342">
        <f t="shared" ref="E66:E71" si="30">+F65*C66</f>
        <v>107.50825</v>
      </c>
      <c r="F66" s="342">
        <f t="shared" ref="F66:F71" si="31">+F65-D66</f>
        <v>3349</v>
      </c>
      <c r="G66" s="342">
        <f t="shared" si="27"/>
        <v>670</v>
      </c>
      <c r="H66" s="342">
        <f t="shared" si="28"/>
        <v>2679</v>
      </c>
    </row>
    <row r="67" spans="1:9">
      <c r="B67">
        <f t="shared" si="29"/>
        <v>2017</v>
      </c>
      <c r="C67" s="303">
        <v>2.555E-2</v>
      </c>
      <c r="D67" s="342">
        <f t="shared" si="26"/>
        <v>670</v>
      </c>
      <c r="E67" s="342">
        <f t="shared" si="30"/>
        <v>85.566950000000006</v>
      </c>
      <c r="F67" s="342">
        <f t="shared" si="31"/>
        <v>2679</v>
      </c>
      <c r="G67" s="342">
        <f t="shared" si="27"/>
        <v>670</v>
      </c>
      <c r="H67" s="342">
        <f t="shared" si="28"/>
        <v>2009</v>
      </c>
    </row>
    <row r="68" spans="1:9">
      <c r="B68">
        <f t="shared" si="29"/>
        <v>2018</v>
      </c>
      <c r="C68" s="303">
        <v>2.4299999999999999E-2</v>
      </c>
      <c r="D68" s="342">
        <f t="shared" si="26"/>
        <v>670</v>
      </c>
      <c r="E68" s="342">
        <f t="shared" si="30"/>
        <v>65.099699999999999</v>
      </c>
      <c r="F68" s="342">
        <f t="shared" si="31"/>
        <v>2009</v>
      </c>
      <c r="G68" s="342">
        <f t="shared" si="27"/>
        <v>670</v>
      </c>
      <c r="H68" s="342">
        <f t="shared" si="28"/>
        <v>1339</v>
      </c>
    </row>
    <row r="69" spans="1:9">
      <c r="B69">
        <f t="shared" si="29"/>
        <v>2019</v>
      </c>
      <c r="C69" s="303">
        <v>2.18E-2</v>
      </c>
      <c r="D69" s="342">
        <f t="shared" si="26"/>
        <v>670</v>
      </c>
      <c r="E69" s="342">
        <f t="shared" si="30"/>
        <v>43.796199999999999</v>
      </c>
      <c r="F69" s="342">
        <f t="shared" si="31"/>
        <v>1339</v>
      </c>
      <c r="G69" s="342">
        <f t="shared" si="27"/>
        <v>670</v>
      </c>
      <c r="H69" s="342">
        <f t="shared" si="28"/>
        <v>669</v>
      </c>
    </row>
    <row r="70" spans="1:9">
      <c r="B70">
        <f t="shared" si="29"/>
        <v>2020</v>
      </c>
      <c r="C70" s="303">
        <v>2.18E-2</v>
      </c>
      <c r="D70" s="342">
        <f t="shared" si="26"/>
        <v>670</v>
      </c>
      <c r="E70" s="342">
        <f t="shared" si="30"/>
        <v>29.190200000000001</v>
      </c>
      <c r="F70" s="342">
        <f t="shared" si="31"/>
        <v>669</v>
      </c>
      <c r="G70" s="342">
        <f t="shared" si="27"/>
        <v>669</v>
      </c>
      <c r="H70" s="342">
        <f t="shared" si="28"/>
        <v>0</v>
      </c>
    </row>
    <row r="71" spans="1:9">
      <c r="B71">
        <f t="shared" si="29"/>
        <v>2021</v>
      </c>
      <c r="C71" s="303">
        <v>2.18E-2</v>
      </c>
      <c r="D71" s="342">
        <f>+D70-1</f>
        <v>669</v>
      </c>
      <c r="E71" s="342">
        <f t="shared" si="30"/>
        <v>14.584199999999999</v>
      </c>
      <c r="F71" s="342">
        <f t="shared" si="31"/>
        <v>0</v>
      </c>
      <c r="G71" s="342">
        <f t="shared" si="27"/>
        <v>0</v>
      </c>
      <c r="H71" s="342">
        <f t="shared" si="28"/>
        <v>0</v>
      </c>
    </row>
    <row r="74" spans="1:9" ht="15.75">
      <c r="B74" s="336" t="s">
        <v>1042</v>
      </c>
      <c r="C74" s="336" t="s">
        <v>1052</v>
      </c>
      <c r="D74" s="336" t="s">
        <v>1004</v>
      </c>
    </row>
    <row r="75" spans="1:9" ht="15.75">
      <c r="A75" s="51" t="s">
        <v>1135</v>
      </c>
      <c r="B75" s="303">
        <f>+B6</f>
        <v>4.1300000000000003E-2</v>
      </c>
      <c r="C75" s="303">
        <v>0.02</v>
      </c>
      <c r="D75" s="303">
        <f>+B75+C75</f>
        <v>6.1300000000000007E-2</v>
      </c>
    </row>
    <row r="76" spans="1:9">
      <c r="A76" s="342">
        <f>+Balance!I31</f>
        <v>0</v>
      </c>
    </row>
    <row r="77" spans="1:9" ht="16.5" thickBot="1">
      <c r="B77" s="68" t="s">
        <v>1053</v>
      </c>
      <c r="C77" s="68" t="s">
        <v>1054</v>
      </c>
      <c r="D77" s="68" t="s">
        <v>1055</v>
      </c>
      <c r="E77" s="68" t="s">
        <v>1056</v>
      </c>
      <c r="F77" s="68" t="s">
        <v>1057</v>
      </c>
      <c r="G77" s="336" t="s">
        <v>1074</v>
      </c>
      <c r="H77" s="336" t="s">
        <v>1075</v>
      </c>
      <c r="I77" s="362"/>
    </row>
    <row r="78" spans="1:9">
      <c r="B78">
        <v>2014</v>
      </c>
      <c r="C78" s="303">
        <f t="array" ref="C78:C88">+TRANSPOSE('Conv DTF'!B14:L14)</f>
        <v>4.6576088972059226E-2</v>
      </c>
      <c r="D78" s="342"/>
      <c r="E78" s="342">
        <f>+F26*C78</f>
        <v>0</v>
      </c>
      <c r="F78" s="342">
        <f>+A76</f>
        <v>0</v>
      </c>
      <c r="G78" s="362">
        <f>+D79</f>
        <v>0</v>
      </c>
      <c r="H78" s="362">
        <f>+F78-G78</f>
        <v>0</v>
      </c>
      <c r="I78" s="362"/>
    </row>
    <row r="79" spans="1:9">
      <c r="B79">
        <f>+B78+1</f>
        <v>2015</v>
      </c>
      <c r="C79" s="303">
        <v>5.4928743078946463E-2</v>
      </c>
      <c r="D79" s="342">
        <f>-I79</f>
        <v>0</v>
      </c>
      <c r="E79" s="342">
        <f>+F78*C79</f>
        <v>0</v>
      </c>
      <c r="F79" s="342">
        <f>+F78-D79</f>
        <v>0</v>
      </c>
      <c r="G79" s="362">
        <f t="shared" ref="G79:G85" si="32">+D80</f>
        <v>-1.1823431123048067E-11</v>
      </c>
      <c r="H79" s="362">
        <f t="shared" ref="H79:H85" si="33">+F79-G79</f>
        <v>1.1823431123048067E-11</v>
      </c>
      <c r="I79" s="362">
        <f>+Balance!J31-Balance!I31</f>
        <v>0</v>
      </c>
    </row>
    <row r="80" spans="1:9">
      <c r="B80">
        <f t="shared" ref="B80:B88" si="34">+B79+1</f>
        <v>2016</v>
      </c>
      <c r="C80" s="303">
        <v>5.8853520323077779E-2</v>
      </c>
      <c r="D80" s="342">
        <f t="shared" ref="D80:D88" si="35">-I80</f>
        <v>-1.1823431123048067E-11</v>
      </c>
      <c r="E80" s="342">
        <f t="shared" ref="E80:E85" si="36">+F79*C80</f>
        <v>0</v>
      </c>
      <c r="F80" s="342">
        <f t="shared" ref="F80:F85" si="37">+F79-D80</f>
        <v>1.1823431123048067E-11</v>
      </c>
      <c r="G80" s="362">
        <f t="shared" si="32"/>
        <v>9.0949470177292824E-12</v>
      </c>
      <c r="H80" s="362">
        <f t="shared" si="33"/>
        <v>2.7284841053187847E-12</v>
      </c>
      <c r="I80" s="362">
        <f>+Balance!K31-Balance!J31</f>
        <v>1.1823431123048067E-11</v>
      </c>
    </row>
    <row r="81" spans="2:9">
      <c r="B81">
        <f t="shared" si="34"/>
        <v>2017</v>
      </c>
      <c r="C81" s="303">
        <v>5.6438270058827733E-2</v>
      </c>
      <c r="D81" s="342">
        <f t="shared" si="35"/>
        <v>9.0949470177292824E-12</v>
      </c>
      <c r="E81" s="342">
        <f t="shared" si="36"/>
        <v>6.6729399874453568E-13</v>
      </c>
      <c r="F81" s="342">
        <f t="shared" si="37"/>
        <v>2.7284841053187847E-12</v>
      </c>
      <c r="G81" s="362">
        <f t="shared" si="32"/>
        <v>1.8189894035458565E-12</v>
      </c>
      <c r="H81" s="362">
        <f t="shared" si="33"/>
        <v>9.0949470177292824E-13</v>
      </c>
      <c r="I81" s="362">
        <f>+Balance!L31-Balance!K31</f>
        <v>-9.0949470177292824E-12</v>
      </c>
    </row>
    <row r="82" spans="2:9">
      <c r="B82">
        <f t="shared" si="34"/>
        <v>2018</v>
      </c>
      <c r="C82" s="303">
        <v>5.3922393656647305E-2</v>
      </c>
      <c r="D82" s="342">
        <f t="shared" si="35"/>
        <v>1.8189894035458565E-12</v>
      </c>
      <c r="E82" s="342">
        <f t="shared" si="36"/>
        <v>1.4712639401290463E-13</v>
      </c>
      <c r="F82" s="342">
        <f t="shared" si="37"/>
        <v>9.0949470177292824E-13</v>
      </c>
      <c r="G82" s="362">
        <f t="shared" si="32"/>
        <v>9.0949470177292824E-13</v>
      </c>
      <c r="H82" s="362">
        <f t="shared" si="33"/>
        <v>0</v>
      </c>
      <c r="I82" s="362">
        <f>+Balance!M31-Balance!L31</f>
        <v>-1.8189894035458565E-12</v>
      </c>
    </row>
    <row r="83" spans="2:9">
      <c r="B83">
        <f t="shared" si="34"/>
        <v>2019</v>
      </c>
      <c r="C83" s="303">
        <v>4.8890669357281924E-2</v>
      </c>
      <c r="D83" s="342">
        <f t="shared" si="35"/>
        <v>9.0949470177292824E-13</v>
      </c>
      <c r="E83" s="342">
        <f t="shared" si="36"/>
        <v>4.4465804746579965E-14</v>
      </c>
      <c r="F83" s="342">
        <f t="shared" si="37"/>
        <v>0</v>
      </c>
      <c r="G83" s="362">
        <f t="shared" si="32"/>
        <v>0</v>
      </c>
      <c r="H83" s="362">
        <f t="shared" si="33"/>
        <v>0</v>
      </c>
      <c r="I83" s="362">
        <f>+Balance!N31-Balance!M31</f>
        <v>-9.0949470177292824E-13</v>
      </c>
    </row>
    <row r="84" spans="2:9">
      <c r="B84">
        <f t="shared" si="34"/>
        <v>2020</v>
      </c>
      <c r="C84" s="303">
        <v>4.8890669357281924E-2</v>
      </c>
      <c r="D84" s="342">
        <f t="shared" si="35"/>
        <v>0</v>
      </c>
      <c r="E84" s="342">
        <f t="shared" si="36"/>
        <v>0</v>
      </c>
      <c r="F84" s="342">
        <f t="shared" si="37"/>
        <v>0</v>
      </c>
      <c r="G84" s="362">
        <f t="shared" si="32"/>
        <v>-1.546140993013978E-11</v>
      </c>
      <c r="H84" s="362">
        <f t="shared" si="33"/>
        <v>1.546140993013978E-11</v>
      </c>
      <c r="I84" s="362">
        <f>+Balance!O31-Balance!N31</f>
        <v>0</v>
      </c>
    </row>
    <row r="85" spans="2:9">
      <c r="B85">
        <f t="shared" si="34"/>
        <v>2021</v>
      </c>
      <c r="C85" s="303">
        <v>4.8890669357281924E-2</v>
      </c>
      <c r="D85" s="342">
        <f t="shared" si="35"/>
        <v>-1.546140993013978E-11</v>
      </c>
      <c r="E85" s="342">
        <f t="shared" si="36"/>
        <v>0</v>
      </c>
      <c r="F85" s="342">
        <f t="shared" si="37"/>
        <v>1.546140993013978E-11</v>
      </c>
      <c r="G85" s="362">
        <f t="shared" si="32"/>
        <v>7.73070496506989E-12</v>
      </c>
      <c r="H85" s="362">
        <f t="shared" si="33"/>
        <v>7.73070496506989E-12</v>
      </c>
      <c r="I85" s="362">
        <f>+Balance!P31-Balance!O31</f>
        <v>1.546140993013978E-11</v>
      </c>
    </row>
    <row r="86" spans="2:9">
      <c r="B86">
        <f t="shared" si="34"/>
        <v>2022</v>
      </c>
      <c r="C86" s="303">
        <v>4.8890669357281924E-2</v>
      </c>
      <c r="D86" s="342">
        <f t="shared" si="35"/>
        <v>7.73070496506989E-12</v>
      </c>
      <c r="E86" s="342">
        <f>+F85*C86</f>
        <v>7.559186806918594E-13</v>
      </c>
      <c r="F86" s="342">
        <f>+F85-D86</f>
        <v>7.73070496506989E-12</v>
      </c>
      <c r="G86" s="362">
        <f>+D89</f>
        <v>0</v>
      </c>
      <c r="H86" s="362">
        <f>+F86-G86</f>
        <v>7.73070496506989E-12</v>
      </c>
      <c r="I86" s="362">
        <f>+Balance!Q31-Balance!P31</f>
        <v>-7.73070496506989E-12</v>
      </c>
    </row>
    <row r="87" spans="2:9">
      <c r="B87">
        <f t="shared" si="34"/>
        <v>2023</v>
      </c>
      <c r="C87" s="303">
        <v>4.8890669357281924E-2</v>
      </c>
      <c r="D87" s="342">
        <f t="shared" si="35"/>
        <v>4.0927261579781771E-12</v>
      </c>
      <c r="E87" s="342">
        <f>+F86*C87</f>
        <v>3.779593403459297E-13</v>
      </c>
      <c r="F87" s="342">
        <f>+F86-D87</f>
        <v>3.637978807091713E-12</v>
      </c>
      <c r="G87" s="362"/>
      <c r="H87" s="362"/>
      <c r="I87" s="362">
        <f>+Balance!R31-Balance!Q31</f>
        <v>-4.0927261579781771E-12</v>
      </c>
    </row>
    <row r="88" spans="2:9">
      <c r="B88">
        <f t="shared" si="34"/>
        <v>2024</v>
      </c>
      <c r="C88" s="303">
        <v>4.8890669357281924E-2</v>
      </c>
      <c r="D88" s="342">
        <f t="shared" si="35"/>
        <v>3.637978807091713E-12</v>
      </c>
      <c r="E88" s="342">
        <f>+F87*C88</f>
        <v>1.7786321898631986E-13</v>
      </c>
      <c r="F88" s="342">
        <f>+F87-D88</f>
        <v>0</v>
      </c>
      <c r="G88" s="362"/>
      <c r="H88" s="362"/>
      <c r="I88" s="362">
        <f>+Balance!S31-Balance!R31</f>
        <v>-3.637978807091713E-12</v>
      </c>
    </row>
    <row r="90" spans="2:9" ht="16.5" thickBot="1">
      <c r="B90" s="68" t="s">
        <v>1040</v>
      </c>
      <c r="C90" s="68" t="s">
        <v>1024</v>
      </c>
      <c r="D90" s="68" t="s">
        <v>1078</v>
      </c>
      <c r="E90" s="68" t="s">
        <v>352</v>
      </c>
      <c r="F90" s="68" t="s">
        <v>1136</v>
      </c>
      <c r="G90" s="68" t="s">
        <v>1143</v>
      </c>
      <c r="H90" s="68" t="s">
        <v>1144</v>
      </c>
      <c r="I90" s="68" t="s">
        <v>1145</v>
      </c>
    </row>
    <row r="91" spans="2:9">
      <c r="B91">
        <f>+B64</f>
        <v>2014</v>
      </c>
      <c r="C91" s="342">
        <f t="shared" ref="C91:C101" si="38">+E21</f>
        <v>286.37909999999999</v>
      </c>
      <c r="D91" s="342">
        <f t="shared" ref="D91:D101" si="39">+E51</f>
        <v>82.600000000000009</v>
      </c>
      <c r="E91" s="342">
        <f t="shared" ref="E91:E98" si="40">+E64</f>
        <v>110.66335000000001</v>
      </c>
      <c r="F91" s="342">
        <f t="shared" ref="F91:F99" si="41">+E78</f>
        <v>0</v>
      </c>
      <c r="G91" s="342">
        <f t="shared" ref="G91:G101" si="42">SUM(C91:F91)</f>
        <v>479.64245000000005</v>
      </c>
      <c r="H91" s="342">
        <f t="shared" ref="H91:H101" si="43">+L36</f>
        <v>2040.6644752000036</v>
      </c>
      <c r="I91" s="342">
        <f t="shared" ref="I91:I101" si="44">+G91+H91</f>
        <v>2520.3069252000037</v>
      </c>
    </row>
    <row r="92" spans="2:9">
      <c r="B92">
        <f t="shared" ref="B92:B101" si="45">+B91+1</f>
        <v>2015</v>
      </c>
      <c r="C92" s="342">
        <f t="shared" si="38"/>
        <v>0</v>
      </c>
      <c r="D92" s="342">
        <f t="shared" si="39"/>
        <v>86.8</v>
      </c>
      <c r="E92" s="342">
        <f t="shared" si="40"/>
        <v>116.2872</v>
      </c>
      <c r="F92" s="342">
        <f t="shared" si="41"/>
        <v>0</v>
      </c>
      <c r="G92" s="342">
        <f t="shared" si="42"/>
        <v>203.0872</v>
      </c>
      <c r="H92" s="342">
        <f t="shared" si="43"/>
        <v>1917.0774140772046</v>
      </c>
      <c r="I92" s="342">
        <f t="shared" si="44"/>
        <v>2120.1646140772045</v>
      </c>
    </row>
    <row r="93" spans="2:9">
      <c r="B93">
        <f t="shared" si="45"/>
        <v>2016</v>
      </c>
      <c r="C93" s="342">
        <f t="shared" si="38"/>
        <v>0</v>
      </c>
      <c r="D93" s="342">
        <f t="shared" si="39"/>
        <v>80.25</v>
      </c>
      <c r="E93" s="342">
        <f t="shared" si="40"/>
        <v>107.50825</v>
      </c>
      <c r="F93" s="342">
        <f t="shared" si="41"/>
        <v>0</v>
      </c>
      <c r="G93" s="342">
        <f t="shared" si="42"/>
        <v>187.75825</v>
      </c>
      <c r="H93" s="342">
        <f t="shared" si="43"/>
        <v>1660.6374596630023</v>
      </c>
      <c r="I93" s="342">
        <f t="shared" si="44"/>
        <v>1848.3957096630024</v>
      </c>
    </row>
    <row r="94" spans="2:9">
      <c r="B94">
        <f t="shared" si="45"/>
        <v>2017</v>
      </c>
      <c r="C94" s="342">
        <f t="shared" si="38"/>
        <v>0</v>
      </c>
      <c r="D94" s="342">
        <f t="shared" si="39"/>
        <v>63.875</v>
      </c>
      <c r="E94" s="342">
        <f t="shared" si="40"/>
        <v>85.566950000000006</v>
      </c>
      <c r="F94" s="342">
        <f t="shared" si="41"/>
        <v>6.6729399874453568E-13</v>
      </c>
      <c r="G94" s="342">
        <f t="shared" si="42"/>
        <v>149.44195000000067</v>
      </c>
      <c r="H94" s="342">
        <f t="shared" si="43"/>
        <v>1410.3021504000026</v>
      </c>
      <c r="I94" s="342">
        <f t="shared" si="44"/>
        <v>1559.7441004000032</v>
      </c>
    </row>
    <row r="95" spans="2:9">
      <c r="B95">
        <f t="shared" si="45"/>
        <v>2018</v>
      </c>
      <c r="C95" s="342">
        <f t="shared" si="38"/>
        <v>0</v>
      </c>
      <c r="D95" s="342">
        <f t="shared" si="39"/>
        <v>48.599999999999994</v>
      </c>
      <c r="E95" s="342">
        <f t="shared" si="40"/>
        <v>65.099699999999999</v>
      </c>
      <c r="F95" s="342">
        <f t="shared" si="41"/>
        <v>1.4712639401290463E-13</v>
      </c>
      <c r="G95" s="342">
        <f t="shared" si="42"/>
        <v>113.69970000000013</v>
      </c>
      <c r="H95" s="342">
        <f t="shared" si="43"/>
        <v>1141.0217706368044</v>
      </c>
      <c r="I95" s="342">
        <f t="shared" si="44"/>
        <v>1254.7214706368045</v>
      </c>
    </row>
    <row r="96" spans="2:9">
      <c r="B96">
        <f t="shared" si="45"/>
        <v>2019</v>
      </c>
      <c r="C96" s="342">
        <f t="shared" si="38"/>
        <v>0</v>
      </c>
      <c r="D96" s="342">
        <f t="shared" si="39"/>
        <v>32.700000000000003</v>
      </c>
      <c r="E96" s="342">
        <f t="shared" si="40"/>
        <v>43.796199999999999</v>
      </c>
      <c r="F96" s="342">
        <f t="shared" si="41"/>
        <v>4.4465804746579965E-14</v>
      </c>
      <c r="G96" s="342">
        <f t="shared" si="42"/>
        <v>76.496200000000044</v>
      </c>
      <c r="H96" s="342">
        <f t="shared" si="43"/>
        <v>882.31073325320438</v>
      </c>
      <c r="I96" s="342">
        <f t="shared" si="44"/>
        <v>958.80693325320442</v>
      </c>
    </row>
    <row r="97" spans="1:12">
      <c r="B97">
        <f t="shared" si="45"/>
        <v>2020</v>
      </c>
      <c r="C97" s="342">
        <f t="shared" si="38"/>
        <v>0</v>
      </c>
      <c r="D97" s="342">
        <f t="shared" si="39"/>
        <v>21.8</v>
      </c>
      <c r="E97" s="342">
        <f t="shared" si="40"/>
        <v>29.190200000000001</v>
      </c>
      <c r="F97" s="342">
        <f t="shared" si="41"/>
        <v>0</v>
      </c>
      <c r="G97" s="342">
        <f t="shared" si="42"/>
        <v>50.990200000000002</v>
      </c>
      <c r="H97" s="342">
        <f t="shared" si="43"/>
        <v>705.8485866025635</v>
      </c>
      <c r="I97" s="342">
        <f t="shared" si="44"/>
        <v>756.83878660256346</v>
      </c>
    </row>
    <row r="98" spans="1:12">
      <c r="B98">
        <f t="shared" si="45"/>
        <v>2021</v>
      </c>
      <c r="C98" s="342">
        <f t="shared" si="38"/>
        <v>0</v>
      </c>
      <c r="D98" s="342">
        <f t="shared" si="39"/>
        <v>10.9</v>
      </c>
      <c r="E98" s="342">
        <f t="shared" si="40"/>
        <v>14.584199999999999</v>
      </c>
      <c r="F98" s="342">
        <f t="shared" si="41"/>
        <v>0</v>
      </c>
      <c r="G98" s="342">
        <f t="shared" si="42"/>
        <v>25.484200000000001</v>
      </c>
      <c r="H98" s="342">
        <f t="shared" si="43"/>
        <v>529.38643995192251</v>
      </c>
      <c r="I98" s="342">
        <f t="shared" si="44"/>
        <v>554.8706399519225</v>
      </c>
    </row>
    <row r="99" spans="1:12">
      <c r="B99">
        <f t="shared" si="45"/>
        <v>2022</v>
      </c>
      <c r="C99" s="342">
        <f t="shared" si="38"/>
        <v>0</v>
      </c>
      <c r="D99" s="342">
        <f t="shared" si="39"/>
        <v>0</v>
      </c>
      <c r="E99" s="342"/>
      <c r="F99" s="342">
        <f t="shared" si="41"/>
        <v>7.559186806918594E-13</v>
      </c>
      <c r="G99" s="342">
        <f t="shared" si="42"/>
        <v>7.559186806918594E-13</v>
      </c>
      <c r="H99" s="342">
        <f t="shared" si="43"/>
        <v>352.92429330128175</v>
      </c>
      <c r="I99" s="342">
        <f t="shared" si="44"/>
        <v>352.92429330128249</v>
      </c>
    </row>
    <row r="100" spans="1:12">
      <c r="B100">
        <f t="shared" si="45"/>
        <v>2023</v>
      </c>
      <c r="C100" s="342">
        <f t="shared" si="38"/>
        <v>0</v>
      </c>
      <c r="D100" s="342">
        <f t="shared" si="39"/>
        <v>0</v>
      </c>
      <c r="E100" s="342"/>
      <c r="F100" s="342"/>
      <c r="G100" s="342">
        <f t="shared" si="42"/>
        <v>0</v>
      </c>
      <c r="H100" s="342">
        <f t="shared" si="43"/>
        <v>176.4621466506409</v>
      </c>
      <c r="I100" s="342">
        <f t="shared" si="44"/>
        <v>176.4621466506409</v>
      </c>
    </row>
    <row r="101" spans="1:12" ht="15.75" thickBot="1">
      <c r="B101">
        <f t="shared" si="45"/>
        <v>2024</v>
      </c>
      <c r="C101" s="342">
        <f t="shared" si="38"/>
        <v>0</v>
      </c>
      <c r="D101" s="342">
        <f t="shared" si="39"/>
        <v>0</v>
      </c>
      <c r="E101" s="342"/>
      <c r="F101" s="342"/>
      <c r="G101" s="342">
        <f t="shared" si="42"/>
        <v>0</v>
      </c>
      <c r="H101" s="342">
        <f t="shared" si="43"/>
        <v>0</v>
      </c>
      <c r="I101" s="342">
        <f t="shared" si="44"/>
        <v>0</v>
      </c>
    </row>
    <row r="102" spans="1:12" ht="16.5" thickBot="1">
      <c r="B102" s="413" t="s">
        <v>1004</v>
      </c>
      <c r="C102" s="414">
        <f t="shared" ref="C102:I102" si="46">SUM(C91:C101)</f>
        <v>286.37909999999999</v>
      </c>
      <c r="D102" s="414">
        <f t="shared" si="46"/>
        <v>427.52499999999998</v>
      </c>
      <c r="E102" s="414">
        <f t="shared" si="46"/>
        <v>572.69605000000001</v>
      </c>
      <c r="F102" s="414">
        <f t="shared" si="46"/>
        <v>1.6148048781958797E-12</v>
      </c>
      <c r="G102" s="414">
        <f t="shared" si="46"/>
        <v>1286.6001500000016</v>
      </c>
      <c r="H102" s="414">
        <f t="shared" si="46"/>
        <v>10816.63546973663</v>
      </c>
      <c r="I102" s="414">
        <f t="shared" si="46"/>
        <v>12103.235619736635</v>
      </c>
    </row>
    <row r="105" spans="1:12" ht="15.75" thickBot="1"/>
    <row r="106" spans="1:12" ht="16.5" thickBot="1">
      <c r="A106" s="411" t="s">
        <v>1126</v>
      </c>
      <c r="B106" s="412">
        <f>+Proyecciones!B63*Resultados!H6/360</f>
        <v>91964.061100711275</v>
      </c>
      <c r="C106" s="412">
        <f>+Proyecciones!C63*Resultados!I6/360</f>
        <v>95207.563000320108</v>
      </c>
      <c r="D106" s="412">
        <f>+Proyecciones!D63*Resultados!J6/360</f>
        <v>98062.956355060218</v>
      </c>
      <c r="E106" s="412">
        <f>+Proyecciones!E63*Resultados!K6/360</f>
        <v>100622.44402962577</v>
      </c>
      <c r="F106" s="412">
        <f>+Proyecciones!F63*Resultados!L6/360</f>
        <v>102438.8041194429</v>
      </c>
      <c r="G106" s="412">
        <f>+Proyecciones!G63*Resultados!M6/360</f>
        <v>104389.09630676314</v>
      </c>
      <c r="H106" s="412">
        <f>+Proyecciones!H63*Resultados!N6/360</f>
        <v>109817.08417399623</v>
      </c>
      <c r="I106" s="412">
        <f>+Proyecciones!I63*Resultados!O6/360</f>
        <v>115551.73025030032</v>
      </c>
      <c r="J106" s="412">
        <f>+Proyecciones!J63*Resultados!P6/360</f>
        <v>121611.36861339083</v>
      </c>
      <c r="K106" s="412">
        <f>+Proyecciones!K63*Resultados!Q6/360</f>
        <v>128015.46859334655</v>
      </c>
      <c r="L106" s="412">
        <f>+Proyecciones!L63*Resultados!R6/360</f>
        <v>134784.70653275002</v>
      </c>
    </row>
  </sheetData>
  <phoneticPr fontId="65"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M14"/>
  <sheetViews>
    <sheetView showGridLines="0" zoomScale="70" zoomScaleNormal="70" workbookViewId="0">
      <selection activeCell="F26" sqref="F26"/>
    </sheetView>
  </sheetViews>
  <sheetFormatPr baseColWidth="10" defaultRowHeight="15"/>
  <cols>
    <col min="1" max="1" width="7.77734375" customWidth="1"/>
    <col min="13" max="13" width="6.5546875" bestFit="1" customWidth="1"/>
  </cols>
  <sheetData>
    <row r="1" spans="1:13" ht="15.75">
      <c r="A1" s="51" t="str">
        <f>+'Proyecc Deuda'!A1</f>
        <v>ENKA de Colombia S.A.</v>
      </c>
    </row>
    <row r="3" spans="1:13" ht="15.75">
      <c r="A3" s="382" t="s">
        <v>191</v>
      </c>
      <c r="B3" s="384">
        <f>+'Proyecc Deuda'!B6</f>
        <v>4.1300000000000003E-2</v>
      </c>
      <c r="C3" s="384">
        <f>+'Proyecc Deuda'!C6</f>
        <v>4.9599999999999998E-2</v>
      </c>
      <c r="D3" s="384">
        <f>+'Proyecc Deuda'!D6</f>
        <v>5.3499999999999999E-2</v>
      </c>
      <c r="E3" s="384">
        <f>+'Proyecc Deuda'!E6</f>
        <v>5.11E-2</v>
      </c>
      <c r="F3" s="384">
        <f>+'Proyecc Deuda'!F6</f>
        <v>4.8599999999999997E-2</v>
      </c>
      <c r="G3" s="384">
        <f>+'Proyecc Deuda'!G6</f>
        <v>4.36E-2</v>
      </c>
      <c r="H3" s="384">
        <f>+'Proyecc Deuda'!H6</f>
        <v>4.36E-2</v>
      </c>
      <c r="I3" s="384">
        <f>+'Proyecc Deuda'!I6</f>
        <v>4.36E-2</v>
      </c>
      <c r="J3" s="384">
        <f>+'Proyecc Deuda'!J6</f>
        <v>4.36E-2</v>
      </c>
      <c r="K3" s="384">
        <f>+'Proyecc Deuda'!K6</f>
        <v>4.36E-2</v>
      </c>
      <c r="L3" s="384">
        <f>+'Proyecc Deuda'!L6</f>
        <v>4.36E-2</v>
      </c>
      <c r="M3" s="383" t="s">
        <v>1130</v>
      </c>
    </row>
    <row r="4" spans="1:13" ht="15.75">
      <c r="A4" s="382" t="s">
        <v>1052</v>
      </c>
      <c r="B4" s="384">
        <v>5.0000000000000001E-3</v>
      </c>
      <c r="C4" s="384">
        <f t="shared" ref="C4:L4" si="0">+B4</f>
        <v>5.0000000000000001E-3</v>
      </c>
      <c r="D4" s="384">
        <f t="shared" si="0"/>
        <v>5.0000000000000001E-3</v>
      </c>
      <c r="E4" s="384">
        <f t="shared" si="0"/>
        <v>5.0000000000000001E-3</v>
      </c>
      <c r="F4" s="384">
        <f t="shared" si="0"/>
        <v>5.0000000000000001E-3</v>
      </c>
      <c r="G4" s="384">
        <f t="shared" si="0"/>
        <v>5.0000000000000001E-3</v>
      </c>
      <c r="H4" s="384">
        <f t="shared" si="0"/>
        <v>5.0000000000000001E-3</v>
      </c>
      <c r="I4" s="384">
        <f t="shared" si="0"/>
        <v>5.0000000000000001E-3</v>
      </c>
      <c r="J4" s="384">
        <f t="shared" si="0"/>
        <v>5.0000000000000001E-3</v>
      </c>
      <c r="K4" s="384">
        <f t="shared" si="0"/>
        <v>5.0000000000000001E-3</v>
      </c>
      <c r="L4" s="384">
        <f t="shared" si="0"/>
        <v>5.0000000000000001E-3</v>
      </c>
      <c r="M4" s="383" t="s">
        <v>1131</v>
      </c>
    </row>
    <row r="5" spans="1:13" ht="16.5" thickBot="1">
      <c r="A5" s="383"/>
      <c r="B5" s="383"/>
      <c r="C5" s="383"/>
      <c r="D5" s="383"/>
      <c r="E5" s="383"/>
      <c r="F5" s="383"/>
      <c r="G5" s="383"/>
      <c r="H5" s="383"/>
      <c r="I5" s="383"/>
      <c r="J5" s="383"/>
      <c r="K5" s="383"/>
      <c r="L5" s="383"/>
      <c r="M5" s="383"/>
    </row>
    <row r="6" spans="1:13" ht="15.75">
      <c r="B6" s="385">
        <v>2014</v>
      </c>
      <c r="C6" s="391">
        <f t="shared" ref="C6:L6" si="1">+B6+1</f>
        <v>2015</v>
      </c>
      <c r="D6" s="391">
        <f t="shared" si="1"/>
        <v>2016</v>
      </c>
      <c r="E6" s="391">
        <f t="shared" si="1"/>
        <v>2017</v>
      </c>
      <c r="F6" s="391">
        <f t="shared" si="1"/>
        <v>2018</v>
      </c>
      <c r="G6" s="391">
        <f t="shared" si="1"/>
        <v>2019</v>
      </c>
      <c r="H6" s="391">
        <f t="shared" si="1"/>
        <v>2020</v>
      </c>
      <c r="I6" s="391">
        <f t="shared" si="1"/>
        <v>2021</v>
      </c>
      <c r="J6" s="391">
        <f t="shared" si="1"/>
        <v>2022</v>
      </c>
      <c r="K6" s="391">
        <f t="shared" si="1"/>
        <v>2023</v>
      </c>
      <c r="L6" s="391">
        <f t="shared" si="1"/>
        <v>2024</v>
      </c>
      <c r="M6" s="386" t="s">
        <v>1132</v>
      </c>
    </row>
    <row r="7" spans="1:13" ht="15.75">
      <c r="B7" s="387">
        <f>+B3</f>
        <v>4.1300000000000003E-2</v>
      </c>
      <c r="C7" s="392">
        <f t="shared" ref="C7:L7" si="2">+C3</f>
        <v>4.9599999999999998E-2</v>
      </c>
      <c r="D7" s="392">
        <f t="shared" si="2"/>
        <v>5.3499999999999999E-2</v>
      </c>
      <c r="E7" s="392">
        <f t="shared" si="2"/>
        <v>5.11E-2</v>
      </c>
      <c r="F7" s="392">
        <f t="shared" si="2"/>
        <v>4.8599999999999997E-2</v>
      </c>
      <c r="G7" s="392">
        <f t="shared" si="2"/>
        <v>4.36E-2</v>
      </c>
      <c r="H7" s="392">
        <f t="shared" si="2"/>
        <v>4.36E-2</v>
      </c>
      <c r="I7" s="392">
        <f t="shared" si="2"/>
        <v>4.36E-2</v>
      </c>
      <c r="J7" s="392">
        <f t="shared" si="2"/>
        <v>4.36E-2</v>
      </c>
      <c r="K7" s="392">
        <f t="shared" si="2"/>
        <v>4.36E-2</v>
      </c>
      <c r="L7" s="392">
        <f t="shared" si="2"/>
        <v>4.36E-2</v>
      </c>
      <c r="M7" s="388" t="s">
        <v>1130</v>
      </c>
    </row>
    <row r="8" spans="1:13" ht="15.75">
      <c r="B8" s="389">
        <f>+(1+B7)^(1/4)-1</f>
        <v>1.0168837918541618E-2</v>
      </c>
      <c r="C8" s="392">
        <f t="shared" ref="C8:L8" si="3">+(1+C7)^(1/4)-1</f>
        <v>1.2175813774097266E-2</v>
      </c>
      <c r="D8" s="392">
        <f t="shared" si="3"/>
        <v>1.3114742219785702E-2</v>
      </c>
      <c r="E8" s="392">
        <f t="shared" si="3"/>
        <v>1.2537249257323024E-2</v>
      </c>
      <c r="F8" s="392">
        <f t="shared" si="3"/>
        <v>1.193464150751633E-2</v>
      </c>
      <c r="G8" s="392">
        <f t="shared" si="3"/>
        <v>1.0726186031494223E-2</v>
      </c>
      <c r="H8" s="392">
        <f t="shared" si="3"/>
        <v>1.0726186031494223E-2</v>
      </c>
      <c r="I8" s="392">
        <f t="shared" si="3"/>
        <v>1.0726186031494223E-2</v>
      </c>
      <c r="J8" s="392">
        <f t="shared" si="3"/>
        <v>1.0726186031494223E-2</v>
      </c>
      <c r="K8" s="392">
        <f t="shared" si="3"/>
        <v>1.0726186031494223E-2</v>
      </c>
      <c r="L8" s="392">
        <f t="shared" si="3"/>
        <v>1.0726186031494223E-2</v>
      </c>
      <c r="M8" s="390" t="s">
        <v>1133</v>
      </c>
    </row>
    <row r="9" spans="1:13" ht="15.75">
      <c r="B9" s="389">
        <f>+B8/(1+B8)</f>
        <v>1.0066473580292343E-2</v>
      </c>
      <c r="C9" s="392">
        <f t="shared" ref="C9:L9" si="4">+C8/(1+C8)</f>
        <v>1.2029346688988094E-2</v>
      </c>
      <c r="D9" s="392">
        <f t="shared" si="4"/>
        <v>1.2944972245740535E-2</v>
      </c>
      <c r="E9" s="392">
        <f t="shared" si="4"/>
        <v>1.2382012875594315E-2</v>
      </c>
      <c r="F9" s="392">
        <f t="shared" si="4"/>
        <v>1.1793885709591733E-2</v>
      </c>
      <c r="G9" s="392">
        <f t="shared" si="4"/>
        <v>1.0612355927582542E-2</v>
      </c>
      <c r="H9" s="392">
        <f t="shared" si="4"/>
        <v>1.0612355927582542E-2</v>
      </c>
      <c r="I9" s="392">
        <f t="shared" si="4"/>
        <v>1.0612355927582542E-2</v>
      </c>
      <c r="J9" s="392">
        <f t="shared" si="4"/>
        <v>1.0612355927582542E-2</v>
      </c>
      <c r="K9" s="392">
        <f t="shared" si="4"/>
        <v>1.0612355927582542E-2</v>
      </c>
      <c r="L9" s="392">
        <f t="shared" si="4"/>
        <v>1.0612355927582542E-2</v>
      </c>
      <c r="M9" s="390" t="s">
        <v>1134</v>
      </c>
    </row>
    <row r="10" spans="1:13" ht="15.75">
      <c r="B10" s="389">
        <f>+B9*4</f>
        <v>4.0265894321169372E-2</v>
      </c>
      <c r="C10" s="392">
        <f t="shared" ref="C10:L10" si="5">+C9*4</f>
        <v>4.8117386755952375E-2</v>
      </c>
      <c r="D10" s="392">
        <f t="shared" si="5"/>
        <v>5.1779888982962138E-2</v>
      </c>
      <c r="E10" s="392">
        <f t="shared" si="5"/>
        <v>4.9528051502377261E-2</v>
      </c>
      <c r="F10" s="392">
        <f t="shared" si="5"/>
        <v>4.7175542838366932E-2</v>
      </c>
      <c r="G10" s="392">
        <f t="shared" si="5"/>
        <v>4.244942371033017E-2</v>
      </c>
      <c r="H10" s="392">
        <f t="shared" si="5"/>
        <v>4.244942371033017E-2</v>
      </c>
      <c r="I10" s="392">
        <f t="shared" si="5"/>
        <v>4.244942371033017E-2</v>
      </c>
      <c r="J10" s="392">
        <f t="shared" si="5"/>
        <v>4.244942371033017E-2</v>
      </c>
      <c r="K10" s="392">
        <f t="shared" si="5"/>
        <v>4.244942371033017E-2</v>
      </c>
      <c r="L10" s="392">
        <f t="shared" si="5"/>
        <v>4.244942371033017E-2</v>
      </c>
      <c r="M10" s="390" t="s">
        <v>1131</v>
      </c>
    </row>
    <row r="11" spans="1:13" ht="15.75">
      <c r="B11" s="389">
        <f>+B10+B4</f>
        <v>4.526589432116937E-2</v>
      </c>
      <c r="C11" s="392">
        <f t="shared" ref="C11:L11" si="6">+C10+C4</f>
        <v>5.3117386755952373E-2</v>
      </c>
      <c r="D11" s="392">
        <f t="shared" si="6"/>
        <v>5.6779888982962136E-2</v>
      </c>
      <c r="E11" s="392">
        <f t="shared" si="6"/>
        <v>5.4528051502377259E-2</v>
      </c>
      <c r="F11" s="392">
        <f t="shared" si="6"/>
        <v>5.217554283836693E-2</v>
      </c>
      <c r="G11" s="392">
        <f t="shared" si="6"/>
        <v>4.7449423710330167E-2</v>
      </c>
      <c r="H11" s="392">
        <f t="shared" si="6"/>
        <v>4.7449423710330167E-2</v>
      </c>
      <c r="I11" s="392">
        <f t="shared" si="6"/>
        <v>4.7449423710330167E-2</v>
      </c>
      <c r="J11" s="392">
        <f t="shared" si="6"/>
        <v>4.7449423710330167E-2</v>
      </c>
      <c r="K11" s="392">
        <f t="shared" si="6"/>
        <v>4.7449423710330167E-2</v>
      </c>
      <c r="L11" s="392">
        <f t="shared" si="6"/>
        <v>4.7449423710330167E-2</v>
      </c>
      <c r="M11" s="390" t="s">
        <v>1131</v>
      </c>
    </row>
    <row r="12" spans="1:13" ht="15.75">
      <c r="B12" s="389">
        <f>+B11/4</f>
        <v>1.1316473580292342E-2</v>
      </c>
      <c r="C12" s="392">
        <f t="shared" ref="C12:L12" si="7">+C11/4</f>
        <v>1.3279346688988093E-2</v>
      </c>
      <c r="D12" s="392">
        <f t="shared" si="7"/>
        <v>1.4194972245740534E-2</v>
      </c>
      <c r="E12" s="392">
        <f t="shared" si="7"/>
        <v>1.3632012875594315E-2</v>
      </c>
      <c r="F12" s="392">
        <f t="shared" si="7"/>
        <v>1.3043885709591732E-2</v>
      </c>
      <c r="G12" s="392">
        <f t="shared" si="7"/>
        <v>1.1862355927582542E-2</v>
      </c>
      <c r="H12" s="392">
        <f t="shared" si="7"/>
        <v>1.1862355927582542E-2</v>
      </c>
      <c r="I12" s="392">
        <f t="shared" si="7"/>
        <v>1.1862355927582542E-2</v>
      </c>
      <c r="J12" s="392">
        <f t="shared" si="7"/>
        <v>1.1862355927582542E-2</v>
      </c>
      <c r="K12" s="392">
        <f t="shared" si="7"/>
        <v>1.1862355927582542E-2</v>
      </c>
      <c r="L12" s="392">
        <f t="shared" si="7"/>
        <v>1.1862355927582542E-2</v>
      </c>
      <c r="M12" s="390" t="s">
        <v>1134</v>
      </c>
    </row>
    <row r="13" spans="1:13" ht="15.75">
      <c r="B13" s="389">
        <f>+B12/(1-B12)</f>
        <v>1.1446001959062042E-2</v>
      </c>
      <c r="C13" s="392">
        <f t="shared" ref="C13:L13" si="8">+C12/(1-C12)</f>
        <v>1.3458060946052253E-2</v>
      </c>
      <c r="D13" s="392">
        <f t="shared" si="8"/>
        <v>1.4399370916252867E-2</v>
      </c>
      <c r="E13" s="392">
        <f t="shared" si="8"/>
        <v>1.3820412922499864E-2</v>
      </c>
      <c r="F13" s="392">
        <f t="shared" si="8"/>
        <v>1.3216277320466163E-2</v>
      </c>
      <c r="G13" s="392">
        <f t="shared" si="8"/>
        <v>1.2004760671493239E-2</v>
      </c>
      <c r="H13" s="392">
        <f t="shared" si="8"/>
        <v>1.2004760671493239E-2</v>
      </c>
      <c r="I13" s="392">
        <f t="shared" si="8"/>
        <v>1.2004760671493239E-2</v>
      </c>
      <c r="J13" s="392">
        <f t="shared" si="8"/>
        <v>1.2004760671493239E-2</v>
      </c>
      <c r="K13" s="392">
        <f t="shared" si="8"/>
        <v>1.2004760671493239E-2</v>
      </c>
      <c r="L13" s="392">
        <f t="shared" si="8"/>
        <v>1.2004760671493239E-2</v>
      </c>
      <c r="M13" s="390" t="s">
        <v>1133</v>
      </c>
    </row>
    <row r="14" spans="1:13" ht="16.5" thickBot="1">
      <c r="B14" s="393">
        <f>+(1+B13)^(4)-1</f>
        <v>4.6576088972059226E-2</v>
      </c>
      <c r="C14" s="394">
        <f t="shared" ref="C14:L14" si="9">+(1+C13)^(4)-1</f>
        <v>5.4928743078946463E-2</v>
      </c>
      <c r="D14" s="394">
        <f t="shared" si="9"/>
        <v>5.8853520323077779E-2</v>
      </c>
      <c r="E14" s="394">
        <f t="shared" si="9"/>
        <v>5.6438270058827733E-2</v>
      </c>
      <c r="F14" s="394">
        <f t="shared" si="9"/>
        <v>5.3922393656647305E-2</v>
      </c>
      <c r="G14" s="394">
        <f t="shared" si="9"/>
        <v>4.8890669357281924E-2</v>
      </c>
      <c r="H14" s="394">
        <f t="shared" si="9"/>
        <v>4.8890669357281924E-2</v>
      </c>
      <c r="I14" s="394">
        <f t="shared" si="9"/>
        <v>4.8890669357281924E-2</v>
      </c>
      <c r="J14" s="394">
        <f t="shared" si="9"/>
        <v>4.8890669357281924E-2</v>
      </c>
      <c r="K14" s="394">
        <f t="shared" si="9"/>
        <v>4.8890669357281924E-2</v>
      </c>
      <c r="L14" s="394">
        <f t="shared" si="9"/>
        <v>4.8890669357281924E-2</v>
      </c>
      <c r="M14" s="396" t="s">
        <v>1130</v>
      </c>
    </row>
  </sheetData>
  <phoneticPr fontId="65"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sheetPr enableFormatConditionsCalculation="0">
    <pageSetUpPr fitToPage="1"/>
  </sheetPr>
  <dimension ref="A1:R94"/>
  <sheetViews>
    <sheetView showGridLines="0" zoomScale="70" zoomScaleNormal="70" workbookViewId="0">
      <pane xSplit="1" ySplit="4" topLeftCell="F5" activePane="bottomRight" state="frozen"/>
      <selection pane="topRight" activeCell="B1" sqref="B1"/>
      <selection pane="bottomLeft" activeCell="A5" sqref="A5"/>
      <selection pane="bottomRight" activeCell="A3" sqref="A3"/>
    </sheetView>
  </sheetViews>
  <sheetFormatPr baseColWidth="10" defaultColWidth="11.5546875" defaultRowHeight="15"/>
  <cols>
    <col min="1" max="1" width="29" customWidth="1"/>
    <col min="2" max="2" width="18.33203125" customWidth="1"/>
    <col min="3" max="3" width="11.44140625" bestFit="1" customWidth="1"/>
    <col min="4" max="5" width="12.44140625" bestFit="1" customWidth="1"/>
    <col min="6" max="6" width="12.6640625" bestFit="1" customWidth="1"/>
    <col min="7" max="7" width="12.5546875" customWidth="1"/>
    <col min="8" max="18" width="12.44140625" bestFit="1" customWidth="1"/>
  </cols>
  <sheetData>
    <row r="1" spans="1:18" ht="15.75">
      <c r="A1" s="1" t="str">
        <f>+Balance!A1</f>
        <v>ENKA de Colombia S.A.</v>
      </c>
      <c r="B1" s="1"/>
      <c r="C1" s="2"/>
      <c r="D1" s="2"/>
      <c r="E1" s="2"/>
      <c r="F1" s="2"/>
      <c r="G1" s="2"/>
      <c r="H1" s="2"/>
    </row>
    <row r="2" spans="1:18" ht="15.75">
      <c r="A2" s="1" t="s">
        <v>63</v>
      </c>
      <c r="B2" s="1"/>
      <c r="C2" s="2"/>
      <c r="D2" s="2"/>
      <c r="E2" s="2"/>
      <c r="F2" s="2"/>
      <c r="G2" s="2"/>
      <c r="H2" s="2"/>
    </row>
    <row r="3" spans="1:18" ht="15.75">
      <c r="A3" s="1"/>
      <c r="B3" s="1"/>
      <c r="C3" s="2"/>
      <c r="D3" s="2"/>
      <c r="E3" s="2"/>
      <c r="F3" s="2"/>
      <c r="G3" s="2"/>
      <c r="H3" s="2"/>
    </row>
    <row r="4" spans="1:18" ht="16.5" thickBot="1">
      <c r="A4" s="2"/>
      <c r="B4" s="2"/>
      <c r="C4" s="3">
        <f>'KWOp.%'!$C$4</f>
        <v>2009</v>
      </c>
      <c r="D4" s="3">
        <f>+C4+1</f>
        <v>2010</v>
      </c>
      <c r="E4" s="3">
        <f>+D4+1</f>
        <v>2011</v>
      </c>
      <c r="F4" s="3">
        <f>+E4+1</f>
        <v>2012</v>
      </c>
      <c r="G4" s="3">
        <f t="shared" ref="G4:R4" si="0">+F4+1</f>
        <v>2013</v>
      </c>
      <c r="H4" s="3">
        <f t="shared" si="0"/>
        <v>2014</v>
      </c>
      <c r="I4" s="3">
        <f t="shared" si="0"/>
        <v>2015</v>
      </c>
      <c r="J4" s="3">
        <f t="shared" si="0"/>
        <v>2016</v>
      </c>
      <c r="K4" s="3">
        <f t="shared" si="0"/>
        <v>2017</v>
      </c>
      <c r="L4" s="3">
        <f t="shared" si="0"/>
        <v>2018</v>
      </c>
      <c r="M4" s="3">
        <f t="shared" si="0"/>
        <v>2019</v>
      </c>
      <c r="N4" s="3">
        <f t="shared" si="0"/>
        <v>2020</v>
      </c>
      <c r="O4" s="3">
        <f t="shared" si="0"/>
        <v>2021</v>
      </c>
      <c r="P4" s="3">
        <f t="shared" si="0"/>
        <v>2022</v>
      </c>
      <c r="Q4" s="3">
        <f t="shared" si="0"/>
        <v>2023</v>
      </c>
      <c r="R4" s="3">
        <f t="shared" si="0"/>
        <v>2024</v>
      </c>
    </row>
    <row r="5" spans="1:18">
      <c r="I5" s="358">
        <f>+AVERAGE(E6:I6)</f>
        <v>464160.85700000002</v>
      </c>
    </row>
    <row r="6" spans="1:18">
      <c r="A6" s="2" t="s">
        <v>64</v>
      </c>
      <c r="B6" s="2"/>
      <c r="C6" s="2">
        <f>+Balance!D18</f>
        <v>395755</v>
      </c>
      <c r="D6" s="2">
        <f>+Balance!E18</f>
        <v>398398</v>
      </c>
      <c r="E6" s="2">
        <f>+Balance!F18</f>
        <v>408367</v>
      </c>
      <c r="F6" s="2">
        <f>+Balance!G18</f>
        <v>444648</v>
      </c>
      <c r="G6" s="2">
        <f>+Balance!H18</f>
        <v>487446</v>
      </c>
      <c r="H6" s="2">
        <f>+Balance!I18</f>
        <v>489263.09500000003</v>
      </c>
      <c r="I6" s="2">
        <f>+Balance!J18</f>
        <v>491080.19000000006</v>
      </c>
      <c r="J6" s="2">
        <f>+Balance!K18</f>
        <v>492891.28500000003</v>
      </c>
      <c r="K6" s="2">
        <f>+Balance!L18</f>
        <v>494315.58</v>
      </c>
      <c r="L6" s="2">
        <f>+Balance!M18</f>
        <v>495242.07500000001</v>
      </c>
      <c r="M6" s="2">
        <f>+Balance!N18</f>
        <v>503256.02500000002</v>
      </c>
      <c r="N6" s="2">
        <f>+Balance!O18</f>
        <v>511269.97500000003</v>
      </c>
      <c r="O6" s="2">
        <f>+Balance!P18</f>
        <v>519283.92499999999</v>
      </c>
      <c r="P6" s="2">
        <f>+Balance!Q18</f>
        <v>527297.875</v>
      </c>
      <c r="Q6" s="2">
        <f>+Balance!R18</f>
        <v>535311.82499999995</v>
      </c>
      <c r="R6" s="2">
        <f>+Balance!S18</f>
        <v>535783.57499999995</v>
      </c>
    </row>
    <row r="7" spans="1:18" ht="15.75" thickBot="1">
      <c r="A7" s="2" t="s">
        <v>9</v>
      </c>
      <c r="B7" s="2"/>
      <c r="C7" s="2">
        <f>+Balance!D19</f>
        <v>-316227</v>
      </c>
      <c r="D7" s="2">
        <f>+Balance!E19</f>
        <v>-328660</v>
      </c>
      <c r="E7" s="2">
        <f>+Balance!F19</f>
        <v>-340045</v>
      </c>
      <c r="F7" s="2">
        <f>+Balance!G19</f>
        <v>-350854</v>
      </c>
      <c r="G7" s="2">
        <f>+Balance!H19</f>
        <v>-361011</v>
      </c>
      <c r="H7" s="2">
        <f>+Balance!I19</f>
        <v>-378670.38491534698</v>
      </c>
      <c r="I7" s="2">
        <f>+Balance!J19</f>
        <v>-396329.76983069396</v>
      </c>
      <c r="J7" s="2">
        <f>+Balance!K19</f>
        <v>-413930.84392052429</v>
      </c>
      <c r="K7" s="2">
        <f>+Balance!L19</f>
        <v>-427772.81345871807</v>
      </c>
      <c r="L7" s="2">
        <f>+Balance!M19</f>
        <v>-436776.9281732181</v>
      </c>
      <c r="M7" s="2">
        <f>+Balance!N19</f>
        <v>-444565.26217569702</v>
      </c>
      <c r="N7" s="2">
        <f>+Balance!O19</f>
        <v>-452353.59617817594</v>
      </c>
      <c r="O7" s="2">
        <f>+Balance!P19</f>
        <v>-460141.93018065486</v>
      </c>
      <c r="P7" s="2">
        <f>+Balance!Q19</f>
        <v>-467930.26418313378</v>
      </c>
      <c r="Q7" s="2">
        <f>+Balance!R19</f>
        <v>-475718.5981856127</v>
      </c>
      <c r="R7" s="2">
        <f>+Balance!S19</f>
        <v>-476177.06705123698</v>
      </c>
    </row>
    <row r="8" spans="1:18" ht="15.75">
      <c r="A8" s="1" t="s">
        <v>65</v>
      </c>
      <c r="B8" s="1"/>
      <c r="C8" s="4">
        <f t="shared" ref="C8:R8" si="1">SUM(C6:C7)</f>
        <v>79528</v>
      </c>
      <c r="D8" s="4">
        <f t="shared" si="1"/>
        <v>69738</v>
      </c>
      <c r="E8" s="4">
        <f t="shared" si="1"/>
        <v>68322</v>
      </c>
      <c r="F8" s="4">
        <f t="shared" si="1"/>
        <v>93794</v>
      </c>
      <c r="G8" s="4">
        <f t="shared" si="1"/>
        <v>126435</v>
      </c>
      <c r="H8" s="4">
        <f t="shared" si="1"/>
        <v>110592.71008465305</v>
      </c>
      <c r="I8" s="4">
        <f t="shared" si="1"/>
        <v>94750.420169306104</v>
      </c>
      <c r="J8" s="4">
        <f t="shared" si="1"/>
        <v>78960.441079475742</v>
      </c>
      <c r="K8" s="4">
        <f t="shared" si="1"/>
        <v>66542.766541281948</v>
      </c>
      <c r="L8" s="4">
        <f t="shared" si="1"/>
        <v>58465.146826781915</v>
      </c>
      <c r="M8" s="4">
        <f t="shared" si="1"/>
        <v>58690.762824303005</v>
      </c>
      <c r="N8" s="4">
        <f t="shared" si="1"/>
        <v>58916.378821824095</v>
      </c>
      <c r="O8" s="4">
        <f t="shared" si="1"/>
        <v>59141.994819345127</v>
      </c>
      <c r="P8" s="4">
        <f t="shared" si="1"/>
        <v>59367.610816866218</v>
      </c>
      <c r="Q8" s="4">
        <f t="shared" si="1"/>
        <v>59593.22681438725</v>
      </c>
      <c r="R8" s="4">
        <f t="shared" si="1"/>
        <v>59606.50794876297</v>
      </c>
    </row>
    <row r="9" spans="1:18" ht="15.75">
      <c r="A9" s="1"/>
      <c r="B9" s="1"/>
      <c r="C9" s="47">
        <f>+C8-[2]CapitalFijo!C8</f>
        <v>0</v>
      </c>
      <c r="D9" s="47">
        <f>+D8-[2]CapitalFijo!D8</f>
        <v>0</v>
      </c>
      <c r="E9" s="47">
        <f>+E8-[2]CapitalFijo!E8</f>
        <v>0</v>
      </c>
      <c r="F9" s="47">
        <f>+F8-[2]CapitalFijo!F8</f>
        <v>0</v>
      </c>
      <c r="G9" s="47">
        <f>+G8-[2]CapitalFijo!G8</f>
        <v>0</v>
      </c>
      <c r="H9" s="47"/>
      <c r="I9" s="47">
        <f>+I8-[2]CapitalFijo!I8</f>
        <v>4657.3201693061274</v>
      </c>
      <c r="J9" s="47">
        <f>+J8-[2]CapitalFijo!J8</f>
        <v>6978.291079475719</v>
      </c>
      <c r="K9" s="47">
        <f>+K8-[2]CapitalFijo!K8</f>
        <v>8803.5665412819362</v>
      </c>
      <c r="L9" s="47">
        <f>+L8-[2]CapitalFijo!L8</f>
        <v>9990.8968267819146</v>
      </c>
      <c r="M9" s="47">
        <f>+M8-[2]CapitalFijo!M8</f>
        <v>18230.462824303017</v>
      </c>
      <c r="N9" s="47">
        <f>+N8-[2]CapitalFijo!N8</f>
        <v>26470.028821824118</v>
      </c>
      <c r="O9" s="47">
        <f>+O8-[2]CapitalFijo!O8</f>
        <v>34709.594819345104</v>
      </c>
      <c r="P9" s="47">
        <f>+P8-[2]CapitalFijo!P8</f>
        <v>42949.160816866206</v>
      </c>
      <c r="Q9" s="47">
        <f>+Q8-[2]CapitalFijo!Q8</f>
        <v>51188.72681438725</v>
      </c>
      <c r="R9" s="47">
        <f>+R8-[2]CapitalFijo!R8</f>
        <v>51673.75794876297</v>
      </c>
    </row>
    <row r="10" spans="1:18">
      <c r="A10" s="2" t="s">
        <v>66</v>
      </c>
      <c r="B10" s="2"/>
      <c r="C10" s="2">
        <f>+C8-C19</f>
        <v>-6464</v>
      </c>
      <c r="D10" s="2">
        <f>+D8-C8</f>
        <v>-9790</v>
      </c>
      <c r="E10" s="2">
        <f t="shared" ref="E10:R10" si="2">+E8-D8</f>
        <v>-1416</v>
      </c>
      <c r="F10" s="2">
        <f t="shared" si="2"/>
        <v>25472</v>
      </c>
      <c r="G10" s="2">
        <f t="shared" si="2"/>
        <v>32641</v>
      </c>
      <c r="H10" s="2">
        <f t="shared" si="2"/>
        <v>-15842.289915346948</v>
      </c>
      <c r="I10" s="2">
        <f t="shared" si="2"/>
        <v>-15842.289915346948</v>
      </c>
      <c r="J10" s="2">
        <f t="shared" si="2"/>
        <v>-15789.979089830362</v>
      </c>
      <c r="K10" s="2">
        <f t="shared" si="2"/>
        <v>-12417.674538193794</v>
      </c>
      <c r="L10" s="2">
        <f t="shared" si="2"/>
        <v>-8077.6197145000333</v>
      </c>
      <c r="M10" s="2">
        <f t="shared" si="2"/>
        <v>225.61599752109032</v>
      </c>
      <c r="N10" s="2">
        <f t="shared" si="2"/>
        <v>225.61599752109032</v>
      </c>
      <c r="O10" s="2">
        <f t="shared" si="2"/>
        <v>225.61599752103211</v>
      </c>
      <c r="P10" s="2">
        <f t="shared" si="2"/>
        <v>225.61599752109032</v>
      </c>
      <c r="Q10" s="2">
        <f t="shared" si="2"/>
        <v>225.61599752103211</v>
      </c>
      <c r="R10" s="2">
        <f t="shared" si="2"/>
        <v>13.281134375720285</v>
      </c>
    </row>
    <row r="11" spans="1:18" ht="15.75" thickBot="1">
      <c r="A11" s="2" t="s">
        <v>67</v>
      </c>
      <c r="B11" s="2"/>
      <c r="C11" s="2">
        <f>+ABS(C7-C18)</f>
        <v>13184</v>
      </c>
      <c r="D11" s="2">
        <f>+ABS(D7-C7)</f>
        <v>12433</v>
      </c>
      <c r="E11" s="2">
        <f t="shared" ref="E11:R11" si="3">+ABS(E7-D7)</f>
        <v>11385</v>
      </c>
      <c r="F11" s="2">
        <f t="shared" si="3"/>
        <v>10809</v>
      </c>
      <c r="G11" s="2">
        <f t="shared" si="3"/>
        <v>10157</v>
      </c>
      <c r="H11" s="2">
        <f t="shared" si="3"/>
        <v>17659.384915346978</v>
      </c>
      <c r="I11" s="2">
        <f t="shared" si="3"/>
        <v>17659.384915346978</v>
      </c>
      <c r="J11" s="2">
        <f t="shared" si="3"/>
        <v>17601.074089830334</v>
      </c>
      <c r="K11" s="2">
        <f t="shared" si="3"/>
        <v>13841.969538193778</v>
      </c>
      <c r="L11" s="2">
        <f t="shared" si="3"/>
        <v>9004.1147145000286</v>
      </c>
      <c r="M11" s="2">
        <f t="shared" si="3"/>
        <v>7788.3340024789213</v>
      </c>
      <c r="N11" s="2">
        <f t="shared" si="3"/>
        <v>7788.3340024789213</v>
      </c>
      <c r="O11" s="2">
        <f t="shared" si="3"/>
        <v>7788.3340024789213</v>
      </c>
      <c r="P11" s="2">
        <f t="shared" si="3"/>
        <v>7788.3340024789213</v>
      </c>
      <c r="Q11" s="2">
        <f t="shared" si="3"/>
        <v>7788.3340024789213</v>
      </c>
      <c r="R11" s="2">
        <f t="shared" si="3"/>
        <v>458.46886562427972</v>
      </c>
    </row>
    <row r="12" spans="1:18" ht="15.75">
      <c r="A12" s="1" t="s">
        <v>68</v>
      </c>
      <c r="B12" s="1"/>
      <c r="C12" s="4">
        <f t="shared" ref="C12:R12" si="4">C10+C11</f>
        <v>6720</v>
      </c>
      <c r="D12" s="4">
        <f t="shared" si="4"/>
        <v>2643</v>
      </c>
      <c r="E12" s="4">
        <f t="shared" si="4"/>
        <v>9969</v>
      </c>
      <c r="F12" s="4">
        <f t="shared" si="4"/>
        <v>36281</v>
      </c>
      <c r="G12" s="4">
        <f t="shared" si="4"/>
        <v>42798</v>
      </c>
      <c r="H12" s="4">
        <f t="shared" si="4"/>
        <v>1817.0950000000303</v>
      </c>
      <c r="I12" s="4">
        <f t="shared" si="4"/>
        <v>1817.0950000000303</v>
      </c>
      <c r="J12" s="4">
        <f t="shared" si="4"/>
        <v>1811.0949999999721</v>
      </c>
      <c r="K12" s="4">
        <f t="shared" si="4"/>
        <v>1424.2949999999837</v>
      </c>
      <c r="L12" s="4">
        <f t="shared" si="4"/>
        <v>926.49499999999534</v>
      </c>
      <c r="M12" s="4">
        <f t="shared" si="4"/>
        <v>8013.9500000000116</v>
      </c>
      <c r="N12" s="4">
        <f t="shared" si="4"/>
        <v>8013.9500000000116</v>
      </c>
      <c r="O12" s="4">
        <f t="shared" si="4"/>
        <v>8013.9499999999534</v>
      </c>
      <c r="P12" s="4">
        <f t="shared" si="4"/>
        <v>8013.9500000000116</v>
      </c>
      <c r="Q12" s="4">
        <f t="shared" si="4"/>
        <v>8013.9499999999534</v>
      </c>
      <c r="R12" s="4">
        <f t="shared" si="4"/>
        <v>471.75</v>
      </c>
    </row>
    <row r="13" spans="1:18" ht="15.75">
      <c r="A13" s="1"/>
      <c r="B13" s="1"/>
      <c r="C13" s="47"/>
      <c r="D13" s="47"/>
      <c r="E13" s="47"/>
      <c r="F13" s="47"/>
      <c r="G13" s="47"/>
      <c r="H13" s="47"/>
      <c r="I13" s="47"/>
      <c r="J13" s="47"/>
      <c r="K13" s="47"/>
      <c r="L13" s="47"/>
      <c r="M13" s="47"/>
      <c r="N13" s="47"/>
      <c r="O13" s="47"/>
      <c r="P13" s="47"/>
      <c r="Q13" s="47"/>
      <c r="R13" s="47"/>
    </row>
    <row r="14" spans="1:18" ht="15.75">
      <c r="A14" s="508" t="s">
        <v>69</v>
      </c>
      <c r="B14" s="474"/>
      <c r="C14" s="475">
        <f>+C6/Resultados!C6</f>
        <v>1.5535583200191567</v>
      </c>
      <c r="D14" s="475">
        <f>+D6/Resultados!D6</f>
        <v>1.3296021519371772</v>
      </c>
      <c r="E14" s="475">
        <f>+E6/Resultados!E6</f>
        <v>1.1922915219003463</v>
      </c>
      <c r="F14" s="475">
        <f>+F6/Resultados!F6</f>
        <v>1.5478615638467483</v>
      </c>
      <c r="G14" s="475">
        <f>+G6/Resultados!G6</f>
        <v>1.7906391545042779</v>
      </c>
      <c r="H14" s="475">
        <f>+H6/Resultados!H6</f>
        <v>1.5812684064481524</v>
      </c>
      <c r="I14" s="475">
        <f>+I6/Resultados!I6</f>
        <v>1.4900876146148965</v>
      </c>
      <c r="J14" s="475">
        <f>+J6/Resultados!J6</f>
        <v>1.410149086174588</v>
      </c>
      <c r="K14" s="475">
        <f>+K6/Resultados!K6</f>
        <v>1.3373128327815982</v>
      </c>
      <c r="L14" s="475">
        <f>+L6/Resultados!L6</f>
        <v>1.2757751520644023</v>
      </c>
      <c r="M14" s="475">
        <f>+M6/Resultados!M6</f>
        <v>1.2320240102243631</v>
      </c>
      <c r="N14" s="475">
        <f>+N6/Resultados!N6</f>
        <v>1.189777378290096</v>
      </c>
      <c r="O14" s="475">
        <f>+O6/Resultados!O6</f>
        <v>1.1484543905745586</v>
      </c>
      <c r="P14" s="475">
        <f>+P6/Resultados!P6</f>
        <v>1.1080699356100405</v>
      </c>
      <c r="Q14" s="475">
        <f>+Q6/Resultados!Q6</f>
        <v>1.0686357854760331</v>
      </c>
      <c r="R14" s="476">
        <f>+R6/Resultados!R6</f>
        <v>1.015860572678527</v>
      </c>
    </row>
    <row r="15" spans="1:18">
      <c r="A15" s="477" t="s">
        <v>70</v>
      </c>
      <c r="B15" s="118"/>
      <c r="C15" s="117">
        <f>+C12/Resultados!C6</f>
        <v>2.6379734710941703E-2</v>
      </c>
      <c r="D15" s="117">
        <f>+D12/Resultados!D6</f>
        <v>8.8206730143473595E-3</v>
      </c>
      <c r="E15" s="117">
        <f>+E12/Resultados!E6</f>
        <v>2.9106059455892744E-2</v>
      </c>
      <c r="F15" s="117">
        <f>+F12/Resultados!F6</f>
        <v>0.12629757785467127</v>
      </c>
      <c r="G15" s="117">
        <f>+G12/Resultados!G6</f>
        <v>0.15721900381677986</v>
      </c>
      <c r="H15" s="117">
        <f>+H12/Resultados!H6</f>
        <v>5.8727399314983135E-3</v>
      </c>
      <c r="I15" s="117">
        <f>+I12/Resultados!I6</f>
        <v>5.5136224372616211E-3</v>
      </c>
      <c r="J15" s="117">
        <f>+J12/Resultados!J6</f>
        <v>5.1814954675559457E-3</v>
      </c>
      <c r="K15" s="117">
        <f>+K12/Resultados!K6</f>
        <v>3.8532630939260393E-3</v>
      </c>
      <c r="L15" s="117">
        <f>+L12/Resultados!L6</f>
        <v>2.3867101750429877E-3</v>
      </c>
      <c r="M15" s="117">
        <f>+M12/Resultados!M6</f>
        <v>1.9618997739247232E-2</v>
      </c>
      <c r="N15" s="117">
        <f>+N12/Resultados!N6</f>
        <v>1.8649279024742119E-2</v>
      </c>
      <c r="O15" s="117">
        <f>+O12/Resultados!O6</f>
        <v>1.7723745373679593E-2</v>
      </c>
      <c r="P15" s="117">
        <f>+P12/Resultados!P6</f>
        <v>1.6840608471031856E-2</v>
      </c>
      <c r="Q15" s="117">
        <f>+Q12/Resultados!Q6</f>
        <v>1.5998140435279206E-2</v>
      </c>
      <c r="R15" s="478">
        <f>+R12/Resultados!R6</f>
        <v>8.9445113199129928E-4</v>
      </c>
    </row>
    <row r="16" spans="1:18">
      <c r="A16" s="477" t="s">
        <v>71</v>
      </c>
      <c r="B16" s="118"/>
      <c r="C16" s="117">
        <f t="shared" ref="C16:I16" si="5">C11/C6</f>
        <v>3.3313539942641281E-2</v>
      </c>
      <c r="D16" s="117">
        <f t="shared" si="5"/>
        <v>3.1207485981355327E-2</v>
      </c>
      <c r="E16" s="117">
        <f t="shared" si="5"/>
        <v>2.7879334030418715E-2</v>
      </c>
      <c r="F16" s="117">
        <f t="shared" si="5"/>
        <v>2.4309116424677497E-2</v>
      </c>
      <c r="G16" s="117">
        <f>G11/G6</f>
        <v>2.0837179913262185E-2</v>
      </c>
      <c r="H16" s="117">
        <f t="shared" si="5"/>
        <v>3.6093842138955889E-2</v>
      </c>
      <c r="I16" s="117">
        <f t="shared" si="5"/>
        <v>3.5960287698322706E-2</v>
      </c>
      <c r="J16" s="117">
        <f t="shared" ref="J16:O16" si="6">J11/J6</f>
        <v>3.5709850479158568E-2</v>
      </c>
      <c r="K16" s="117">
        <f t="shared" si="6"/>
        <v>2.8002292661286902E-2</v>
      </c>
      <c r="L16" s="117">
        <f t="shared" si="6"/>
        <v>1.8181239375713438E-2</v>
      </c>
      <c r="M16" s="117">
        <f t="shared" si="6"/>
        <v>1.5475888246899619E-2</v>
      </c>
      <c r="N16" s="117">
        <f t="shared" si="6"/>
        <v>1.5233309960122185E-2</v>
      </c>
      <c r="O16" s="117">
        <f t="shared" si="6"/>
        <v>1.4998218946367195E-2</v>
      </c>
      <c r="P16" s="117">
        <f>P11/P6</f>
        <v>1.4770273827632857E-2</v>
      </c>
      <c r="Q16" s="117">
        <f>Q11/Q6</f>
        <v>1.4549153668478969E-2</v>
      </c>
      <c r="R16" s="478">
        <f>R11/R6</f>
        <v>8.5569787320240219E-4</v>
      </c>
    </row>
    <row r="17" spans="1:18">
      <c r="A17" s="479"/>
      <c r="B17" s="480"/>
      <c r="C17" s="480"/>
      <c r="D17" s="480"/>
      <c r="E17" s="480"/>
      <c r="F17" s="480"/>
      <c r="G17" s="480"/>
      <c r="H17" s="480"/>
      <c r="I17" s="480"/>
      <c r="J17" s="480"/>
      <c r="K17" s="480"/>
      <c r="L17" s="480"/>
      <c r="M17" s="480"/>
      <c r="N17" s="480"/>
      <c r="O17" s="480"/>
      <c r="P17" s="480"/>
      <c r="Q17" s="480"/>
      <c r="R17" s="481"/>
    </row>
    <row r="18" spans="1:18">
      <c r="A18" s="477" t="s">
        <v>347</v>
      </c>
      <c r="B18" s="118"/>
      <c r="C18" s="506">
        <v>-303043</v>
      </c>
      <c r="D18" s="480"/>
      <c r="E18" s="480"/>
      <c r="F18" s="480"/>
      <c r="G18" s="480"/>
      <c r="H18" s="480"/>
      <c r="I18" s="480"/>
      <c r="J18" s="480"/>
      <c r="K18" s="480"/>
      <c r="L18" s="480"/>
      <c r="M18" s="480"/>
      <c r="N18" s="480"/>
      <c r="O18" s="480"/>
      <c r="P18" s="480"/>
      <c r="Q18" s="480"/>
      <c r="R18" s="481"/>
    </row>
    <row r="19" spans="1:18">
      <c r="A19" s="477" t="s">
        <v>348</v>
      </c>
      <c r="B19" s="118"/>
      <c r="C19" s="506">
        <v>85992</v>
      </c>
      <c r="D19" s="480"/>
      <c r="E19" s="480"/>
      <c r="F19" s="480"/>
      <c r="G19" s="480"/>
      <c r="H19" s="480"/>
      <c r="I19" s="480"/>
      <c r="J19" s="480"/>
      <c r="K19" s="480"/>
      <c r="L19" s="480"/>
      <c r="M19" s="480"/>
      <c r="N19" s="480"/>
      <c r="O19" s="480"/>
      <c r="P19" s="480"/>
      <c r="Q19" s="480"/>
      <c r="R19" s="481"/>
    </row>
    <row r="20" spans="1:18">
      <c r="A20" s="479"/>
      <c r="B20" s="480"/>
      <c r="C20" s="480"/>
      <c r="D20" s="480"/>
      <c r="E20" s="480"/>
      <c r="F20" s="480"/>
      <c r="G20" s="480"/>
      <c r="H20" s="480"/>
      <c r="I20" s="480"/>
      <c r="J20" s="480"/>
      <c r="K20" s="480"/>
      <c r="L20" s="480"/>
      <c r="M20" s="480"/>
      <c r="N20" s="480"/>
      <c r="O20" s="480"/>
      <c r="P20" s="480"/>
      <c r="Q20" s="480"/>
      <c r="R20" s="481"/>
    </row>
    <row r="21" spans="1:18">
      <c r="A21" s="477" t="s">
        <v>349</v>
      </c>
      <c r="B21" s="118"/>
      <c r="C21" s="480">
        <f>+Resultados!C17</f>
        <v>-1016</v>
      </c>
      <c r="D21" s="480">
        <f>+Resultados!D17</f>
        <v>-870</v>
      </c>
      <c r="E21" s="480">
        <f>+Resultados!E17</f>
        <v>-850</v>
      </c>
      <c r="F21" s="480">
        <f>+Resultados!F17</f>
        <v>-675</v>
      </c>
      <c r="G21" s="480">
        <f>+Resultados!G17</f>
        <v>-469</v>
      </c>
      <c r="H21" s="480"/>
      <c r="I21" s="480"/>
      <c r="J21" s="480"/>
      <c r="K21" s="480"/>
      <c r="L21" s="480"/>
      <c r="M21" s="480"/>
      <c r="N21" s="480"/>
      <c r="O21" s="480"/>
      <c r="P21" s="480"/>
      <c r="Q21" s="480"/>
      <c r="R21" s="481"/>
    </row>
    <row r="22" spans="1:18">
      <c r="A22" s="477" t="s">
        <v>959</v>
      </c>
      <c r="B22" s="480"/>
      <c r="C22" s="482">
        <f>+C21/C6</f>
        <v>-2.5672448863564581E-3</v>
      </c>
      <c r="D22" s="482">
        <f>+D21/D6</f>
        <v>-2.1837459023388672E-3</v>
      </c>
      <c r="E22" s="482">
        <f>+E21/E6</f>
        <v>-2.0814610387225214E-3</v>
      </c>
      <c r="F22" s="482">
        <f>+F21/F6</f>
        <v>-1.5180547309332326E-3</v>
      </c>
      <c r="G22" s="482">
        <f>+G21/G6</f>
        <v>-9.6215785953726151E-4</v>
      </c>
      <c r="H22" s="480"/>
      <c r="I22" s="480"/>
      <c r="J22" s="480"/>
      <c r="K22" s="480"/>
      <c r="L22" s="480"/>
      <c r="M22" s="480"/>
      <c r="N22" s="480"/>
      <c r="O22" s="480"/>
      <c r="P22" s="480"/>
      <c r="Q22" s="480"/>
      <c r="R22" s="481"/>
    </row>
    <row r="23" spans="1:18">
      <c r="A23" s="483" t="s">
        <v>960</v>
      </c>
      <c r="B23" s="484"/>
      <c r="C23" s="485">
        <f>+C21/C12</f>
        <v>-0.15119047619047618</v>
      </c>
      <c r="D23" s="485">
        <f>+D21/D12</f>
        <v>-0.32917139614074914</v>
      </c>
      <c r="E23" s="485">
        <f>+E21/E12</f>
        <v>-8.5264319390109339E-2</v>
      </c>
      <c r="F23" s="485">
        <f>+F21/F12</f>
        <v>-1.8604779361098094E-2</v>
      </c>
      <c r="G23" s="485">
        <f>+G21/G12</f>
        <v>-1.0958456002616945E-2</v>
      </c>
      <c r="H23" s="484"/>
      <c r="I23" s="484"/>
      <c r="J23" s="484"/>
      <c r="K23" s="484"/>
      <c r="L23" s="484"/>
      <c r="M23" s="484"/>
      <c r="N23" s="484"/>
      <c r="O23" s="484"/>
      <c r="P23" s="484"/>
      <c r="Q23" s="484"/>
      <c r="R23" s="486"/>
    </row>
    <row r="26" spans="1:18">
      <c r="A26" s="487" t="s">
        <v>963</v>
      </c>
      <c r="B26" s="488"/>
      <c r="C26" s="489">
        <v>3658</v>
      </c>
      <c r="D26" s="489">
        <v>3687</v>
      </c>
      <c r="E26" s="489">
        <v>3687</v>
      </c>
      <c r="F26" s="489">
        <v>3687</v>
      </c>
      <c r="G26" s="489">
        <v>3687</v>
      </c>
      <c r="H26" s="489">
        <f>+G26</f>
        <v>3687</v>
      </c>
      <c r="I26" s="489">
        <f t="shared" ref="I26:R26" si="7">+H26</f>
        <v>3687</v>
      </c>
      <c r="J26" s="489">
        <f t="shared" si="7"/>
        <v>3687</v>
      </c>
      <c r="K26" s="489">
        <f t="shared" si="7"/>
        <v>3687</v>
      </c>
      <c r="L26" s="489">
        <f t="shared" si="7"/>
        <v>3687</v>
      </c>
      <c r="M26" s="489">
        <f t="shared" si="7"/>
        <v>3687</v>
      </c>
      <c r="N26" s="489">
        <f t="shared" si="7"/>
        <v>3687</v>
      </c>
      <c r="O26" s="489">
        <f t="shared" si="7"/>
        <v>3687</v>
      </c>
      <c r="P26" s="489">
        <f t="shared" si="7"/>
        <v>3687</v>
      </c>
      <c r="Q26" s="489">
        <f t="shared" si="7"/>
        <v>3687</v>
      </c>
      <c r="R26" s="490">
        <f t="shared" si="7"/>
        <v>3687</v>
      </c>
    </row>
    <row r="27" spans="1:18">
      <c r="C27" s="302"/>
      <c r="D27" s="302"/>
      <c r="E27" s="302"/>
      <c r="F27" s="302"/>
      <c r="G27" s="302"/>
    </row>
    <row r="28" spans="1:18">
      <c r="A28" s="473" t="s">
        <v>961</v>
      </c>
      <c r="B28" s="491"/>
      <c r="C28" s="504">
        <f>57768</f>
        <v>57768</v>
      </c>
      <c r="D28" s="504">
        <f>58920</f>
        <v>58920</v>
      </c>
      <c r="E28" s="504">
        <f>58920</f>
        <v>58920</v>
      </c>
      <c r="F28" s="504">
        <f>58943</f>
        <v>58943</v>
      </c>
      <c r="G28" s="504">
        <f>58943</f>
        <v>58943</v>
      </c>
      <c r="H28" s="504">
        <f>+G28</f>
        <v>58943</v>
      </c>
      <c r="I28" s="504">
        <f t="shared" ref="I28:R28" si="8">+H28</f>
        <v>58943</v>
      </c>
      <c r="J28" s="504">
        <f t="shared" si="8"/>
        <v>58943</v>
      </c>
      <c r="K28" s="504">
        <f t="shared" si="8"/>
        <v>58943</v>
      </c>
      <c r="L28" s="504">
        <f t="shared" si="8"/>
        <v>58943</v>
      </c>
      <c r="M28" s="504">
        <f t="shared" si="8"/>
        <v>58943</v>
      </c>
      <c r="N28" s="504">
        <f t="shared" si="8"/>
        <v>58943</v>
      </c>
      <c r="O28" s="504">
        <f t="shared" si="8"/>
        <v>58943</v>
      </c>
      <c r="P28" s="504">
        <f t="shared" si="8"/>
        <v>58943</v>
      </c>
      <c r="Q28" s="504">
        <f t="shared" si="8"/>
        <v>58943</v>
      </c>
      <c r="R28" s="505">
        <f t="shared" si="8"/>
        <v>58943</v>
      </c>
    </row>
    <row r="29" spans="1:18">
      <c r="A29" s="493" t="s">
        <v>967</v>
      </c>
      <c r="B29" s="480"/>
      <c r="C29" s="494">
        <v>-37499</v>
      </c>
      <c r="D29" s="494">
        <v>-40315</v>
      </c>
      <c r="E29" s="494">
        <v>-42960</v>
      </c>
      <c r="F29" s="494">
        <v>-45415</v>
      </c>
      <c r="G29" s="494">
        <v>-47871</v>
      </c>
      <c r="H29" s="494">
        <f>+G29+H32</f>
        <v>-50327</v>
      </c>
      <c r="I29" s="494">
        <f t="shared" ref="I29:R29" si="9">+H29+I32</f>
        <v>-52783</v>
      </c>
      <c r="J29" s="494">
        <f t="shared" si="9"/>
        <v>-55239</v>
      </c>
      <c r="K29" s="494">
        <f t="shared" si="9"/>
        <v>-57695</v>
      </c>
      <c r="L29" s="494">
        <f t="shared" si="9"/>
        <v>-58943</v>
      </c>
      <c r="M29" s="494">
        <f t="shared" si="9"/>
        <v>-58943</v>
      </c>
      <c r="N29" s="494">
        <f t="shared" si="9"/>
        <v>-58943</v>
      </c>
      <c r="O29" s="494">
        <f t="shared" si="9"/>
        <v>-58943</v>
      </c>
      <c r="P29" s="494">
        <f t="shared" si="9"/>
        <v>-58943</v>
      </c>
      <c r="Q29" s="494">
        <f t="shared" si="9"/>
        <v>-58943</v>
      </c>
      <c r="R29" s="495">
        <f t="shared" si="9"/>
        <v>-58943</v>
      </c>
    </row>
    <row r="30" spans="1:18">
      <c r="A30" s="477" t="s">
        <v>969</v>
      </c>
      <c r="B30" s="480"/>
      <c r="C30" s="494">
        <f t="shared" ref="C30:H30" si="10">+C28+C29</f>
        <v>20269</v>
      </c>
      <c r="D30" s="494">
        <f t="shared" si="10"/>
        <v>18605</v>
      </c>
      <c r="E30" s="494">
        <f t="shared" si="10"/>
        <v>15960</v>
      </c>
      <c r="F30" s="494">
        <f t="shared" si="10"/>
        <v>13528</v>
      </c>
      <c r="G30" s="494">
        <f t="shared" si="10"/>
        <v>11072</v>
      </c>
      <c r="H30" s="494">
        <f t="shared" si="10"/>
        <v>8616</v>
      </c>
      <c r="I30" s="494">
        <f t="shared" ref="I30:R30" si="11">+I28+I29</f>
        <v>6160</v>
      </c>
      <c r="J30" s="494">
        <f t="shared" si="11"/>
        <v>3704</v>
      </c>
      <c r="K30" s="494">
        <f t="shared" si="11"/>
        <v>1248</v>
      </c>
      <c r="L30" s="494">
        <f t="shared" si="11"/>
        <v>0</v>
      </c>
      <c r="M30" s="494">
        <f t="shared" si="11"/>
        <v>0</v>
      </c>
      <c r="N30" s="494">
        <f t="shared" si="11"/>
        <v>0</v>
      </c>
      <c r="O30" s="494">
        <f t="shared" si="11"/>
        <v>0</v>
      </c>
      <c r="P30" s="494">
        <f t="shared" si="11"/>
        <v>0</v>
      </c>
      <c r="Q30" s="494">
        <f t="shared" si="11"/>
        <v>0</v>
      </c>
      <c r="R30" s="495">
        <f t="shared" si="11"/>
        <v>0</v>
      </c>
    </row>
    <row r="31" spans="1:18">
      <c r="A31" s="496" t="s">
        <v>976</v>
      </c>
      <c r="B31" s="480"/>
      <c r="C31" s="494"/>
      <c r="D31" s="494">
        <f t="shared" ref="D31:G32" si="12">+D28-C28</f>
        <v>1152</v>
      </c>
      <c r="E31" s="494">
        <f t="shared" si="12"/>
        <v>0</v>
      </c>
      <c r="F31" s="494">
        <f t="shared" si="12"/>
        <v>23</v>
      </c>
      <c r="G31" s="494">
        <f t="shared" si="12"/>
        <v>0</v>
      </c>
      <c r="H31" s="480"/>
      <c r="I31" s="480"/>
      <c r="J31" s="480"/>
      <c r="K31" s="480"/>
      <c r="L31" s="480"/>
      <c r="M31" s="480"/>
      <c r="N31" s="480"/>
      <c r="O31" s="480"/>
      <c r="P31" s="480"/>
      <c r="Q31" s="480"/>
      <c r="R31" s="481"/>
    </row>
    <row r="32" spans="1:18">
      <c r="A32" s="496" t="s">
        <v>977</v>
      </c>
      <c r="B32" s="480"/>
      <c r="C32" s="494"/>
      <c r="D32" s="494">
        <f t="shared" si="12"/>
        <v>-2816</v>
      </c>
      <c r="E32" s="494">
        <f t="shared" si="12"/>
        <v>-2645</v>
      </c>
      <c r="F32" s="494">
        <f t="shared" si="12"/>
        <v>-2455</v>
      </c>
      <c r="G32" s="494">
        <f t="shared" si="12"/>
        <v>-2456</v>
      </c>
      <c r="H32" s="494">
        <f>+H28*H33</f>
        <v>-2456</v>
      </c>
      <c r="I32" s="494">
        <f>+I28*I33</f>
        <v>-2456</v>
      </c>
      <c r="J32" s="494">
        <f>+J28*J33</f>
        <v>-2456</v>
      </c>
      <c r="K32" s="494">
        <f>+K28*K33</f>
        <v>-2456</v>
      </c>
      <c r="L32" s="494">
        <v>-1248</v>
      </c>
      <c r="M32" s="494"/>
      <c r="N32" s="494"/>
      <c r="O32" s="494"/>
      <c r="P32" s="494"/>
      <c r="Q32" s="494"/>
      <c r="R32" s="495"/>
    </row>
    <row r="33" spans="1:18">
      <c r="A33" s="496" t="s">
        <v>978</v>
      </c>
      <c r="B33" s="480"/>
      <c r="C33" s="494"/>
      <c r="D33" s="497">
        <f>+D32/D28</f>
        <v>-4.7793618465716226E-2</v>
      </c>
      <c r="E33" s="497">
        <f>+E32/E28</f>
        <v>-4.4891378139850648E-2</v>
      </c>
      <c r="F33" s="497">
        <f>+F32/F28</f>
        <v>-4.1650408021308719E-2</v>
      </c>
      <c r="G33" s="497">
        <f>+G32/G28</f>
        <v>-4.1667373564290927E-2</v>
      </c>
      <c r="H33" s="498">
        <v>-4.1667373564290927E-2</v>
      </c>
      <c r="I33" s="498">
        <v>-4.1667373564290927E-2</v>
      </c>
      <c r="J33" s="498">
        <v>-4.1667373564290927E-2</v>
      </c>
      <c r="K33" s="498">
        <v>-4.1667373564290927E-2</v>
      </c>
      <c r="L33" s="498">
        <v>-4.1667373564290927E-2</v>
      </c>
      <c r="M33" s="498">
        <v>-4.1667373564290927E-2</v>
      </c>
      <c r="N33" s="498">
        <v>-4.1667373564290927E-2</v>
      </c>
      <c r="O33" s="498">
        <v>-4.1667373564290927E-2</v>
      </c>
      <c r="P33" s="498">
        <v>-4.1667373564290927E-2</v>
      </c>
      <c r="Q33" s="498">
        <v>-4.1667373564290927E-2</v>
      </c>
      <c r="R33" s="499">
        <v>-4.1667373564290927E-2</v>
      </c>
    </row>
    <row r="34" spans="1:18">
      <c r="A34" s="496"/>
      <c r="B34" s="480"/>
      <c r="C34" s="494"/>
      <c r="D34" s="497"/>
      <c r="E34" s="497"/>
      <c r="F34" s="497"/>
      <c r="G34" s="497"/>
      <c r="H34" s="480"/>
      <c r="I34" s="480"/>
      <c r="J34" s="480"/>
      <c r="K34" s="480"/>
      <c r="L34" s="480"/>
      <c r="M34" s="480"/>
      <c r="N34" s="480"/>
      <c r="O34" s="480"/>
      <c r="P34" s="480"/>
      <c r="Q34" s="480"/>
      <c r="R34" s="481"/>
    </row>
    <row r="35" spans="1:18">
      <c r="A35" s="496"/>
      <c r="B35" s="480"/>
      <c r="C35" s="494"/>
      <c r="D35" s="497"/>
      <c r="E35" s="497"/>
      <c r="F35" s="497"/>
      <c r="G35" s="497"/>
      <c r="H35" s="480"/>
      <c r="I35" s="480"/>
      <c r="J35" s="480"/>
      <c r="K35" s="480"/>
      <c r="L35" s="480"/>
      <c r="M35" s="480"/>
      <c r="N35" s="480"/>
      <c r="O35" s="480"/>
      <c r="P35" s="480"/>
      <c r="Q35" s="480"/>
      <c r="R35" s="481"/>
    </row>
    <row r="36" spans="1:18">
      <c r="A36" s="500" t="s">
        <v>979</v>
      </c>
      <c r="B36" s="480"/>
      <c r="C36" s="494">
        <v>893</v>
      </c>
      <c r="D36" s="494">
        <v>0</v>
      </c>
      <c r="E36" s="494">
        <v>198</v>
      </c>
      <c r="F36" s="494">
        <v>4854</v>
      </c>
      <c r="G36" s="494">
        <v>9435</v>
      </c>
      <c r="H36" s="494">
        <f>+G36</f>
        <v>9435</v>
      </c>
      <c r="I36" s="494">
        <f>+H36</f>
        <v>9435</v>
      </c>
      <c r="J36" s="494">
        <f t="shared" ref="J36:R36" si="13">+I36</f>
        <v>9435</v>
      </c>
      <c r="K36" s="494">
        <f t="shared" si="13"/>
        <v>9435</v>
      </c>
      <c r="L36" s="494">
        <f t="shared" si="13"/>
        <v>9435</v>
      </c>
      <c r="M36" s="494">
        <f t="shared" si="13"/>
        <v>9435</v>
      </c>
      <c r="N36" s="494">
        <f t="shared" si="13"/>
        <v>9435</v>
      </c>
      <c r="O36" s="494">
        <f t="shared" si="13"/>
        <v>9435</v>
      </c>
      <c r="P36" s="494">
        <f t="shared" si="13"/>
        <v>9435</v>
      </c>
      <c r="Q36" s="494">
        <f t="shared" si="13"/>
        <v>9435</v>
      </c>
      <c r="R36" s="495">
        <f t="shared" si="13"/>
        <v>9435</v>
      </c>
    </row>
    <row r="37" spans="1:18">
      <c r="A37" s="500"/>
      <c r="B37" s="480"/>
      <c r="C37" s="494"/>
      <c r="D37" s="494"/>
      <c r="E37" s="494"/>
      <c r="F37" s="494"/>
      <c r="G37" s="494"/>
      <c r="H37" s="494">
        <f>+H39</f>
        <v>-471.75</v>
      </c>
      <c r="I37" s="494">
        <f>+H37+I39</f>
        <v>-943.5</v>
      </c>
      <c r="J37" s="494">
        <f t="shared" ref="J37:R37" si="14">+I37+J39</f>
        <v>-1415.25</v>
      </c>
      <c r="K37" s="494">
        <f t="shared" si="14"/>
        <v>-1887</v>
      </c>
      <c r="L37" s="494">
        <f t="shared" si="14"/>
        <v>-2358.75</v>
      </c>
      <c r="M37" s="494">
        <f t="shared" si="14"/>
        <v>-2830.5</v>
      </c>
      <c r="N37" s="494">
        <f t="shared" si="14"/>
        <v>-3302.25</v>
      </c>
      <c r="O37" s="494">
        <f t="shared" si="14"/>
        <v>-3774</v>
      </c>
      <c r="P37" s="494">
        <f t="shared" si="14"/>
        <v>-4245.75</v>
      </c>
      <c r="Q37" s="494">
        <f t="shared" si="14"/>
        <v>-4717.5</v>
      </c>
      <c r="R37" s="495">
        <f t="shared" si="14"/>
        <v>-5189.25</v>
      </c>
    </row>
    <row r="38" spans="1:18">
      <c r="A38" s="500"/>
      <c r="B38" s="480"/>
      <c r="C38" s="494"/>
      <c r="D38" s="494"/>
      <c r="E38" s="494"/>
      <c r="F38" s="494"/>
      <c r="G38" s="494"/>
      <c r="H38" s="494">
        <f t="shared" ref="H38:R38" si="15">+H36+H37</f>
        <v>8963.25</v>
      </c>
      <c r="I38" s="494">
        <f t="shared" si="15"/>
        <v>8491.5</v>
      </c>
      <c r="J38" s="494">
        <f t="shared" si="15"/>
        <v>8019.75</v>
      </c>
      <c r="K38" s="494">
        <f t="shared" si="15"/>
        <v>7548</v>
      </c>
      <c r="L38" s="494">
        <f t="shared" si="15"/>
        <v>7076.25</v>
      </c>
      <c r="M38" s="494">
        <f t="shared" si="15"/>
        <v>6604.5</v>
      </c>
      <c r="N38" s="494">
        <f t="shared" si="15"/>
        <v>6132.75</v>
      </c>
      <c r="O38" s="494">
        <f t="shared" si="15"/>
        <v>5661</v>
      </c>
      <c r="P38" s="494">
        <f t="shared" si="15"/>
        <v>5189.25</v>
      </c>
      <c r="Q38" s="494">
        <f t="shared" si="15"/>
        <v>4717.5</v>
      </c>
      <c r="R38" s="495">
        <f t="shared" si="15"/>
        <v>4245.75</v>
      </c>
    </row>
    <row r="39" spans="1:18">
      <c r="A39" s="496"/>
      <c r="B39" s="480"/>
      <c r="C39" s="494"/>
      <c r="D39" s="497"/>
      <c r="E39" s="497"/>
      <c r="F39" s="497"/>
      <c r="G39" s="497"/>
      <c r="H39" s="494">
        <f>-H36*0.05</f>
        <v>-471.75</v>
      </c>
      <c r="I39" s="494">
        <f>-I36*0.05</f>
        <v>-471.75</v>
      </c>
      <c r="J39" s="494">
        <f t="shared" ref="J39:R39" si="16">-J36*0.05</f>
        <v>-471.75</v>
      </c>
      <c r="K39" s="494">
        <f t="shared" si="16"/>
        <v>-471.75</v>
      </c>
      <c r="L39" s="494">
        <f t="shared" si="16"/>
        <v>-471.75</v>
      </c>
      <c r="M39" s="494">
        <f t="shared" si="16"/>
        <v>-471.75</v>
      </c>
      <c r="N39" s="494">
        <f t="shared" si="16"/>
        <v>-471.75</v>
      </c>
      <c r="O39" s="494">
        <f t="shared" si="16"/>
        <v>-471.75</v>
      </c>
      <c r="P39" s="494">
        <f t="shared" si="16"/>
        <v>-471.75</v>
      </c>
      <c r="Q39" s="494">
        <f t="shared" si="16"/>
        <v>-471.75</v>
      </c>
      <c r="R39" s="495">
        <f t="shared" si="16"/>
        <v>-471.75</v>
      </c>
    </row>
    <row r="40" spans="1:18">
      <c r="A40" s="496"/>
      <c r="B40" s="480"/>
      <c r="C40" s="494"/>
      <c r="D40" s="497"/>
      <c r="E40" s="497"/>
      <c r="F40" s="497"/>
      <c r="G40" s="497"/>
      <c r="H40" s="494"/>
      <c r="I40" s="494"/>
      <c r="J40" s="494"/>
      <c r="K40" s="494"/>
      <c r="L40" s="494"/>
      <c r="M40" s="494"/>
      <c r="N40" s="494"/>
      <c r="O40" s="494"/>
      <c r="P40" s="494"/>
      <c r="Q40" s="494"/>
      <c r="R40" s="495"/>
    </row>
    <row r="41" spans="1:18" ht="15.75">
      <c r="A41" s="509" t="s">
        <v>65</v>
      </c>
      <c r="B41" s="484"/>
      <c r="C41" s="510"/>
      <c r="D41" s="511"/>
      <c r="E41" s="511"/>
      <c r="F41" s="511"/>
      <c r="G41" s="511"/>
      <c r="H41" s="510">
        <f>+H30+H38</f>
        <v>17579.25</v>
      </c>
      <c r="I41" s="510">
        <f t="shared" ref="I41:R41" si="17">+I30+I38</f>
        <v>14651.5</v>
      </c>
      <c r="J41" s="510">
        <f t="shared" si="17"/>
        <v>11723.75</v>
      </c>
      <c r="K41" s="510">
        <f t="shared" si="17"/>
        <v>8796</v>
      </c>
      <c r="L41" s="510">
        <f t="shared" si="17"/>
        <v>7076.25</v>
      </c>
      <c r="M41" s="510">
        <f t="shared" si="17"/>
        <v>6604.5</v>
      </c>
      <c r="N41" s="510">
        <f t="shared" si="17"/>
        <v>6132.75</v>
      </c>
      <c r="O41" s="510">
        <f t="shared" si="17"/>
        <v>5661</v>
      </c>
      <c r="P41" s="510">
        <f t="shared" si="17"/>
        <v>5189.25</v>
      </c>
      <c r="Q41" s="510">
        <f t="shared" si="17"/>
        <v>4717.5</v>
      </c>
      <c r="R41" s="512">
        <f t="shared" si="17"/>
        <v>4245.75</v>
      </c>
    </row>
    <row r="42" spans="1:18">
      <c r="C42" s="302"/>
      <c r="D42" s="302"/>
      <c r="E42" s="302"/>
      <c r="F42" s="302"/>
      <c r="G42" s="302"/>
    </row>
    <row r="43" spans="1:18" ht="15.75">
      <c r="A43" s="508" t="s">
        <v>962</v>
      </c>
      <c r="B43" s="491"/>
      <c r="C43" s="492">
        <f>315721-2893</f>
        <v>312828</v>
      </c>
      <c r="D43" s="492">
        <f>325904-1262</f>
        <v>324642</v>
      </c>
      <c r="E43" s="492">
        <f>326822</f>
        <v>326822</v>
      </c>
      <c r="F43" s="492">
        <f>327961</f>
        <v>327961</v>
      </c>
      <c r="G43" s="492">
        <f>328692</f>
        <v>328692</v>
      </c>
      <c r="H43" s="492">
        <f>+G43</f>
        <v>328692</v>
      </c>
      <c r="I43" s="492">
        <f t="shared" ref="I43:R43" si="18">+H43</f>
        <v>328692</v>
      </c>
      <c r="J43" s="492">
        <f t="shared" si="18"/>
        <v>328692</v>
      </c>
      <c r="K43" s="492">
        <f t="shared" si="18"/>
        <v>328692</v>
      </c>
      <c r="L43" s="492">
        <f t="shared" si="18"/>
        <v>328692</v>
      </c>
      <c r="M43" s="492">
        <f t="shared" si="18"/>
        <v>328692</v>
      </c>
      <c r="N43" s="492">
        <f t="shared" si="18"/>
        <v>328692</v>
      </c>
      <c r="O43" s="492">
        <f t="shared" si="18"/>
        <v>328692</v>
      </c>
      <c r="P43" s="492">
        <f t="shared" si="18"/>
        <v>328692</v>
      </c>
      <c r="Q43" s="492">
        <f t="shared" si="18"/>
        <v>328692</v>
      </c>
      <c r="R43" s="513">
        <f t="shared" si="18"/>
        <v>328692</v>
      </c>
    </row>
    <row r="44" spans="1:18">
      <c r="A44" s="493" t="s">
        <v>967</v>
      </c>
      <c r="B44" s="480"/>
      <c r="C44" s="494">
        <v>-268426</v>
      </c>
      <c r="D44" s="494">
        <v>-277923</v>
      </c>
      <c r="E44" s="494">
        <v>-286530</v>
      </c>
      <c r="F44" s="494">
        <v>-294753</v>
      </c>
      <c r="G44" s="494">
        <v>-302308</v>
      </c>
      <c r="H44" s="494">
        <f>+G44+H47</f>
        <v>-309863</v>
      </c>
      <c r="I44" s="494">
        <f t="shared" ref="I44:R44" si="19">+H44+I47</f>
        <v>-317418</v>
      </c>
      <c r="J44" s="494">
        <f t="shared" si="19"/>
        <v>-324973</v>
      </c>
      <c r="K44" s="494">
        <f t="shared" si="19"/>
        <v>-328692</v>
      </c>
      <c r="L44" s="494">
        <f t="shared" si="19"/>
        <v>-328692</v>
      </c>
      <c r="M44" s="494">
        <f t="shared" si="19"/>
        <v>-328692</v>
      </c>
      <c r="N44" s="494">
        <f t="shared" si="19"/>
        <v>-328692</v>
      </c>
      <c r="O44" s="494">
        <f t="shared" si="19"/>
        <v>-328692</v>
      </c>
      <c r="P44" s="494">
        <f t="shared" si="19"/>
        <v>-328692</v>
      </c>
      <c r="Q44" s="494">
        <f t="shared" si="19"/>
        <v>-328692</v>
      </c>
      <c r="R44" s="495">
        <f t="shared" si="19"/>
        <v>-328692</v>
      </c>
    </row>
    <row r="45" spans="1:18">
      <c r="A45" s="477" t="s">
        <v>970</v>
      </c>
      <c r="B45" s="480"/>
      <c r="C45" s="494">
        <f t="shared" ref="C45:R45" si="20">+C43+C44</f>
        <v>44402</v>
      </c>
      <c r="D45" s="494">
        <f t="shared" si="20"/>
        <v>46719</v>
      </c>
      <c r="E45" s="494">
        <f t="shared" si="20"/>
        <v>40292</v>
      </c>
      <c r="F45" s="494">
        <f t="shared" si="20"/>
        <v>33208</v>
      </c>
      <c r="G45" s="494">
        <f t="shared" si="20"/>
        <v>26384</v>
      </c>
      <c r="H45" s="494">
        <f t="shared" si="20"/>
        <v>18829</v>
      </c>
      <c r="I45" s="494">
        <f t="shared" si="20"/>
        <v>11274</v>
      </c>
      <c r="J45" s="494">
        <f t="shared" si="20"/>
        <v>3719</v>
      </c>
      <c r="K45" s="494">
        <f t="shared" si="20"/>
        <v>0</v>
      </c>
      <c r="L45" s="494">
        <f t="shared" si="20"/>
        <v>0</v>
      </c>
      <c r="M45" s="494">
        <f t="shared" si="20"/>
        <v>0</v>
      </c>
      <c r="N45" s="494">
        <f t="shared" si="20"/>
        <v>0</v>
      </c>
      <c r="O45" s="494">
        <f t="shared" si="20"/>
        <v>0</v>
      </c>
      <c r="P45" s="494">
        <f t="shared" si="20"/>
        <v>0</v>
      </c>
      <c r="Q45" s="494">
        <f t="shared" si="20"/>
        <v>0</v>
      </c>
      <c r="R45" s="495">
        <f t="shared" si="20"/>
        <v>0</v>
      </c>
    </row>
    <row r="46" spans="1:18">
      <c r="A46" s="496" t="s">
        <v>976</v>
      </c>
      <c r="B46" s="480"/>
      <c r="C46" s="494"/>
      <c r="D46" s="494">
        <f t="shared" ref="D46:G47" si="21">+D43-C43</f>
        <v>11814</v>
      </c>
      <c r="E46" s="494">
        <f t="shared" si="21"/>
        <v>2180</v>
      </c>
      <c r="F46" s="494">
        <f t="shared" si="21"/>
        <v>1139</v>
      </c>
      <c r="G46" s="494">
        <f t="shared" si="21"/>
        <v>731</v>
      </c>
      <c r="H46" s="494"/>
      <c r="I46" s="494"/>
      <c r="J46" s="494"/>
      <c r="K46" s="494"/>
      <c r="L46" s="494"/>
      <c r="M46" s="494"/>
      <c r="N46" s="494"/>
      <c r="O46" s="494"/>
      <c r="P46" s="494"/>
      <c r="Q46" s="494"/>
      <c r="R46" s="495"/>
    </row>
    <row r="47" spans="1:18">
      <c r="A47" s="496" t="s">
        <v>977</v>
      </c>
      <c r="B47" s="480"/>
      <c r="C47" s="494"/>
      <c r="D47" s="494">
        <f t="shared" si="21"/>
        <v>-9497</v>
      </c>
      <c r="E47" s="494">
        <f t="shared" si="21"/>
        <v>-8607</v>
      </c>
      <c r="F47" s="494">
        <f t="shared" si="21"/>
        <v>-8223</v>
      </c>
      <c r="G47" s="494">
        <f t="shared" si="21"/>
        <v>-7555</v>
      </c>
      <c r="H47" s="494">
        <f>+H43*H48</f>
        <v>-7555</v>
      </c>
      <c r="I47" s="494">
        <f>+I43*I48</f>
        <v>-7555</v>
      </c>
      <c r="J47" s="494">
        <f>+J43*J48</f>
        <v>-7555</v>
      </c>
      <c r="K47" s="494">
        <v>-3719</v>
      </c>
      <c r="L47" s="494"/>
      <c r="M47" s="494"/>
      <c r="N47" s="494"/>
      <c r="O47" s="494"/>
      <c r="P47" s="494"/>
      <c r="Q47" s="494"/>
      <c r="R47" s="495"/>
    </row>
    <row r="48" spans="1:18">
      <c r="A48" s="496" t="s">
        <v>978</v>
      </c>
      <c r="B48" s="480"/>
      <c r="C48" s="494"/>
      <c r="D48" s="514">
        <f>+D47/D43</f>
        <v>-2.92537626061939E-2</v>
      </c>
      <c r="E48" s="514">
        <f>+E47/E43</f>
        <v>-2.6335436414929227E-2</v>
      </c>
      <c r="F48" s="514">
        <f>+F47/F43</f>
        <v>-2.5073103204344419E-2</v>
      </c>
      <c r="G48" s="514">
        <f>+G47/G43</f>
        <v>-2.298504374916335E-2</v>
      </c>
      <c r="H48" s="497">
        <v>-2.298504374916335E-2</v>
      </c>
      <c r="I48" s="497">
        <v>-2.298504374916335E-2</v>
      </c>
      <c r="J48" s="497">
        <v>-2.298504374916335E-2</v>
      </c>
      <c r="K48" s="497">
        <v>-2.298504374916335E-2</v>
      </c>
      <c r="L48" s="497">
        <v>-2.298504374916335E-2</v>
      </c>
      <c r="M48" s="497">
        <v>-2.298504374916335E-2</v>
      </c>
      <c r="N48" s="497">
        <v>-2.298504374916335E-2</v>
      </c>
      <c r="O48" s="497">
        <v>-2.298504374916335E-2</v>
      </c>
      <c r="P48" s="497">
        <v>-2.298504374916335E-2</v>
      </c>
      <c r="Q48" s="497">
        <v>-2.298504374916335E-2</v>
      </c>
      <c r="R48" s="515">
        <v>-2.298504374916335E-2</v>
      </c>
    </row>
    <row r="49" spans="1:18">
      <c r="A49" s="496"/>
      <c r="B49" s="480"/>
      <c r="C49" s="494"/>
      <c r="D49" s="514"/>
      <c r="E49" s="514"/>
      <c r="F49" s="514"/>
      <c r="G49" s="514"/>
      <c r="H49" s="480"/>
      <c r="I49" s="480"/>
      <c r="J49" s="480"/>
      <c r="K49" s="480"/>
      <c r="L49" s="480"/>
      <c r="M49" s="480"/>
      <c r="N49" s="480"/>
      <c r="O49" s="480"/>
      <c r="P49" s="480"/>
      <c r="Q49" s="480"/>
      <c r="R49" s="481"/>
    </row>
    <row r="50" spans="1:18">
      <c r="A50" s="479"/>
      <c r="B50" s="480"/>
      <c r="C50" s="494"/>
      <c r="D50" s="494"/>
      <c r="E50" s="494"/>
      <c r="F50" s="494"/>
      <c r="G50" s="494"/>
      <c r="H50" s="480"/>
      <c r="I50" s="480"/>
      <c r="J50" s="480"/>
      <c r="K50" s="480"/>
      <c r="L50" s="480"/>
      <c r="M50" s="480"/>
      <c r="N50" s="480"/>
      <c r="O50" s="480"/>
      <c r="P50" s="480"/>
      <c r="Q50" s="480"/>
      <c r="R50" s="481"/>
    </row>
    <row r="51" spans="1:18">
      <c r="A51" s="493" t="s">
        <v>968</v>
      </c>
      <c r="B51" s="480"/>
      <c r="C51" s="494">
        <v>9894</v>
      </c>
      <c r="D51" s="494">
        <v>364</v>
      </c>
      <c r="E51" s="494">
        <v>7923</v>
      </c>
      <c r="F51" s="494">
        <v>38094</v>
      </c>
      <c r="G51" s="494">
        <v>75422</v>
      </c>
      <c r="H51" s="494">
        <f>+G51</f>
        <v>75422</v>
      </c>
      <c r="I51" s="494">
        <f t="shared" ref="I51:R51" si="22">+H51</f>
        <v>75422</v>
      </c>
      <c r="J51" s="494">
        <f t="shared" si="22"/>
        <v>75422</v>
      </c>
      <c r="K51" s="494">
        <f t="shared" si="22"/>
        <v>75422</v>
      </c>
      <c r="L51" s="494">
        <f t="shared" si="22"/>
        <v>75422</v>
      </c>
      <c r="M51" s="494">
        <f t="shared" si="22"/>
        <v>75422</v>
      </c>
      <c r="N51" s="494">
        <f t="shared" si="22"/>
        <v>75422</v>
      </c>
      <c r="O51" s="494">
        <f t="shared" si="22"/>
        <v>75422</v>
      </c>
      <c r="P51" s="494">
        <f t="shared" si="22"/>
        <v>75422</v>
      </c>
      <c r="Q51" s="494">
        <f t="shared" si="22"/>
        <v>75422</v>
      </c>
      <c r="R51" s="495">
        <f t="shared" si="22"/>
        <v>75422</v>
      </c>
    </row>
    <row r="52" spans="1:18">
      <c r="A52" s="493"/>
      <c r="B52" s="480"/>
      <c r="C52" s="494"/>
      <c r="D52" s="494"/>
      <c r="E52" s="494"/>
      <c r="F52" s="494"/>
      <c r="G52" s="494"/>
      <c r="H52" s="494">
        <f>+H54</f>
        <v>-7542.2000000000007</v>
      </c>
      <c r="I52" s="494">
        <f>+H52+I54</f>
        <v>-15084.400000000001</v>
      </c>
      <c r="J52" s="494">
        <f t="shared" ref="J52:R52" si="23">+I52+J54</f>
        <v>-22626.600000000002</v>
      </c>
      <c r="K52" s="494">
        <f t="shared" si="23"/>
        <v>-30168.800000000003</v>
      </c>
      <c r="L52" s="494">
        <f t="shared" si="23"/>
        <v>-37711</v>
      </c>
      <c r="M52" s="494">
        <f t="shared" si="23"/>
        <v>-45253.2</v>
      </c>
      <c r="N52" s="494">
        <f t="shared" si="23"/>
        <v>-52795.399999999994</v>
      </c>
      <c r="O52" s="494">
        <f t="shared" si="23"/>
        <v>-60337.599999999991</v>
      </c>
      <c r="P52" s="494">
        <f t="shared" si="23"/>
        <v>-67879.799999999988</v>
      </c>
      <c r="Q52" s="494">
        <f t="shared" si="23"/>
        <v>-75421.999999999985</v>
      </c>
      <c r="R52" s="495">
        <f t="shared" si="23"/>
        <v>-75421.999999999985</v>
      </c>
    </row>
    <row r="53" spans="1:18">
      <c r="A53" s="493"/>
      <c r="B53" s="480"/>
      <c r="C53" s="494"/>
      <c r="D53" s="494"/>
      <c r="E53" s="494"/>
      <c r="F53" s="494"/>
      <c r="G53" s="494"/>
      <c r="H53" s="494">
        <f t="shared" ref="H53:R53" si="24">+H51+H52</f>
        <v>67879.8</v>
      </c>
      <c r="I53" s="494">
        <f t="shared" si="24"/>
        <v>60337.599999999999</v>
      </c>
      <c r="J53" s="494">
        <f t="shared" si="24"/>
        <v>52795.399999999994</v>
      </c>
      <c r="K53" s="494">
        <f t="shared" si="24"/>
        <v>45253.2</v>
      </c>
      <c r="L53" s="494">
        <f t="shared" si="24"/>
        <v>37711</v>
      </c>
      <c r="M53" s="494">
        <f t="shared" si="24"/>
        <v>30168.800000000003</v>
      </c>
      <c r="N53" s="494">
        <f t="shared" si="24"/>
        <v>22626.600000000006</v>
      </c>
      <c r="O53" s="494">
        <f t="shared" si="24"/>
        <v>15084.400000000009</v>
      </c>
      <c r="P53" s="494">
        <f t="shared" si="24"/>
        <v>7542.2000000000116</v>
      </c>
      <c r="Q53" s="494">
        <f t="shared" si="24"/>
        <v>0</v>
      </c>
      <c r="R53" s="495">
        <f t="shared" si="24"/>
        <v>0</v>
      </c>
    </row>
    <row r="54" spans="1:18">
      <c r="A54" s="493"/>
      <c r="B54" s="480"/>
      <c r="C54" s="494"/>
      <c r="D54" s="494"/>
      <c r="E54" s="494"/>
      <c r="F54" s="494"/>
      <c r="G54" s="494"/>
      <c r="H54" s="494">
        <f>-H51*0.1</f>
        <v>-7542.2000000000007</v>
      </c>
      <c r="I54" s="494">
        <f t="shared" ref="I54:Q54" si="25">-I51*0.1</f>
        <v>-7542.2000000000007</v>
      </c>
      <c r="J54" s="494">
        <f t="shared" si="25"/>
        <v>-7542.2000000000007</v>
      </c>
      <c r="K54" s="494">
        <f t="shared" si="25"/>
        <v>-7542.2000000000007</v>
      </c>
      <c r="L54" s="494">
        <f t="shared" si="25"/>
        <v>-7542.2000000000007</v>
      </c>
      <c r="M54" s="494">
        <f t="shared" si="25"/>
        <v>-7542.2000000000007</v>
      </c>
      <c r="N54" s="494">
        <f t="shared" si="25"/>
        <v>-7542.2000000000007</v>
      </c>
      <c r="O54" s="494">
        <f t="shared" si="25"/>
        <v>-7542.2000000000007</v>
      </c>
      <c r="P54" s="494">
        <f t="shared" si="25"/>
        <v>-7542.2000000000007</v>
      </c>
      <c r="Q54" s="494">
        <f t="shared" si="25"/>
        <v>-7542.2000000000007</v>
      </c>
      <c r="R54" s="495">
        <v>0</v>
      </c>
    </row>
    <row r="55" spans="1:18">
      <c r="A55" s="493"/>
      <c r="B55" s="480"/>
      <c r="C55" s="494"/>
      <c r="D55" s="494"/>
      <c r="E55" s="494"/>
      <c r="F55" s="494"/>
      <c r="G55" s="494"/>
      <c r="H55" s="480"/>
      <c r="I55" s="480"/>
      <c r="J55" s="480"/>
      <c r="K55" s="480"/>
      <c r="L55" s="480"/>
      <c r="M55" s="480"/>
      <c r="N55" s="480"/>
      <c r="O55" s="480"/>
      <c r="P55" s="480"/>
      <c r="Q55" s="480"/>
      <c r="R55" s="481"/>
    </row>
    <row r="56" spans="1:18" ht="15.75">
      <c r="A56" s="509" t="s">
        <v>65</v>
      </c>
      <c r="B56" s="484"/>
      <c r="C56" s="510"/>
      <c r="D56" s="510"/>
      <c r="E56" s="510"/>
      <c r="F56" s="510"/>
      <c r="G56" s="510"/>
      <c r="H56" s="510">
        <f>+H45+H53</f>
        <v>86708.800000000003</v>
      </c>
      <c r="I56" s="510">
        <f t="shared" ref="I56:R56" si="26">+I45+I53</f>
        <v>71611.600000000006</v>
      </c>
      <c r="J56" s="510">
        <f t="shared" si="26"/>
        <v>56514.399999999994</v>
      </c>
      <c r="K56" s="510">
        <f t="shared" si="26"/>
        <v>45253.2</v>
      </c>
      <c r="L56" s="510">
        <f t="shared" si="26"/>
        <v>37711</v>
      </c>
      <c r="M56" s="510">
        <f t="shared" si="26"/>
        <v>30168.800000000003</v>
      </c>
      <c r="N56" s="510">
        <f t="shared" si="26"/>
        <v>22626.600000000006</v>
      </c>
      <c r="O56" s="510">
        <f t="shared" si="26"/>
        <v>15084.400000000009</v>
      </c>
      <c r="P56" s="510">
        <f t="shared" si="26"/>
        <v>7542.2000000000116</v>
      </c>
      <c r="Q56" s="510">
        <f t="shared" si="26"/>
        <v>0</v>
      </c>
      <c r="R56" s="512">
        <f t="shared" si="26"/>
        <v>0</v>
      </c>
    </row>
    <row r="57" spans="1:18">
      <c r="C57" s="302"/>
      <c r="D57" s="302"/>
      <c r="E57" s="302"/>
      <c r="F57" s="302"/>
      <c r="G57" s="302"/>
    </row>
    <row r="58" spans="1:18" ht="15.75">
      <c r="A58" s="508" t="s">
        <v>964</v>
      </c>
      <c r="B58" s="491"/>
      <c r="C58" s="492">
        <v>8538</v>
      </c>
      <c r="D58" s="492">
        <v>8609</v>
      </c>
      <c r="E58" s="492">
        <v>8635</v>
      </c>
      <c r="F58" s="492">
        <v>8748</v>
      </c>
      <c r="G58" s="492">
        <v>8906</v>
      </c>
      <c r="H58" s="492">
        <f>+G58</f>
        <v>8906</v>
      </c>
      <c r="I58" s="492">
        <f t="shared" ref="I58:R58" si="27">+H58</f>
        <v>8906</v>
      </c>
      <c r="J58" s="492">
        <f t="shared" si="27"/>
        <v>8906</v>
      </c>
      <c r="K58" s="492">
        <f t="shared" si="27"/>
        <v>8906</v>
      </c>
      <c r="L58" s="492">
        <f t="shared" si="27"/>
        <v>8906</v>
      </c>
      <c r="M58" s="492">
        <f t="shared" si="27"/>
        <v>8906</v>
      </c>
      <c r="N58" s="492">
        <f t="shared" si="27"/>
        <v>8906</v>
      </c>
      <c r="O58" s="492">
        <f t="shared" si="27"/>
        <v>8906</v>
      </c>
      <c r="P58" s="492">
        <f t="shared" si="27"/>
        <v>8906</v>
      </c>
      <c r="Q58" s="492">
        <f t="shared" si="27"/>
        <v>8906</v>
      </c>
      <c r="R58" s="513">
        <f t="shared" si="27"/>
        <v>8906</v>
      </c>
    </row>
    <row r="59" spans="1:18">
      <c r="A59" s="493" t="s">
        <v>967</v>
      </c>
      <c r="B59" s="480"/>
      <c r="C59" s="494">
        <v>-8273</v>
      </c>
      <c r="D59" s="494">
        <v>-8355</v>
      </c>
      <c r="E59" s="494">
        <v>-8451</v>
      </c>
      <c r="F59" s="494">
        <v>-8539</v>
      </c>
      <c r="G59" s="494">
        <v>-8618</v>
      </c>
      <c r="H59" s="494">
        <f>+G59+H62</f>
        <v>-8697</v>
      </c>
      <c r="I59" s="494">
        <f t="shared" ref="I59:R59" si="28">+H59+I62</f>
        <v>-8776</v>
      </c>
      <c r="J59" s="494">
        <f t="shared" si="28"/>
        <v>-8855</v>
      </c>
      <c r="K59" s="494">
        <f t="shared" si="28"/>
        <v>-8906</v>
      </c>
      <c r="L59" s="494">
        <f t="shared" si="28"/>
        <v>-8906</v>
      </c>
      <c r="M59" s="494">
        <f t="shared" si="28"/>
        <v>-8906</v>
      </c>
      <c r="N59" s="494">
        <f t="shared" si="28"/>
        <v>-8906</v>
      </c>
      <c r="O59" s="494">
        <f t="shared" si="28"/>
        <v>-8906</v>
      </c>
      <c r="P59" s="494">
        <f t="shared" si="28"/>
        <v>-8906</v>
      </c>
      <c r="Q59" s="494">
        <f t="shared" si="28"/>
        <v>-8906</v>
      </c>
      <c r="R59" s="495">
        <f t="shared" si="28"/>
        <v>-8906</v>
      </c>
    </row>
    <row r="60" spans="1:18">
      <c r="A60" s="477" t="s">
        <v>971</v>
      </c>
      <c r="B60" s="480"/>
      <c r="C60" s="494">
        <f t="shared" ref="C60:R60" si="29">+C58+C59</f>
        <v>265</v>
      </c>
      <c r="D60" s="494">
        <f t="shared" si="29"/>
        <v>254</v>
      </c>
      <c r="E60" s="494">
        <f t="shared" si="29"/>
        <v>184</v>
      </c>
      <c r="F60" s="494">
        <f t="shared" si="29"/>
        <v>209</v>
      </c>
      <c r="G60" s="494">
        <f t="shared" si="29"/>
        <v>288</v>
      </c>
      <c r="H60" s="494">
        <f t="shared" si="29"/>
        <v>209</v>
      </c>
      <c r="I60" s="494">
        <f t="shared" si="29"/>
        <v>130</v>
      </c>
      <c r="J60" s="494">
        <f t="shared" si="29"/>
        <v>51</v>
      </c>
      <c r="K60" s="494">
        <f t="shared" si="29"/>
        <v>0</v>
      </c>
      <c r="L60" s="494">
        <f t="shared" si="29"/>
        <v>0</v>
      </c>
      <c r="M60" s="494">
        <f t="shared" si="29"/>
        <v>0</v>
      </c>
      <c r="N60" s="494">
        <f t="shared" si="29"/>
        <v>0</v>
      </c>
      <c r="O60" s="494">
        <f t="shared" si="29"/>
        <v>0</v>
      </c>
      <c r="P60" s="494">
        <f t="shared" si="29"/>
        <v>0</v>
      </c>
      <c r="Q60" s="494">
        <f t="shared" si="29"/>
        <v>0</v>
      </c>
      <c r="R60" s="495">
        <f t="shared" si="29"/>
        <v>0</v>
      </c>
    </row>
    <row r="61" spans="1:18">
      <c r="A61" s="496" t="s">
        <v>976</v>
      </c>
      <c r="B61" s="480"/>
      <c r="C61" s="494"/>
      <c r="D61" s="494">
        <f t="shared" ref="D61:G62" si="30">+D58-C58</f>
        <v>71</v>
      </c>
      <c r="E61" s="494">
        <f t="shared" si="30"/>
        <v>26</v>
      </c>
      <c r="F61" s="494">
        <f t="shared" si="30"/>
        <v>113</v>
      </c>
      <c r="G61" s="494">
        <f t="shared" si="30"/>
        <v>158</v>
      </c>
      <c r="H61" s="494"/>
      <c r="I61" s="494"/>
      <c r="J61" s="494"/>
      <c r="K61" s="494"/>
      <c r="L61" s="494"/>
      <c r="M61" s="494"/>
      <c r="N61" s="494"/>
      <c r="O61" s="494"/>
      <c r="P61" s="494"/>
      <c r="Q61" s="494"/>
      <c r="R61" s="495"/>
    </row>
    <row r="62" spans="1:18">
      <c r="A62" s="496" t="s">
        <v>977</v>
      </c>
      <c r="B62" s="480"/>
      <c r="C62" s="494"/>
      <c r="D62" s="494">
        <f t="shared" si="30"/>
        <v>-82</v>
      </c>
      <c r="E62" s="494">
        <f t="shared" si="30"/>
        <v>-96</v>
      </c>
      <c r="F62" s="494">
        <f t="shared" si="30"/>
        <v>-88</v>
      </c>
      <c r="G62" s="494">
        <f t="shared" si="30"/>
        <v>-79</v>
      </c>
      <c r="H62" s="494">
        <f>+H58*H63</f>
        <v>-79</v>
      </c>
      <c r="I62" s="494">
        <f>+I58*I63</f>
        <v>-79</v>
      </c>
      <c r="J62" s="494">
        <f>+J58*J63</f>
        <v>-79</v>
      </c>
      <c r="K62" s="494">
        <v>-51</v>
      </c>
      <c r="L62" s="494"/>
      <c r="M62" s="494"/>
      <c r="N62" s="494"/>
      <c r="O62" s="494"/>
      <c r="P62" s="494"/>
      <c r="Q62" s="494"/>
      <c r="R62" s="495"/>
    </row>
    <row r="63" spans="1:18">
      <c r="A63" s="496" t="s">
        <v>978</v>
      </c>
      <c r="B63" s="480"/>
      <c r="C63" s="494"/>
      <c r="D63" s="497">
        <f>+D62/D58</f>
        <v>-9.5249157858055527E-3</v>
      </c>
      <c r="E63" s="497">
        <f>+E62/E58</f>
        <v>-1.1117544875506659E-2</v>
      </c>
      <c r="F63" s="497">
        <f>+F62/F58</f>
        <v>-1.0059442158207591E-2</v>
      </c>
      <c r="G63" s="497">
        <f>+G62/G58</f>
        <v>-8.8704244329665394E-3</v>
      </c>
      <c r="H63" s="497">
        <v>-8.8704244329665394E-3</v>
      </c>
      <c r="I63" s="497">
        <v>-8.8704244329665394E-3</v>
      </c>
      <c r="J63" s="497">
        <v>-8.8704244329665394E-3</v>
      </c>
      <c r="K63" s="497">
        <v>-8.8704244329665394E-3</v>
      </c>
      <c r="L63" s="497">
        <v>-8.8704244329665394E-3</v>
      </c>
      <c r="M63" s="497">
        <v>-8.8704244329665394E-3</v>
      </c>
      <c r="N63" s="497">
        <v>-8.8704244329665394E-3</v>
      </c>
      <c r="O63" s="497">
        <v>-8.8704244329665394E-3</v>
      </c>
      <c r="P63" s="497">
        <v>-8.8704244329665394E-3</v>
      </c>
      <c r="Q63" s="497">
        <v>-8.8704244329665394E-3</v>
      </c>
      <c r="R63" s="515">
        <v>-8.8704244329665394E-3</v>
      </c>
    </row>
    <row r="64" spans="1:18">
      <c r="A64" s="496"/>
      <c r="B64" s="480"/>
      <c r="C64" s="494"/>
      <c r="D64" s="497"/>
      <c r="E64" s="497"/>
      <c r="F64" s="497"/>
      <c r="G64" s="497"/>
      <c r="H64" s="480"/>
      <c r="I64" s="480"/>
      <c r="J64" s="480"/>
      <c r="K64" s="480"/>
      <c r="L64" s="480"/>
      <c r="M64" s="480"/>
      <c r="N64" s="480"/>
      <c r="O64" s="480"/>
      <c r="P64" s="480"/>
      <c r="Q64" s="480"/>
      <c r="R64" s="481"/>
    </row>
    <row r="65" spans="1:18">
      <c r="A65" s="479"/>
      <c r="B65" s="480"/>
      <c r="C65" s="480"/>
      <c r="D65" s="480"/>
      <c r="E65" s="480"/>
      <c r="F65" s="480"/>
      <c r="G65" s="480"/>
      <c r="H65" s="480"/>
      <c r="I65" s="480"/>
      <c r="J65" s="480"/>
      <c r="K65" s="480"/>
      <c r="L65" s="480"/>
      <c r="M65" s="480"/>
      <c r="N65" s="480"/>
      <c r="O65" s="480"/>
      <c r="P65" s="480"/>
      <c r="Q65" s="480"/>
      <c r="R65" s="481"/>
    </row>
    <row r="66" spans="1:18">
      <c r="A66" s="477" t="s">
        <v>965</v>
      </c>
      <c r="B66" s="480"/>
      <c r="C66" s="480">
        <v>1789</v>
      </c>
      <c r="D66" s="480">
        <v>1789</v>
      </c>
      <c r="E66" s="480">
        <v>1795</v>
      </c>
      <c r="F66" s="480">
        <v>1801</v>
      </c>
      <c r="G66" s="480">
        <v>1801</v>
      </c>
      <c r="H66" s="494">
        <f>+G66</f>
        <v>1801</v>
      </c>
      <c r="I66" s="494">
        <f t="shared" ref="I66:R66" si="31">+H66</f>
        <v>1801</v>
      </c>
      <c r="J66" s="494">
        <f t="shared" si="31"/>
        <v>1801</v>
      </c>
      <c r="K66" s="494">
        <f t="shared" si="31"/>
        <v>1801</v>
      </c>
      <c r="L66" s="494">
        <f t="shared" si="31"/>
        <v>1801</v>
      </c>
      <c r="M66" s="494">
        <f t="shared" si="31"/>
        <v>1801</v>
      </c>
      <c r="N66" s="494">
        <f t="shared" si="31"/>
        <v>1801</v>
      </c>
      <c r="O66" s="494">
        <f t="shared" si="31"/>
        <v>1801</v>
      </c>
      <c r="P66" s="494">
        <f t="shared" si="31"/>
        <v>1801</v>
      </c>
      <c r="Q66" s="494">
        <f t="shared" si="31"/>
        <v>1801</v>
      </c>
      <c r="R66" s="495">
        <f t="shared" si="31"/>
        <v>1801</v>
      </c>
    </row>
    <row r="67" spans="1:18">
      <c r="A67" s="493" t="s">
        <v>967</v>
      </c>
      <c r="B67" s="480"/>
      <c r="C67" s="494">
        <v>-1778</v>
      </c>
      <c r="D67" s="494">
        <v>-1780</v>
      </c>
      <c r="E67" s="494">
        <v>-1781</v>
      </c>
      <c r="F67" s="494">
        <v>-1783</v>
      </c>
      <c r="G67" s="494">
        <v>-1786</v>
      </c>
      <c r="H67" s="494">
        <f>+G67+H70</f>
        <v>-1789</v>
      </c>
      <c r="I67" s="494">
        <f t="shared" ref="I67:R67" si="32">+H67+I70</f>
        <v>-1792</v>
      </c>
      <c r="J67" s="494">
        <f t="shared" si="32"/>
        <v>-1795</v>
      </c>
      <c r="K67" s="494">
        <f t="shared" si="32"/>
        <v>-1798</v>
      </c>
      <c r="L67" s="494">
        <f t="shared" si="32"/>
        <v>-1801</v>
      </c>
      <c r="M67" s="494">
        <f t="shared" si="32"/>
        <v>-1801</v>
      </c>
      <c r="N67" s="494">
        <f t="shared" si="32"/>
        <v>-1801</v>
      </c>
      <c r="O67" s="494">
        <f t="shared" si="32"/>
        <v>-1801</v>
      </c>
      <c r="P67" s="494">
        <f t="shared" si="32"/>
        <v>-1801</v>
      </c>
      <c r="Q67" s="494">
        <f t="shared" si="32"/>
        <v>-1801</v>
      </c>
      <c r="R67" s="495">
        <f t="shared" si="32"/>
        <v>-1801</v>
      </c>
    </row>
    <row r="68" spans="1:18" ht="15.75">
      <c r="A68" s="517" t="s">
        <v>972</v>
      </c>
      <c r="B68" s="480"/>
      <c r="C68" s="518">
        <f t="shared" ref="C68:R68" si="33">+C66+C67</f>
        <v>11</v>
      </c>
      <c r="D68" s="518">
        <f t="shared" si="33"/>
        <v>9</v>
      </c>
      <c r="E68" s="518">
        <f t="shared" si="33"/>
        <v>14</v>
      </c>
      <c r="F68" s="518">
        <f t="shared" si="33"/>
        <v>18</v>
      </c>
      <c r="G68" s="518">
        <f t="shared" si="33"/>
        <v>15</v>
      </c>
      <c r="H68" s="518">
        <f t="shared" si="33"/>
        <v>12</v>
      </c>
      <c r="I68" s="518">
        <f t="shared" si="33"/>
        <v>9</v>
      </c>
      <c r="J68" s="518">
        <f t="shared" si="33"/>
        <v>6</v>
      </c>
      <c r="K68" s="518">
        <f t="shared" si="33"/>
        <v>3</v>
      </c>
      <c r="L68" s="518">
        <f t="shared" si="33"/>
        <v>0</v>
      </c>
      <c r="M68" s="518">
        <f t="shared" si="33"/>
        <v>0</v>
      </c>
      <c r="N68" s="518">
        <f t="shared" si="33"/>
        <v>0</v>
      </c>
      <c r="O68" s="518">
        <f t="shared" si="33"/>
        <v>0</v>
      </c>
      <c r="P68" s="518">
        <f t="shared" si="33"/>
        <v>0</v>
      </c>
      <c r="Q68" s="518">
        <f t="shared" si="33"/>
        <v>0</v>
      </c>
      <c r="R68" s="519">
        <f t="shared" si="33"/>
        <v>0</v>
      </c>
    </row>
    <row r="69" spans="1:18">
      <c r="A69" s="496" t="s">
        <v>976</v>
      </c>
      <c r="B69" s="480"/>
      <c r="C69" s="494"/>
      <c r="D69" s="494">
        <f t="shared" ref="D69:G70" si="34">+D66-C66</f>
        <v>0</v>
      </c>
      <c r="E69" s="494">
        <f t="shared" si="34"/>
        <v>6</v>
      </c>
      <c r="F69" s="494">
        <f t="shared" si="34"/>
        <v>6</v>
      </c>
      <c r="G69" s="494">
        <f t="shared" si="34"/>
        <v>0</v>
      </c>
      <c r="H69" s="494"/>
      <c r="I69" s="494"/>
      <c r="J69" s="494"/>
      <c r="K69" s="494"/>
      <c r="L69" s="494"/>
      <c r="M69" s="494"/>
      <c r="N69" s="494"/>
      <c r="O69" s="494"/>
      <c r="P69" s="494"/>
      <c r="Q69" s="494"/>
      <c r="R69" s="495"/>
    </row>
    <row r="70" spans="1:18">
      <c r="A70" s="496" t="s">
        <v>977</v>
      </c>
      <c r="B70" s="480"/>
      <c r="C70" s="494"/>
      <c r="D70" s="494">
        <f t="shared" si="34"/>
        <v>-2</v>
      </c>
      <c r="E70" s="494">
        <f t="shared" si="34"/>
        <v>-1</v>
      </c>
      <c r="F70" s="494">
        <f t="shared" si="34"/>
        <v>-2</v>
      </c>
      <c r="G70" s="494">
        <f t="shared" si="34"/>
        <v>-3</v>
      </c>
      <c r="H70" s="494">
        <f t="shared" ref="H70:R70" si="35">+H66*H71</f>
        <v>-3</v>
      </c>
      <c r="I70" s="494">
        <f t="shared" si="35"/>
        <v>-3</v>
      </c>
      <c r="J70" s="494">
        <f t="shared" si="35"/>
        <v>-3</v>
      </c>
      <c r="K70" s="494">
        <f t="shared" si="35"/>
        <v>-3</v>
      </c>
      <c r="L70" s="494">
        <f t="shared" si="35"/>
        <v>-3</v>
      </c>
      <c r="M70" s="494">
        <f t="shared" si="35"/>
        <v>0</v>
      </c>
      <c r="N70" s="494">
        <f t="shared" si="35"/>
        <v>0</v>
      </c>
      <c r="O70" s="494">
        <f t="shared" si="35"/>
        <v>0</v>
      </c>
      <c r="P70" s="494">
        <f t="shared" si="35"/>
        <v>0</v>
      </c>
      <c r="Q70" s="494">
        <f t="shared" si="35"/>
        <v>0</v>
      </c>
      <c r="R70" s="495">
        <f t="shared" si="35"/>
        <v>0</v>
      </c>
    </row>
    <row r="71" spans="1:18">
      <c r="A71" s="501" t="s">
        <v>978</v>
      </c>
      <c r="B71" s="484"/>
      <c r="C71" s="502"/>
      <c r="D71" s="503">
        <f>+D70/D66</f>
        <v>-1.1179429849077697E-3</v>
      </c>
      <c r="E71" s="503">
        <f>+E70/E66</f>
        <v>-5.5710306406685239E-4</v>
      </c>
      <c r="F71" s="503">
        <f>+F70/F66</f>
        <v>-1.1104941699056081E-3</v>
      </c>
      <c r="G71" s="503">
        <f>+G70/G66</f>
        <v>-1.665741254858412E-3</v>
      </c>
      <c r="H71" s="503">
        <v>-1.665741254858412E-3</v>
      </c>
      <c r="I71" s="503">
        <v>-1.665741254858412E-3</v>
      </c>
      <c r="J71" s="503">
        <v>-1.665741254858412E-3</v>
      </c>
      <c r="K71" s="503">
        <v>-1.665741254858412E-3</v>
      </c>
      <c r="L71" s="503">
        <v>-1.665741254858412E-3</v>
      </c>
      <c r="M71" s="503"/>
      <c r="N71" s="503"/>
      <c r="O71" s="503"/>
      <c r="P71" s="503"/>
      <c r="Q71" s="503"/>
      <c r="R71" s="516"/>
    </row>
    <row r="73" spans="1:18" ht="15.75">
      <c r="A73" s="508" t="s">
        <v>966</v>
      </c>
      <c r="B73" s="491"/>
      <c r="C73" s="492">
        <v>387</v>
      </c>
      <c r="D73" s="492">
        <v>387</v>
      </c>
      <c r="E73" s="492">
        <v>387</v>
      </c>
      <c r="F73" s="492">
        <v>560</v>
      </c>
      <c r="G73" s="492">
        <v>560</v>
      </c>
      <c r="H73" s="492">
        <f>+G73</f>
        <v>560</v>
      </c>
      <c r="I73" s="492">
        <f t="shared" ref="I73:R73" si="36">+H73</f>
        <v>560</v>
      </c>
      <c r="J73" s="492">
        <f t="shared" si="36"/>
        <v>560</v>
      </c>
      <c r="K73" s="492">
        <f t="shared" si="36"/>
        <v>560</v>
      </c>
      <c r="L73" s="492">
        <f t="shared" si="36"/>
        <v>560</v>
      </c>
      <c r="M73" s="492">
        <f t="shared" si="36"/>
        <v>560</v>
      </c>
      <c r="N73" s="492">
        <f t="shared" si="36"/>
        <v>560</v>
      </c>
      <c r="O73" s="492">
        <f t="shared" si="36"/>
        <v>560</v>
      </c>
      <c r="P73" s="492">
        <f t="shared" si="36"/>
        <v>560</v>
      </c>
      <c r="Q73" s="492">
        <f t="shared" si="36"/>
        <v>560</v>
      </c>
      <c r="R73" s="513">
        <f t="shared" si="36"/>
        <v>560</v>
      </c>
    </row>
    <row r="74" spans="1:18">
      <c r="A74" s="493" t="s">
        <v>967</v>
      </c>
      <c r="B74" s="480"/>
      <c r="C74" s="494">
        <v>-251</v>
      </c>
      <c r="D74" s="494">
        <v>-287</v>
      </c>
      <c r="E74" s="494">
        <v>-323</v>
      </c>
      <c r="F74" s="494">
        <v>-364</v>
      </c>
      <c r="G74" s="494">
        <v>-428</v>
      </c>
      <c r="H74" s="494">
        <f>+G74+H77</f>
        <v>-492</v>
      </c>
      <c r="I74" s="494">
        <f t="shared" ref="I74:R74" si="37">+H74+I77</f>
        <v>-556</v>
      </c>
      <c r="J74" s="494">
        <f t="shared" si="37"/>
        <v>-560</v>
      </c>
      <c r="K74" s="494">
        <f t="shared" si="37"/>
        <v>-560</v>
      </c>
      <c r="L74" s="494">
        <f t="shared" si="37"/>
        <v>-560</v>
      </c>
      <c r="M74" s="494">
        <f t="shared" si="37"/>
        <v>-560</v>
      </c>
      <c r="N74" s="494">
        <f t="shared" si="37"/>
        <v>-560</v>
      </c>
      <c r="O74" s="494">
        <f t="shared" si="37"/>
        <v>-560</v>
      </c>
      <c r="P74" s="494">
        <f t="shared" si="37"/>
        <v>-560</v>
      </c>
      <c r="Q74" s="494">
        <f t="shared" si="37"/>
        <v>-560</v>
      </c>
      <c r="R74" s="495">
        <f t="shared" si="37"/>
        <v>-560</v>
      </c>
    </row>
    <row r="75" spans="1:18">
      <c r="A75" s="477" t="s">
        <v>973</v>
      </c>
      <c r="B75" s="480"/>
      <c r="C75" s="494">
        <f t="shared" ref="C75:R75" si="38">+C73+C74</f>
        <v>136</v>
      </c>
      <c r="D75" s="494">
        <f t="shared" si="38"/>
        <v>100</v>
      </c>
      <c r="E75" s="494">
        <f t="shared" si="38"/>
        <v>64</v>
      </c>
      <c r="F75" s="494">
        <f t="shared" si="38"/>
        <v>196</v>
      </c>
      <c r="G75" s="494">
        <f t="shared" si="38"/>
        <v>132</v>
      </c>
      <c r="H75" s="494">
        <f t="shared" si="38"/>
        <v>68</v>
      </c>
      <c r="I75" s="494">
        <f t="shared" si="38"/>
        <v>4</v>
      </c>
      <c r="J75" s="494">
        <f t="shared" si="38"/>
        <v>0</v>
      </c>
      <c r="K75" s="494">
        <f t="shared" si="38"/>
        <v>0</v>
      </c>
      <c r="L75" s="494">
        <f t="shared" si="38"/>
        <v>0</v>
      </c>
      <c r="M75" s="494">
        <f t="shared" si="38"/>
        <v>0</v>
      </c>
      <c r="N75" s="494">
        <f t="shared" si="38"/>
        <v>0</v>
      </c>
      <c r="O75" s="494">
        <f t="shared" si="38"/>
        <v>0</v>
      </c>
      <c r="P75" s="494">
        <f t="shared" si="38"/>
        <v>0</v>
      </c>
      <c r="Q75" s="494">
        <f t="shared" si="38"/>
        <v>0</v>
      </c>
      <c r="R75" s="495">
        <f t="shared" si="38"/>
        <v>0</v>
      </c>
    </row>
    <row r="76" spans="1:18">
      <c r="A76" s="496" t="s">
        <v>976</v>
      </c>
      <c r="B76" s="480"/>
      <c r="C76" s="494"/>
      <c r="D76" s="494">
        <f t="shared" ref="D76:G77" si="39">+D73-C73</f>
        <v>0</v>
      </c>
      <c r="E76" s="494">
        <f t="shared" si="39"/>
        <v>0</v>
      </c>
      <c r="F76" s="494">
        <f t="shared" si="39"/>
        <v>173</v>
      </c>
      <c r="G76" s="494">
        <f t="shared" si="39"/>
        <v>0</v>
      </c>
      <c r="H76" s="494"/>
      <c r="I76" s="494"/>
      <c r="J76" s="494"/>
      <c r="K76" s="494"/>
      <c r="L76" s="494"/>
      <c r="M76" s="494"/>
      <c r="N76" s="494"/>
      <c r="O76" s="494"/>
      <c r="P76" s="494"/>
      <c r="Q76" s="494"/>
      <c r="R76" s="495"/>
    </row>
    <row r="77" spans="1:18">
      <c r="A77" s="496" t="s">
        <v>977</v>
      </c>
      <c r="B77" s="480"/>
      <c r="C77" s="494"/>
      <c r="D77" s="494">
        <f t="shared" si="39"/>
        <v>-36</v>
      </c>
      <c r="E77" s="494">
        <f t="shared" si="39"/>
        <v>-36</v>
      </c>
      <c r="F77" s="494">
        <f t="shared" si="39"/>
        <v>-41</v>
      </c>
      <c r="G77" s="494">
        <f t="shared" si="39"/>
        <v>-64</v>
      </c>
      <c r="H77" s="494">
        <f>+H73*H78</f>
        <v>-64</v>
      </c>
      <c r="I77" s="494">
        <f>+I73*I78</f>
        <v>-64</v>
      </c>
      <c r="J77" s="494">
        <v>-4</v>
      </c>
      <c r="K77" s="494">
        <f t="shared" ref="K77:R77" si="40">+K73*K78</f>
        <v>0</v>
      </c>
      <c r="L77" s="494">
        <f t="shared" si="40"/>
        <v>0</v>
      </c>
      <c r="M77" s="494">
        <f t="shared" si="40"/>
        <v>0</v>
      </c>
      <c r="N77" s="494">
        <f t="shared" si="40"/>
        <v>0</v>
      </c>
      <c r="O77" s="494">
        <f t="shared" si="40"/>
        <v>0</v>
      </c>
      <c r="P77" s="494">
        <f t="shared" si="40"/>
        <v>0</v>
      </c>
      <c r="Q77" s="494">
        <f t="shared" si="40"/>
        <v>0</v>
      </c>
      <c r="R77" s="495">
        <f t="shared" si="40"/>
        <v>0</v>
      </c>
    </row>
    <row r="78" spans="1:18">
      <c r="A78" s="496" t="s">
        <v>978</v>
      </c>
      <c r="B78" s="480"/>
      <c r="C78" s="494"/>
      <c r="D78" s="497">
        <f>+D77/D73</f>
        <v>-9.3023255813953487E-2</v>
      </c>
      <c r="E78" s="497">
        <f>+E77/E73</f>
        <v>-9.3023255813953487E-2</v>
      </c>
      <c r="F78" s="497">
        <f>+F77/F73</f>
        <v>-7.3214285714285718E-2</v>
      </c>
      <c r="G78" s="497">
        <f>+G77/G73</f>
        <v>-0.11428571428571428</v>
      </c>
      <c r="H78" s="497">
        <v>-0.11428571428571428</v>
      </c>
      <c r="I78" s="497">
        <v>-0.11428571428571428</v>
      </c>
      <c r="J78" s="497"/>
      <c r="K78" s="497"/>
      <c r="L78" s="497"/>
      <c r="M78" s="497"/>
      <c r="N78" s="497"/>
      <c r="O78" s="497"/>
      <c r="P78" s="497"/>
      <c r="Q78" s="497"/>
      <c r="R78" s="515"/>
    </row>
    <row r="79" spans="1:18">
      <c r="A79" s="479"/>
      <c r="B79" s="480"/>
      <c r="C79" s="480"/>
      <c r="D79" s="480"/>
      <c r="E79" s="480"/>
      <c r="F79" s="480"/>
      <c r="G79" s="480"/>
      <c r="H79" s="480"/>
      <c r="I79" s="480"/>
      <c r="J79" s="480"/>
      <c r="K79" s="480"/>
      <c r="L79" s="480"/>
      <c r="M79" s="480"/>
      <c r="N79" s="480"/>
      <c r="O79" s="480"/>
      <c r="P79" s="480"/>
      <c r="Q79" s="480"/>
      <c r="R79" s="481"/>
    </row>
    <row r="80" spans="1:18">
      <c r="A80" s="477" t="s">
        <v>974</v>
      </c>
      <c r="B80" s="494">
        <f>+B26+B28+B43+B58+B66+B73</f>
        <v>0</v>
      </c>
      <c r="C80" s="494">
        <f>+C26+C28+C43+C58+C66+C73+C51+C36</f>
        <v>395755</v>
      </c>
      <c r="D80" s="494">
        <f>+D26+D28+D43+D58+D66+D73+D51+D36</f>
        <v>398398</v>
      </c>
      <c r="E80" s="494">
        <f>+E26+E28+E43+E58+E66+E73+E51+E36</f>
        <v>408367</v>
      </c>
      <c r="F80" s="494">
        <f>+F26+F28+F43+F58+F66+F73+F51+F36</f>
        <v>444648</v>
      </c>
      <c r="G80" s="494">
        <f>+G26+G28+G43+G58+G66+G73+G51+G36</f>
        <v>487446</v>
      </c>
      <c r="H80" s="494">
        <f t="shared" ref="H80:R80" si="41">+H26+H28+H43+H58+H66+H73+H51+H36</f>
        <v>487446</v>
      </c>
      <c r="I80" s="494">
        <f t="shared" si="41"/>
        <v>487446</v>
      </c>
      <c r="J80" s="494">
        <f t="shared" si="41"/>
        <v>487446</v>
      </c>
      <c r="K80" s="494">
        <f t="shared" si="41"/>
        <v>487446</v>
      </c>
      <c r="L80" s="494">
        <f t="shared" si="41"/>
        <v>487446</v>
      </c>
      <c r="M80" s="494">
        <f t="shared" si="41"/>
        <v>487446</v>
      </c>
      <c r="N80" s="494">
        <f t="shared" si="41"/>
        <v>487446</v>
      </c>
      <c r="O80" s="494">
        <f t="shared" si="41"/>
        <v>487446</v>
      </c>
      <c r="P80" s="494">
        <f t="shared" si="41"/>
        <v>487446</v>
      </c>
      <c r="Q80" s="494">
        <f t="shared" si="41"/>
        <v>487446</v>
      </c>
      <c r="R80" s="495">
        <f t="shared" si="41"/>
        <v>487446</v>
      </c>
    </row>
    <row r="81" spans="1:18">
      <c r="A81" s="493" t="s">
        <v>967</v>
      </c>
      <c r="B81" s="494">
        <f t="shared" ref="B81:G81" si="42">+B29+B44+B59+B67+B74</f>
        <v>0</v>
      </c>
      <c r="C81" s="494">
        <f t="shared" si="42"/>
        <v>-316227</v>
      </c>
      <c r="D81" s="494">
        <f t="shared" si="42"/>
        <v>-328660</v>
      </c>
      <c r="E81" s="494">
        <f t="shared" si="42"/>
        <v>-340045</v>
      </c>
      <c r="F81" s="494">
        <f t="shared" si="42"/>
        <v>-350854</v>
      </c>
      <c r="G81" s="494">
        <f t="shared" si="42"/>
        <v>-361011</v>
      </c>
      <c r="H81" s="494">
        <f>+H29+H44+H59+H67+H74+H52+H37</f>
        <v>-379181.95</v>
      </c>
      <c r="I81" s="494">
        <f t="shared" ref="I81:R81" si="43">+I29+I44+I59+I67+I74+I52+I37</f>
        <v>-397352.9</v>
      </c>
      <c r="J81" s="494">
        <f t="shared" si="43"/>
        <v>-415463.85</v>
      </c>
      <c r="K81" s="494">
        <f t="shared" si="43"/>
        <v>-429706.8</v>
      </c>
      <c r="L81" s="494">
        <f t="shared" si="43"/>
        <v>-438971.75</v>
      </c>
      <c r="M81" s="494">
        <f t="shared" si="43"/>
        <v>-446985.7</v>
      </c>
      <c r="N81" s="494">
        <f t="shared" si="43"/>
        <v>-454999.65</v>
      </c>
      <c r="O81" s="494">
        <f t="shared" si="43"/>
        <v>-463013.6</v>
      </c>
      <c r="P81" s="494">
        <f t="shared" si="43"/>
        <v>-471027.55</v>
      </c>
      <c r="Q81" s="494">
        <f t="shared" si="43"/>
        <v>-479041.5</v>
      </c>
      <c r="R81" s="495">
        <f t="shared" si="43"/>
        <v>-479513.25</v>
      </c>
    </row>
    <row r="82" spans="1:18" ht="15.75">
      <c r="A82" s="520" t="s">
        <v>975</v>
      </c>
      <c r="B82" s="510">
        <f t="shared" ref="B82:G82" si="44">+B80+B81</f>
        <v>0</v>
      </c>
      <c r="C82" s="510">
        <f t="shared" si="44"/>
        <v>79528</v>
      </c>
      <c r="D82" s="510">
        <f t="shared" si="44"/>
        <v>69738</v>
      </c>
      <c r="E82" s="510">
        <f t="shared" si="44"/>
        <v>68322</v>
      </c>
      <c r="F82" s="510">
        <f t="shared" si="44"/>
        <v>93794</v>
      </c>
      <c r="G82" s="510">
        <f t="shared" si="44"/>
        <v>126435</v>
      </c>
      <c r="H82" s="510">
        <f t="shared" ref="H82:R82" si="45">+H80+H81</f>
        <v>108264.04999999999</v>
      </c>
      <c r="I82" s="510">
        <f t="shared" si="45"/>
        <v>90093.099999999977</v>
      </c>
      <c r="J82" s="510">
        <f t="shared" si="45"/>
        <v>71982.150000000023</v>
      </c>
      <c r="K82" s="510">
        <f t="shared" si="45"/>
        <v>57739.200000000012</v>
      </c>
      <c r="L82" s="510">
        <f t="shared" si="45"/>
        <v>48474.25</v>
      </c>
      <c r="M82" s="510">
        <f t="shared" si="45"/>
        <v>40460.299999999988</v>
      </c>
      <c r="N82" s="510">
        <f t="shared" si="45"/>
        <v>32446.349999999977</v>
      </c>
      <c r="O82" s="510">
        <f t="shared" si="45"/>
        <v>24432.400000000023</v>
      </c>
      <c r="P82" s="510">
        <f t="shared" si="45"/>
        <v>16418.450000000012</v>
      </c>
      <c r="Q82" s="510">
        <f t="shared" si="45"/>
        <v>8404.5</v>
      </c>
      <c r="R82" s="512">
        <f t="shared" si="45"/>
        <v>7932.75</v>
      </c>
    </row>
    <row r="83" spans="1:18">
      <c r="B83" s="302"/>
      <c r="C83" s="302"/>
      <c r="D83" s="302"/>
      <c r="E83" s="302"/>
      <c r="F83" s="302"/>
      <c r="G83" s="302"/>
    </row>
    <row r="84" spans="1:18" ht="15.75">
      <c r="A84" s="521" t="s">
        <v>1068</v>
      </c>
      <c r="B84" s="491"/>
      <c r="C84" s="522">
        <v>-13197</v>
      </c>
      <c r="D84" s="522">
        <f>+D81-C81</f>
        <v>-12433</v>
      </c>
      <c r="E84" s="522">
        <f t="shared" ref="E84:R84" si="46">+E81-D81</f>
        <v>-11385</v>
      </c>
      <c r="F84" s="522">
        <f t="shared" si="46"/>
        <v>-10809</v>
      </c>
      <c r="G84" s="522">
        <f t="shared" si="46"/>
        <v>-10157</v>
      </c>
      <c r="H84" s="522">
        <f t="shared" si="46"/>
        <v>-18170.950000000012</v>
      </c>
      <c r="I84" s="522">
        <f t="shared" si="46"/>
        <v>-18170.950000000012</v>
      </c>
      <c r="J84" s="522">
        <f t="shared" si="46"/>
        <v>-18110.949999999953</v>
      </c>
      <c r="K84" s="522">
        <f t="shared" si="46"/>
        <v>-14242.950000000012</v>
      </c>
      <c r="L84" s="522">
        <f t="shared" si="46"/>
        <v>-9264.9500000000116</v>
      </c>
      <c r="M84" s="522">
        <f t="shared" si="46"/>
        <v>-8013.9500000000116</v>
      </c>
      <c r="N84" s="522">
        <f t="shared" si="46"/>
        <v>-8013.9500000000116</v>
      </c>
      <c r="O84" s="522">
        <f t="shared" si="46"/>
        <v>-8013.9499999999534</v>
      </c>
      <c r="P84" s="522">
        <f t="shared" si="46"/>
        <v>-8013.9500000000116</v>
      </c>
      <c r="Q84" s="522">
        <f t="shared" si="46"/>
        <v>-8013.9500000000116</v>
      </c>
      <c r="R84" s="523">
        <f t="shared" si="46"/>
        <v>-471.75</v>
      </c>
    </row>
    <row r="85" spans="1:18">
      <c r="A85" s="524" t="s">
        <v>1029</v>
      </c>
      <c r="B85" s="480"/>
      <c r="C85" s="506">
        <v>-11866</v>
      </c>
      <c r="D85" s="506">
        <v>-11240</v>
      </c>
      <c r="E85" s="506">
        <v>-10212</v>
      </c>
      <c r="F85" s="506">
        <v>-9807</v>
      </c>
      <c r="G85" s="506">
        <v>-9360</v>
      </c>
      <c r="H85" s="506">
        <f>+H$84*$B89</f>
        <v>-16459.212158555765</v>
      </c>
      <c r="I85" s="506">
        <f t="shared" ref="I85:R85" si="47">+I$84*$B89</f>
        <v>-16459.212158555765</v>
      </c>
      <c r="J85" s="506">
        <f t="shared" si="47"/>
        <v>-16404.864271983279</v>
      </c>
      <c r="K85" s="506">
        <f t="shared" si="47"/>
        <v>-12901.237184280506</v>
      </c>
      <c r="L85" s="506">
        <f t="shared" si="47"/>
        <v>-8392.1741949876759</v>
      </c>
      <c r="M85" s="506">
        <f t="shared" si="47"/>
        <v>-7259.0207599524556</v>
      </c>
      <c r="N85" s="506">
        <f t="shared" si="47"/>
        <v>-7259.0207599524556</v>
      </c>
      <c r="O85" s="506">
        <f t="shared" si="47"/>
        <v>-7259.0207599524028</v>
      </c>
      <c r="P85" s="506">
        <f t="shared" si="47"/>
        <v>-7259.0207599524556</v>
      </c>
      <c r="Q85" s="506">
        <f t="shared" si="47"/>
        <v>-7259.0207599524556</v>
      </c>
      <c r="R85" s="507">
        <f t="shared" si="47"/>
        <v>-427.31025817575176</v>
      </c>
    </row>
    <row r="86" spans="1:18">
      <c r="A86" s="524" t="s">
        <v>1069</v>
      </c>
      <c r="B86" s="480"/>
      <c r="C86" s="506">
        <v>-1016</v>
      </c>
      <c r="D86" s="506">
        <v>-870</v>
      </c>
      <c r="E86" s="506">
        <v>-850</v>
      </c>
      <c r="F86" s="506">
        <v>-675</v>
      </c>
      <c r="G86" s="506">
        <v>-469</v>
      </c>
      <c r="H86" s="506">
        <f t="shared" ref="H86:R87" si="48">+H$84*$B90</f>
        <v>-1200.1727567912501</v>
      </c>
      <c r="I86" s="506">
        <f t="shared" si="48"/>
        <v>-1200.1727567912501</v>
      </c>
      <c r="J86" s="506">
        <f t="shared" si="48"/>
        <v>-1196.2098178470812</v>
      </c>
      <c r="K86" s="506">
        <f t="shared" si="48"/>
        <v>-940.73235391324818</v>
      </c>
      <c r="L86" s="506">
        <f t="shared" si="48"/>
        <v>-611.94051951235895</v>
      </c>
      <c r="M86" s="506">
        <f t="shared" si="48"/>
        <v>-529.31324252651871</v>
      </c>
      <c r="N86" s="506">
        <f t="shared" si="48"/>
        <v>-529.31324252651871</v>
      </c>
      <c r="O86" s="506">
        <f t="shared" si="48"/>
        <v>-529.31324252651484</v>
      </c>
      <c r="P86" s="506">
        <f t="shared" si="48"/>
        <v>-529.31324252651871</v>
      </c>
      <c r="Q86" s="506">
        <f t="shared" si="48"/>
        <v>-529.31324252651871</v>
      </c>
      <c r="R86" s="507">
        <f t="shared" si="48"/>
        <v>-31.158607448497289</v>
      </c>
    </row>
    <row r="87" spans="1:18">
      <c r="A87" s="524" t="s">
        <v>202</v>
      </c>
      <c r="B87" s="480"/>
      <c r="C87" s="506">
        <v>-315</v>
      </c>
      <c r="D87" s="506">
        <v>-323</v>
      </c>
      <c r="E87" s="506">
        <v>-323</v>
      </c>
      <c r="F87" s="506">
        <v>-327</v>
      </c>
      <c r="G87" s="506">
        <v>-328</v>
      </c>
      <c r="H87" s="506">
        <f t="shared" si="48"/>
        <v>-511.56508465299544</v>
      </c>
      <c r="I87" s="506">
        <f t="shared" si="48"/>
        <v>-511.56508465299544</v>
      </c>
      <c r="J87" s="506">
        <f t="shared" si="48"/>
        <v>-509.87591016959146</v>
      </c>
      <c r="K87" s="506">
        <f t="shared" si="48"/>
        <v>-400.98046180625573</v>
      </c>
      <c r="L87" s="506">
        <f t="shared" si="48"/>
        <v>-260.8352854999751</v>
      </c>
      <c r="M87" s="506">
        <f t="shared" si="48"/>
        <v>-225.61599752103638</v>
      </c>
      <c r="N87" s="506">
        <f t="shared" si="48"/>
        <v>-225.61599752103638</v>
      </c>
      <c r="O87" s="506">
        <f t="shared" si="48"/>
        <v>-225.61599752103476</v>
      </c>
      <c r="P87" s="506">
        <f t="shared" si="48"/>
        <v>-225.61599752103638</v>
      </c>
      <c r="Q87" s="506">
        <f t="shared" si="48"/>
        <v>-225.61599752103638</v>
      </c>
      <c r="R87" s="507">
        <f t="shared" si="48"/>
        <v>-13.281134375750879</v>
      </c>
    </row>
    <row r="88" spans="1:18">
      <c r="A88" s="479"/>
      <c r="B88" s="480"/>
      <c r="C88" s="506"/>
      <c r="D88" s="506"/>
      <c r="E88" s="506"/>
      <c r="F88" s="506"/>
      <c r="G88" s="506"/>
      <c r="H88" s="506"/>
      <c r="I88" s="506"/>
      <c r="J88" s="506"/>
      <c r="K88" s="506"/>
      <c r="L88" s="506"/>
      <c r="M88" s="506"/>
      <c r="N88" s="506"/>
      <c r="O88" s="506"/>
      <c r="P88" s="506"/>
      <c r="Q88" s="506"/>
      <c r="R88" s="507"/>
    </row>
    <row r="89" spans="1:18">
      <c r="A89" s="524" t="s">
        <v>1029</v>
      </c>
      <c r="B89" s="514">
        <f>AVERAGE(C89:G89)</f>
        <v>0.90579810954054429</v>
      </c>
      <c r="C89" s="514">
        <f t="shared" ref="C89:G91" si="49">+C85/C$84</f>
        <v>0.89914374479048265</v>
      </c>
      <c r="D89" s="514">
        <f t="shared" si="49"/>
        <v>0.90404568487090808</v>
      </c>
      <c r="E89" s="514">
        <f t="shared" si="49"/>
        <v>0.89696969696969697</v>
      </c>
      <c r="F89" s="514">
        <f t="shared" si="49"/>
        <v>0.90729947266167088</v>
      </c>
      <c r="G89" s="514">
        <f t="shared" si="49"/>
        <v>0.92153194840996355</v>
      </c>
      <c r="H89" s="506"/>
      <c r="I89" s="506"/>
      <c r="J89" s="506"/>
      <c r="K89" s="506"/>
      <c r="L89" s="506"/>
      <c r="M89" s="506"/>
      <c r="N89" s="506"/>
      <c r="O89" s="506"/>
      <c r="P89" s="506"/>
      <c r="Q89" s="506"/>
      <c r="R89" s="507"/>
    </row>
    <row r="90" spans="1:18">
      <c r="A90" s="524" t="s">
        <v>1069</v>
      </c>
      <c r="B90" s="514">
        <f>AVERAGE(C90:G90)</f>
        <v>6.6048982402749951E-2</v>
      </c>
      <c r="C90" s="514">
        <f t="shared" si="49"/>
        <v>7.6987194059255887E-2</v>
      </c>
      <c r="D90" s="514">
        <f t="shared" si="49"/>
        <v>6.9975066355666374E-2</v>
      </c>
      <c r="E90" s="514">
        <f t="shared" si="49"/>
        <v>7.4659639877031184E-2</v>
      </c>
      <c r="F90" s="514">
        <f t="shared" si="49"/>
        <v>6.2447960033305577E-2</v>
      </c>
      <c r="G90" s="514">
        <f t="shared" si="49"/>
        <v>4.6175051688490697E-2</v>
      </c>
      <c r="H90" s="506"/>
      <c r="I90" s="506"/>
      <c r="J90" s="506"/>
      <c r="K90" s="506"/>
      <c r="L90" s="506"/>
      <c r="M90" s="506"/>
      <c r="N90" s="506"/>
      <c r="O90" s="506"/>
      <c r="P90" s="506"/>
      <c r="Q90" s="506"/>
      <c r="R90" s="507"/>
    </row>
    <row r="91" spans="1:18">
      <c r="A91" s="525" t="s">
        <v>202</v>
      </c>
      <c r="B91" s="526">
        <f>AVERAGE(C91:G91)</f>
        <v>2.8152908056705627E-2</v>
      </c>
      <c r="C91" s="526">
        <f t="shared" si="49"/>
        <v>2.3869061150261422E-2</v>
      </c>
      <c r="D91" s="526">
        <f t="shared" si="49"/>
        <v>2.597924877342556E-2</v>
      </c>
      <c r="E91" s="526">
        <f t="shared" si="49"/>
        <v>2.8370663153271847E-2</v>
      </c>
      <c r="F91" s="526">
        <f t="shared" si="49"/>
        <v>3.0252567305023591E-2</v>
      </c>
      <c r="G91" s="526">
        <f t="shared" si="49"/>
        <v>3.229299990154573E-2</v>
      </c>
      <c r="H91" s="527"/>
      <c r="I91" s="527"/>
      <c r="J91" s="527"/>
      <c r="K91" s="527"/>
      <c r="L91" s="527"/>
      <c r="M91" s="527"/>
      <c r="N91" s="527"/>
      <c r="O91" s="527"/>
      <c r="P91" s="527"/>
      <c r="Q91" s="527"/>
      <c r="R91" s="528"/>
    </row>
    <row r="92" spans="1:18">
      <c r="C92" s="342"/>
      <c r="D92" s="342"/>
      <c r="E92" s="342"/>
      <c r="F92" s="342"/>
      <c r="G92" s="342"/>
      <c r="H92" s="342"/>
      <c r="I92" s="342"/>
      <c r="J92" s="342"/>
      <c r="K92" s="342"/>
      <c r="L92" s="342"/>
      <c r="M92" s="342"/>
      <c r="N92" s="342"/>
      <c r="O92" s="342"/>
      <c r="P92" s="342"/>
      <c r="Q92" s="342"/>
      <c r="R92" s="342"/>
    </row>
    <row r="93" spans="1:18" ht="15.75">
      <c r="A93" s="521" t="s">
        <v>1070</v>
      </c>
      <c r="B93" s="491"/>
      <c r="C93" s="504"/>
      <c r="D93" s="504"/>
      <c r="E93" s="504"/>
      <c r="F93" s="504"/>
      <c r="G93" s="504"/>
      <c r="H93" s="504"/>
      <c r="I93" s="504"/>
      <c r="J93" s="504"/>
      <c r="K93" s="504"/>
      <c r="L93" s="504"/>
      <c r="M93" s="504"/>
      <c r="N93" s="504"/>
      <c r="O93" s="504"/>
      <c r="P93" s="504"/>
      <c r="Q93" s="504"/>
      <c r="R93" s="505"/>
    </row>
    <row r="94" spans="1:18">
      <c r="A94" s="525" t="s">
        <v>1069</v>
      </c>
      <c r="B94" s="484"/>
      <c r="C94" s="484">
        <v>-360</v>
      </c>
      <c r="D94" s="484">
        <v>-248</v>
      </c>
      <c r="E94" s="484">
        <v>-229</v>
      </c>
      <c r="F94" s="484">
        <v>-228</v>
      </c>
      <c r="G94" s="484">
        <v>-197</v>
      </c>
      <c r="H94" s="484">
        <v>-198.5</v>
      </c>
      <c r="I94" s="484">
        <v>-198.5</v>
      </c>
      <c r="J94" s="484"/>
      <c r="K94" s="484"/>
      <c r="L94" s="484"/>
      <c r="M94" s="484"/>
      <c r="N94" s="484"/>
      <c r="O94" s="484"/>
      <c r="P94" s="484"/>
      <c r="Q94" s="484"/>
      <c r="R94" s="486"/>
    </row>
  </sheetData>
  <phoneticPr fontId="0" type="noConversion"/>
  <printOptions horizontalCentered="1" verticalCentered="1"/>
  <pageMargins left="0.51181102362204722" right="0.51181102362204722" top="0.51181102362204722" bottom="0.51181102362204722" header="0.51181102362204722" footer="0.51181102362204722"/>
  <pageSetup firstPageNumber="8" orientation="landscape" blackAndWhite="1" horizontalDpi="300" verticalDpi="300"/>
  <headerFooter>
    <oddHeader>&amp;A</oddHeader>
    <oddFooter>&amp;CCia.Modelo -  EVA&amp;RPágina &amp;P</oddFooter>
  </headerFooter>
  <legacyDrawing r:id="rId1"/>
</worksheet>
</file>

<file path=xl/worksheets/sheet2.xml><?xml version="1.0" encoding="utf-8"?>
<worksheet xmlns="http://schemas.openxmlformats.org/spreadsheetml/2006/main" xmlns:r="http://schemas.openxmlformats.org/officeDocument/2006/relationships">
  <dimension ref="A1:S37"/>
  <sheetViews>
    <sheetView showGridLines="0" zoomScale="87" workbookViewId="0">
      <selection activeCell="A8" sqref="A8"/>
    </sheetView>
  </sheetViews>
  <sheetFormatPr baseColWidth="10" defaultColWidth="8.88671875" defaultRowHeight="15"/>
  <cols>
    <col min="1" max="1" width="17.5546875" bestFit="1" customWidth="1"/>
    <col min="2" max="2" width="10.33203125" bestFit="1" customWidth="1"/>
    <col min="3" max="3" width="14.6640625" customWidth="1"/>
    <col min="4" max="4" width="13.109375" customWidth="1"/>
    <col min="5" max="5" width="13.77734375" customWidth="1"/>
    <col min="6" max="6" width="16.88671875" customWidth="1"/>
    <col min="7" max="7" width="17.21875" customWidth="1"/>
    <col min="8" max="8" width="18.77734375" customWidth="1"/>
    <col min="9" max="9" width="13.44140625" customWidth="1"/>
    <col min="10" max="10" width="17.21875" customWidth="1"/>
    <col min="11" max="11" width="19.5546875" customWidth="1"/>
    <col min="12" max="12" width="20.6640625" customWidth="1"/>
    <col min="13" max="13" width="13.6640625" customWidth="1"/>
    <col min="14" max="14" width="13.88671875" customWidth="1"/>
    <col min="15" max="15" width="14.21875" customWidth="1"/>
  </cols>
  <sheetData>
    <row r="1" spans="1:19" ht="15.75">
      <c r="A1" s="1" t="str">
        <f>+Balance!A1</f>
        <v>ENKA de Colombia S.A.</v>
      </c>
    </row>
    <row r="2" spans="1:19" ht="15.75">
      <c r="A2" s="27" t="s">
        <v>278</v>
      </c>
    </row>
    <row r="4" spans="1:19" ht="58.5" customHeight="1" thickBot="1">
      <c r="B4" s="96" t="s">
        <v>284</v>
      </c>
      <c r="C4" s="550" t="s">
        <v>1166</v>
      </c>
      <c r="D4" s="532" t="s">
        <v>1167</v>
      </c>
      <c r="E4" s="532" t="s">
        <v>1170</v>
      </c>
      <c r="F4" s="532" t="s">
        <v>1171</v>
      </c>
      <c r="G4" s="532" t="s">
        <v>1168</v>
      </c>
      <c r="H4" s="532" t="s">
        <v>1169</v>
      </c>
      <c r="I4" s="532" t="s">
        <v>1172</v>
      </c>
      <c r="J4" s="532" t="s">
        <v>1173</v>
      </c>
      <c r="K4" s="532" t="s">
        <v>1196</v>
      </c>
      <c r="L4" s="532" t="s">
        <v>1197</v>
      </c>
    </row>
    <row r="5" spans="1:19">
      <c r="B5" s="97"/>
      <c r="C5" s="102"/>
    </row>
    <row r="6" spans="1:19">
      <c r="A6" t="s">
        <v>279</v>
      </c>
      <c r="B6" s="98">
        <v>76545.488907865292</v>
      </c>
      <c r="C6" s="103">
        <v>77506.018440146101</v>
      </c>
      <c r="D6" s="583">
        <v>75569.857767654117</v>
      </c>
      <c r="E6" s="583">
        <v>-1363.1585819355678</v>
      </c>
      <c r="F6" s="583">
        <v>149923.21688584835</v>
      </c>
      <c r="G6" s="583">
        <v>20103.053298731382</v>
      </c>
      <c r="H6" s="583">
        <v>130695.64063452859</v>
      </c>
      <c r="I6" s="583">
        <v>62135.028829436989</v>
      </c>
      <c r="J6" s="583">
        <v>71765.967199989187</v>
      </c>
      <c r="K6" s="583">
        <v>72433.06877289174</v>
      </c>
      <c r="L6" s="583">
        <v>81002.02541287661</v>
      </c>
    </row>
    <row r="7" spans="1:19">
      <c r="B7" s="98"/>
      <c r="C7" s="103"/>
      <c r="D7" s="583"/>
      <c r="E7" s="583"/>
      <c r="F7" s="583"/>
      <c r="G7" s="583"/>
      <c r="H7" s="583"/>
      <c r="I7" s="583"/>
      <c r="J7" s="583"/>
      <c r="K7" s="583"/>
      <c r="L7" s="583"/>
    </row>
    <row r="8" spans="1:19">
      <c r="A8" t="s">
        <v>280</v>
      </c>
      <c r="B8" s="98">
        <v>68922.169997930134</v>
      </c>
      <c r="C8" s="103">
        <v>73766.369784180599</v>
      </c>
      <c r="D8" s="583">
        <v>64261.458949403881</v>
      </c>
      <c r="E8" s="583">
        <v>27839.554951088026</v>
      </c>
      <c r="F8" s="583">
        <v>114608.24780022448</v>
      </c>
      <c r="G8" s="583">
        <v>66349.644356324614</v>
      </c>
      <c r="H8" s="583">
        <v>74845.696851212386</v>
      </c>
      <c r="I8" s="583">
        <v>68699.454018437085</v>
      </c>
      <c r="J8" s="583">
        <v>68950.735103267638</v>
      </c>
      <c r="K8" s="583">
        <v>57319.762952347701</v>
      </c>
      <c r="L8" s="583">
        <v>83611.326775178313</v>
      </c>
    </row>
    <row r="9" spans="1:19" ht="15.75" thickBot="1">
      <c r="B9" s="97"/>
      <c r="C9" s="102"/>
    </row>
    <row r="10" spans="1:19" ht="15.75">
      <c r="A10" t="s">
        <v>281</v>
      </c>
      <c r="B10" s="99">
        <f t="shared" ref="B10:I10" si="0">SUM(B6:B9)</f>
        <v>145467.65890579543</v>
      </c>
      <c r="C10" s="104">
        <f t="shared" si="0"/>
        <v>151272.38822432671</v>
      </c>
      <c r="D10" s="94">
        <f t="shared" si="0"/>
        <v>139831.31671705801</v>
      </c>
      <c r="E10" s="94">
        <f t="shared" si="0"/>
        <v>26476.396369152459</v>
      </c>
      <c r="F10" s="94">
        <f t="shared" si="0"/>
        <v>264531.46468607284</v>
      </c>
      <c r="G10" s="94">
        <f t="shared" si="0"/>
        <v>86452.697655055992</v>
      </c>
      <c r="H10" s="94">
        <f t="shared" si="0"/>
        <v>205541.33748574098</v>
      </c>
      <c r="I10" s="94">
        <f t="shared" si="0"/>
        <v>130834.48284787408</v>
      </c>
      <c r="J10" s="94">
        <f>SUM(J6:J9)</f>
        <v>140716.70230325684</v>
      </c>
      <c r="K10" s="94">
        <f>SUM(K6:K9)</f>
        <v>129752.83172523943</v>
      </c>
      <c r="L10" s="94">
        <f>SUM(L6:L9)</f>
        <v>164613.35218805494</v>
      </c>
    </row>
    <row r="11" spans="1:19" ht="15.75">
      <c r="B11" s="100"/>
      <c r="C11" s="105">
        <f t="shared" ref="C11:L11" si="1">C10/$B$10-1</f>
        <v>3.9903916528212013E-2</v>
      </c>
      <c r="D11" s="95">
        <f t="shared" si="1"/>
        <v>-3.8746359370418482E-2</v>
      </c>
      <c r="E11" s="95">
        <f t="shared" si="1"/>
        <v>-0.81799118396276305</v>
      </c>
      <c r="F11" s="95">
        <f t="shared" si="1"/>
        <v>0.81848987380337856</v>
      </c>
      <c r="G11" s="95">
        <f t="shared" si="1"/>
        <v>-0.40569128351036021</v>
      </c>
      <c r="H11" s="95">
        <f t="shared" si="1"/>
        <v>0.41296930899842943</v>
      </c>
      <c r="I11" s="95">
        <f t="shared" si="1"/>
        <v>-0.10059401634694454</v>
      </c>
      <c r="J11" s="95">
        <f t="shared" si="1"/>
        <v>-3.2659882191513723E-2</v>
      </c>
      <c r="K11" s="95">
        <f t="shared" si="1"/>
        <v>-0.10802969745139623</v>
      </c>
      <c r="L11" s="95">
        <f t="shared" si="1"/>
        <v>0.13161477558842294</v>
      </c>
    </row>
    <row r="12" spans="1:19">
      <c r="B12" s="97"/>
      <c r="C12" s="102"/>
    </row>
    <row r="13" spans="1:19">
      <c r="A13" t="s">
        <v>282</v>
      </c>
      <c r="B13" s="101">
        <f t="shared" ref="B13:I13" si="2">B6/B10</f>
        <v>0.5262027964403827</v>
      </c>
      <c r="C13" s="106">
        <f t="shared" si="2"/>
        <v>0.51236064525675318</v>
      </c>
      <c r="D13" s="66">
        <f t="shared" si="2"/>
        <v>0.54043585901837798</v>
      </c>
      <c r="E13" s="66">
        <f t="shared" si="2"/>
        <v>-5.1485805051769744E-2</v>
      </c>
      <c r="F13" s="66">
        <f t="shared" si="2"/>
        <v>0.56675003506205424</v>
      </c>
      <c r="G13" s="66">
        <f t="shared" si="2"/>
        <v>0.23253240030683647</v>
      </c>
      <c r="H13" s="66">
        <f t="shared" si="2"/>
        <v>0.63586061194914301</v>
      </c>
      <c r="I13" s="66">
        <f t="shared" si="2"/>
        <v>0.47491324517011013</v>
      </c>
      <c r="J13" s="66">
        <f>J6/J10</f>
        <v>0.5100031909881404</v>
      </c>
      <c r="K13" s="66">
        <f>K6/K10</f>
        <v>0.55823882846945305</v>
      </c>
      <c r="L13" s="66">
        <f>L6/L10</f>
        <v>0.49207445408401368</v>
      </c>
    </row>
    <row r="14" spans="1:19">
      <c r="A14" t="s">
        <v>283</v>
      </c>
      <c r="B14" s="101">
        <f t="shared" ref="B14:I14" si="3">B8/B10</f>
        <v>0.4737972035596173</v>
      </c>
      <c r="C14" s="106">
        <f t="shared" si="3"/>
        <v>0.48763935474324677</v>
      </c>
      <c r="D14" s="66">
        <f t="shared" si="3"/>
        <v>0.45956414098162196</v>
      </c>
      <c r="E14" s="66">
        <f t="shared" si="3"/>
        <v>1.0514858050517697</v>
      </c>
      <c r="F14" s="66">
        <f t="shared" si="3"/>
        <v>0.43324996493794571</v>
      </c>
      <c r="G14" s="66">
        <f t="shared" si="3"/>
        <v>0.76746759969316358</v>
      </c>
      <c r="H14" s="66">
        <f t="shared" si="3"/>
        <v>0.36413938805085694</v>
      </c>
      <c r="I14" s="66">
        <f t="shared" si="3"/>
        <v>0.52508675482988987</v>
      </c>
      <c r="J14" s="66">
        <f>J8/J10</f>
        <v>0.48999680901185955</v>
      </c>
      <c r="K14" s="66">
        <f>K8/K10</f>
        <v>0.441761171530547</v>
      </c>
      <c r="L14" s="66">
        <f>L8/L10</f>
        <v>0.50792554591598627</v>
      </c>
    </row>
    <row r="16" spans="1:19">
      <c r="S16" s="66"/>
    </row>
    <row r="17" spans="1:12">
      <c r="A17" t="s">
        <v>299</v>
      </c>
      <c r="B17" s="115">
        <f>Valoraciones!B27/Balance!P67</f>
        <v>0.3234215108144417</v>
      </c>
    </row>
    <row r="18" spans="1:12">
      <c r="A18" t="s">
        <v>300</v>
      </c>
      <c r="B18" s="115">
        <f>Valoraciones!B27/FCL!O9</f>
        <v>3.7173144391603823</v>
      </c>
    </row>
    <row r="19" spans="1:12">
      <c r="A19" t="s">
        <v>301</v>
      </c>
      <c r="B19" s="115">
        <f>Valoraciones!B27/(NPV(Valoraciones!B15,AnalVr.Proy.!C22:I22)-PV(Valoraciones!B15,Valoraciones!L6-Valoraciones!B6,,AnalVr.Proy.!M22/(Valoraciones!B15-Valoraciones!B16)))</f>
        <v>1.626851851030789</v>
      </c>
      <c r="C19" s="115"/>
    </row>
    <row r="20" spans="1:12">
      <c r="C20" s="115"/>
    </row>
    <row r="21" spans="1:12">
      <c r="A21" s="586" t="s">
        <v>1193</v>
      </c>
      <c r="B21" s="362">
        <v>7.0497327678928468</v>
      </c>
      <c r="C21" s="342">
        <v>7.5427149582452904</v>
      </c>
      <c r="D21" s="342">
        <v>6.5710513057083704</v>
      </c>
      <c r="E21" s="342">
        <v>-3.0559190238016898</v>
      </c>
      <c r="F21" s="342">
        <v>17.161545488922702</v>
      </c>
      <c r="G21" s="342">
        <v>2.0377290611781298</v>
      </c>
      <c r="H21" s="342">
        <v>12.1516508804783</v>
      </c>
      <c r="I21" s="342">
        <v>5.8069710835853501</v>
      </c>
      <c r="J21" s="342">
        <v>6.64624504888556</v>
      </c>
      <c r="K21" s="342">
        <v>5.7151089638597501</v>
      </c>
      <c r="L21" s="342">
        <v>8.6757320681483492</v>
      </c>
    </row>
    <row r="22" spans="1:12" hidden="1">
      <c r="A22" t="s">
        <v>165</v>
      </c>
      <c r="B22" s="66"/>
      <c r="C22" s="66"/>
      <c r="D22" s="66"/>
      <c r="E22" s="66"/>
    </row>
    <row r="23" spans="1:12" hidden="1">
      <c r="A23" s="48">
        <f>A24-0.5%</f>
        <v>0.12370922131773487</v>
      </c>
      <c r="B23" s="113"/>
      <c r="C23" s="113"/>
      <c r="D23" s="113"/>
      <c r="E23" s="113"/>
    </row>
    <row r="24" spans="1:12" hidden="1">
      <c r="A24" s="48">
        <f>A25-0.5%</f>
        <v>0.12870922131773488</v>
      </c>
      <c r="B24" s="113"/>
      <c r="C24" s="113"/>
      <c r="D24" s="113"/>
      <c r="E24" s="113"/>
    </row>
    <row r="25" spans="1:12" hidden="1">
      <c r="A25" s="48">
        <f>+WACC!D36</f>
        <v>0.13370922131773488</v>
      </c>
      <c r="B25" s="114"/>
      <c r="C25" s="113"/>
      <c r="D25" s="113"/>
      <c r="E25" s="113"/>
    </row>
    <row r="26" spans="1:12" hidden="1">
      <c r="A26" s="48">
        <f>A25+0.5%</f>
        <v>0.13870922131773489</v>
      </c>
      <c r="B26" s="113"/>
      <c r="C26" s="113"/>
      <c r="D26" s="113"/>
      <c r="E26" s="113"/>
    </row>
    <row r="27" spans="1:12" hidden="1">
      <c r="A27" s="48">
        <f>A26+0.5%</f>
        <v>0.14370922131773489</v>
      </c>
      <c r="B27" s="113"/>
      <c r="C27" s="113"/>
      <c r="D27" s="113"/>
      <c r="E27" s="113"/>
    </row>
    <row r="28" spans="1:12" hidden="1"/>
    <row r="29" spans="1:12" hidden="1"/>
    <row r="30" spans="1:12" hidden="1">
      <c r="A30" s="75" t="s">
        <v>298</v>
      </c>
      <c r="B30" s="66">
        <v>0</v>
      </c>
      <c r="C30" s="66">
        <f>B30+0.5%</f>
        <v>5.0000000000000001E-3</v>
      </c>
      <c r="D30" s="66">
        <f>C30+0.5%</f>
        <v>0.01</v>
      </c>
      <c r="E30" s="66">
        <f>D30+0.5%</f>
        <v>1.4999999999999999E-2</v>
      </c>
    </row>
    <row r="31" spans="1:12" hidden="1">
      <c r="A31" t="s">
        <v>165</v>
      </c>
    </row>
    <row r="32" spans="1:12" hidden="1">
      <c r="A32" s="48">
        <f>A33-0.5%</f>
        <v>0.11971651562889399</v>
      </c>
      <c r="B32" s="48">
        <f t="shared" ref="B32:E33" si="4">B23/$B$34-1</f>
        <v>-1</v>
      </c>
      <c r="C32" s="48">
        <f t="shared" si="4"/>
        <v>-1</v>
      </c>
      <c r="D32" s="48">
        <f t="shared" si="4"/>
        <v>-1</v>
      </c>
      <c r="E32" s="48">
        <f t="shared" si="4"/>
        <v>-1</v>
      </c>
    </row>
    <row r="33" spans="1:5" hidden="1">
      <c r="A33" s="48">
        <f>A34-0.5%</f>
        <v>0.12471651562889399</v>
      </c>
      <c r="B33" s="48">
        <f t="shared" si="4"/>
        <v>-1</v>
      </c>
      <c r="C33" s="48">
        <f t="shared" si="4"/>
        <v>-1</v>
      </c>
      <c r="D33" s="48">
        <f t="shared" si="4"/>
        <v>-1</v>
      </c>
      <c r="E33" s="48">
        <f t="shared" si="4"/>
        <v>-1</v>
      </c>
    </row>
    <row r="34" spans="1:5" hidden="1">
      <c r="A34" s="48">
        <v>0.129716515628894</v>
      </c>
      <c r="B34" s="114">
        <v>12672.9871792416</v>
      </c>
      <c r="C34" s="48">
        <f t="shared" ref="C34:E36" si="5">C25/$B$34-1</f>
        <v>-1</v>
      </c>
      <c r="D34" s="48">
        <f t="shared" si="5"/>
        <v>-1</v>
      </c>
      <c r="E34" s="48">
        <f t="shared" si="5"/>
        <v>-1</v>
      </c>
    </row>
    <row r="35" spans="1:5" hidden="1">
      <c r="A35" s="48">
        <f>A34+0.5%</f>
        <v>0.134716515628894</v>
      </c>
      <c r="B35" s="48">
        <f>B26/$B$34-1</f>
        <v>-1</v>
      </c>
      <c r="C35" s="48">
        <f t="shared" si="5"/>
        <v>-1</v>
      </c>
      <c r="D35" s="48">
        <f t="shared" si="5"/>
        <v>-1</v>
      </c>
      <c r="E35" s="48">
        <f t="shared" si="5"/>
        <v>-1</v>
      </c>
    </row>
    <row r="36" spans="1:5" hidden="1">
      <c r="A36" s="48">
        <f>A35+0.5%</f>
        <v>0.13971651562889401</v>
      </c>
      <c r="B36" s="48">
        <f>B27/$B$34-1</f>
        <v>-1</v>
      </c>
      <c r="C36" s="48">
        <f t="shared" si="5"/>
        <v>-1</v>
      </c>
      <c r="D36" s="48">
        <f t="shared" si="5"/>
        <v>-1</v>
      </c>
      <c r="E36" s="48">
        <f t="shared" si="5"/>
        <v>-1</v>
      </c>
    </row>
    <row r="37" spans="1:5">
      <c r="C37" s="110"/>
    </row>
  </sheetData>
  <phoneticPr fontId="14" type="noConversion"/>
  <pageMargins left="0.75" right="0.75" top="1" bottom="1" header="0.5" footer="0.5"/>
  <pageSetup orientation="portrait" horizontalDpi="4294967295" verticalDpi="300"/>
  <legacyDrawing r:id="rId1"/>
</worksheet>
</file>

<file path=xl/worksheets/sheet20.xml><?xml version="1.0" encoding="utf-8"?>
<worksheet xmlns="http://schemas.openxmlformats.org/spreadsheetml/2006/main" xmlns:r="http://schemas.openxmlformats.org/officeDocument/2006/relationships">
  <sheetPr transitionEvaluation="1" enableFormatConditionsCalculation="0"/>
  <dimension ref="A1:R38"/>
  <sheetViews>
    <sheetView showGridLines="0" zoomScale="70" workbookViewId="0">
      <pane xSplit="2" ySplit="4" topLeftCell="C5" activePane="bottomRight" state="frozen"/>
      <selection activeCell="Q39" sqref="Q39"/>
      <selection pane="topRight" activeCell="Q39" sqref="Q39"/>
      <selection pane="bottomLeft" activeCell="Q39" sqref="Q39"/>
      <selection pane="bottomRight" activeCell="C9" sqref="C9"/>
    </sheetView>
  </sheetViews>
  <sheetFormatPr baseColWidth="10" defaultColWidth="8.88671875" defaultRowHeight="15"/>
  <cols>
    <col min="1" max="1" width="3.6640625" customWidth="1"/>
    <col min="2" max="2" width="30.6640625" customWidth="1"/>
    <col min="3" max="3" width="8.6640625" bestFit="1" customWidth="1"/>
    <col min="4" max="4" width="7.5546875" customWidth="1"/>
    <col min="5" max="6" width="8.6640625" bestFit="1" customWidth="1"/>
    <col min="7" max="7" width="8.6640625" customWidth="1"/>
    <col min="8" max="10" width="9" style="122" bestFit="1" customWidth="1"/>
    <col min="11" max="15" width="9" bestFit="1" customWidth="1"/>
  </cols>
  <sheetData>
    <row r="1" spans="1:18" ht="15.75">
      <c r="A1" s="1" t="str">
        <f>+Balance!A1</f>
        <v>ENKA de Colombia S.A.</v>
      </c>
      <c r="B1" s="2"/>
      <c r="C1" s="2"/>
      <c r="D1" s="2"/>
      <c r="E1" s="2"/>
      <c r="F1" s="2"/>
      <c r="G1" s="2"/>
    </row>
    <row r="2" spans="1:18" ht="15.75">
      <c r="A2" s="1" t="s">
        <v>72</v>
      </c>
      <c r="B2" s="2"/>
      <c r="C2" s="2"/>
      <c r="D2" s="2"/>
      <c r="E2" s="2"/>
      <c r="F2" s="2"/>
      <c r="G2" s="2"/>
    </row>
    <row r="4" spans="1:18" ht="16.5" thickBot="1">
      <c r="A4" s="2"/>
      <c r="B4" s="2"/>
      <c r="C4" s="3">
        <f>'KWOp.%'!$C$4</f>
        <v>2009</v>
      </c>
      <c r="D4" s="3">
        <f>C4+1</f>
        <v>2010</v>
      </c>
      <c r="E4" s="3">
        <f>D4+1</f>
        <v>2011</v>
      </c>
      <c r="F4" s="3">
        <f>E4+1</f>
        <v>2012</v>
      </c>
      <c r="G4" s="3">
        <f>+F4+1</f>
        <v>2013</v>
      </c>
      <c r="H4" s="3">
        <f t="shared" ref="H4:R4" si="0">+G4+1</f>
        <v>2014</v>
      </c>
      <c r="I4" s="3">
        <f t="shared" si="0"/>
        <v>2015</v>
      </c>
      <c r="J4" s="3">
        <f t="shared" si="0"/>
        <v>2016</v>
      </c>
      <c r="K4" s="3">
        <f t="shared" si="0"/>
        <v>2017</v>
      </c>
      <c r="L4" s="3">
        <f t="shared" si="0"/>
        <v>2018</v>
      </c>
      <c r="M4" s="3">
        <f t="shared" si="0"/>
        <v>2019</v>
      </c>
      <c r="N4" s="3">
        <f t="shared" si="0"/>
        <v>2020</v>
      </c>
      <c r="O4" s="3">
        <f t="shared" si="0"/>
        <v>2021</v>
      </c>
      <c r="P4" s="3">
        <f t="shared" si="0"/>
        <v>2022</v>
      </c>
      <c r="Q4" s="3">
        <f t="shared" si="0"/>
        <v>2023</v>
      </c>
      <c r="R4" s="3">
        <f t="shared" si="0"/>
        <v>2024</v>
      </c>
    </row>
    <row r="6" spans="1:18">
      <c r="A6" s="2" t="s">
        <v>73</v>
      </c>
      <c r="B6" s="2"/>
      <c r="C6" s="2">
        <f>Resultados!C19</f>
        <v>-10628</v>
      </c>
      <c r="D6" s="2">
        <f>Resultados!D19</f>
        <v>-7110</v>
      </c>
      <c r="E6" s="2">
        <f>Resultados!E19</f>
        <v>-8753</v>
      </c>
      <c r="F6" s="2">
        <f>Resultados!F19</f>
        <v>-8280</v>
      </c>
      <c r="G6" s="111">
        <f>Resultados!G19</f>
        <v>-5336</v>
      </c>
      <c r="H6" s="111">
        <f>Resultados!H19</f>
        <v>-8295.5244128857339</v>
      </c>
      <c r="I6" s="111">
        <f>Resultados!I19</f>
        <v>-5318.8263301979568</v>
      </c>
      <c r="J6" s="111">
        <f>Resultados!J19</f>
        <v>-2032.0958650671309</v>
      </c>
      <c r="K6" s="2">
        <f>Resultados!K19</f>
        <v>5055.6236199698251</v>
      </c>
      <c r="L6" s="2">
        <f>Resultados!L19</f>
        <v>13209.976205541083</v>
      </c>
      <c r="M6" s="2">
        <f>Resultados!M19</f>
        <v>18052.89590969227</v>
      </c>
      <c r="N6" s="2">
        <f>Resultados!N19</f>
        <v>21919.509336124655</v>
      </c>
      <c r="O6" s="2">
        <f>Resultados!O19</f>
        <v>26109.289580778226</v>
      </c>
      <c r="P6" s="2">
        <f>Resultados!P19</f>
        <v>30646.454710249454</v>
      </c>
      <c r="Q6" s="2">
        <f>Resultados!Q19</f>
        <v>33113.556364102806</v>
      </c>
      <c r="R6" s="2">
        <f>Resultados!R19</f>
        <v>36395.846470397002</v>
      </c>
    </row>
    <row r="7" spans="1:18">
      <c r="A7" s="61" t="s">
        <v>74</v>
      </c>
      <c r="B7" s="2"/>
      <c r="C7" s="2">
        <f>Resultados!C28</f>
        <v>1281</v>
      </c>
      <c r="D7" s="2">
        <f>Resultados!D28</f>
        <v>2165</v>
      </c>
      <c r="E7" s="2">
        <f>Resultados!E28</f>
        <v>2058</v>
      </c>
      <c r="F7" s="2">
        <f>Resultados!F28</f>
        <v>3295</v>
      </c>
      <c r="G7" s="111">
        <f>Resultados!G28</f>
        <v>2082</v>
      </c>
      <c r="H7" s="111">
        <f>Resultados!H28</f>
        <v>2073.4760000000001</v>
      </c>
      <c r="I7" s="111">
        <f>Resultados!I28</f>
        <v>2144.5962267999998</v>
      </c>
      <c r="J7" s="111">
        <f>Resultados!J28</f>
        <v>2222.4450698328396</v>
      </c>
      <c r="K7" s="2">
        <f>Resultados!K28</f>
        <v>2299.786158263023</v>
      </c>
      <c r="L7" s="2">
        <f>Resultados!L28</f>
        <v>2376.3690373331815</v>
      </c>
      <c r="M7" s="2">
        <f>Resultados!M28</f>
        <v>2452.1752096241103</v>
      </c>
      <c r="N7" s="2">
        <f>Resultados!N28</f>
        <v>2530.3995988111192</v>
      </c>
      <c r="O7" s="2">
        <f>Resultados!O28</f>
        <v>2611.119346013194</v>
      </c>
      <c r="P7" s="2">
        <f>Resultados!P28</f>
        <v>2694.4140531510152</v>
      </c>
      <c r="Q7" s="2">
        <f>Resultados!Q28</f>
        <v>2780.3658614465326</v>
      </c>
      <c r="R7" s="2">
        <f>Resultados!R28</f>
        <v>2869.0595324266769</v>
      </c>
    </row>
    <row r="8" spans="1:18" ht="15.75" thickBot="1">
      <c r="A8" s="2" t="s">
        <v>75</v>
      </c>
      <c r="B8" s="2"/>
      <c r="C8" s="2">
        <f>Resultados!C29</f>
        <v>-9041</v>
      </c>
      <c r="D8" s="2">
        <f>Resultados!D29</f>
        <v>-3456</v>
      </c>
      <c r="E8" s="2">
        <f>Resultados!E29</f>
        <v>-4467</v>
      </c>
      <c r="F8" s="2">
        <f>Resultados!F29</f>
        <v>-2220</v>
      </c>
      <c r="G8" s="111">
        <f>Resultados!G29</f>
        <v>-2195</v>
      </c>
      <c r="H8" s="111">
        <f>Resultados!H29</f>
        <v>-1491.4884443583458</v>
      </c>
      <c r="I8" s="111">
        <f>Resultados!I29</f>
        <v>-927.23873436740803</v>
      </c>
      <c r="J8" s="111">
        <f>Resultados!J29</f>
        <v>-645.95066172001248</v>
      </c>
      <c r="K8" s="2">
        <f>Resultados!K29</f>
        <v>-672.03972716967269</v>
      </c>
      <c r="L8" s="2">
        <f>Resultados!L29</f>
        <v>-330.85532182327267</v>
      </c>
      <c r="M8" s="2">
        <f>Resultados!M29</f>
        <v>-343.07729745561363</v>
      </c>
      <c r="N8" s="2">
        <f>Resultados!N29</f>
        <v>-353.42871825016448</v>
      </c>
      <c r="O8" s="2">
        <f>Resultados!O29</f>
        <v>-364.51893453463094</v>
      </c>
      <c r="P8" s="2">
        <f>Resultados!P29</f>
        <v>-376.48416666648166</v>
      </c>
      <c r="Q8" s="2">
        <f>Resultados!Q29</f>
        <v>-388.32748985085709</v>
      </c>
      <c r="R8" s="2">
        <f>Resultados!R29</f>
        <v>-400.71005038801945</v>
      </c>
    </row>
    <row r="9" spans="1:18" ht="15.75">
      <c r="A9" s="1" t="s">
        <v>76</v>
      </c>
      <c r="B9" s="2"/>
      <c r="C9" s="4">
        <f t="shared" ref="C9:O9" si="1">SUM(C6:C8)</f>
        <v>-18388</v>
      </c>
      <c r="D9" s="4">
        <f t="shared" si="1"/>
        <v>-8401</v>
      </c>
      <c r="E9" s="4">
        <f t="shared" si="1"/>
        <v>-11162</v>
      </c>
      <c r="F9" s="4">
        <f t="shared" si="1"/>
        <v>-7205</v>
      </c>
      <c r="G9" s="112">
        <f>SUM(G6:G8)</f>
        <v>-5449</v>
      </c>
      <c r="H9" s="112">
        <f>SUM(H6:H8)</f>
        <v>-7713.5368572440793</v>
      </c>
      <c r="I9" s="112">
        <f>SUM(I6:I8)</f>
        <v>-4101.4688377653647</v>
      </c>
      <c r="J9" s="112">
        <f>SUM(J6:J8)</f>
        <v>-455.60145695430379</v>
      </c>
      <c r="K9" s="4">
        <f t="shared" si="1"/>
        <v>6683.3700510631752</v>
      </c>
      <c r="L9" s="4">
        <f t="shared" si="1"/>
        <v>15255.489921050992</v>
      </c>
      <c r="M9" s="4">
        <f t="shared" si="1"/>
        <v>20161.993821860768</v>
      </c>
      <c r="N9" s="4">
        <f t="shared" si="1"/>
        <v>24096.48021668561</v>
      </c>
      <c r="O9" s="4">
        <f t="shared" si="1"/>
        <v>28355.889992256791</v>
      </c>
      <c r="P9" s="4">
        <f>SUM(P6:P8)</f>
        <v>32964.384596733988</v>
      </c>
      <c r="Q9" s="4">
        <f>SUM(Q6:Q8)</f>
        <v>35505.594735698483</v>
      </c>
      <c r="R9" s="4">
        <f>SUM(R6:R8)</f>
        <v>38864.195952435657</v>
      </c>
    </row>
    <row r="10" spans="1:18">
      <c r="A10" s="58" t="s">
        <v>77</v>
      </c>
      <c r="B10" s="2"/>
      <c r="C10" s="2">
        <f>Resultados!C27</f>
        <v>7515</v>
      </c>
      <c r="D10" s="2">
        <f>Resultados!D27</f>
        <v>8866</v>
      </c>
      <c r="E10" s="2">
        <f>Resultados!E27</f>
        <v>979</v>
      </c>
      <c r="F10" s="2">
        <f>Resultados!F27</f>
        <v>5609</v>
      </c>
      <c r="G10" s="111">
        <f>Resultados!G27</f>
        <v>-2806</v>
      </c>
      <c r="H10" s="111">
        <f>Resultados!H27</f>
        <v>-3502.9265754408634</v>
      </c>
      <c r="I10" s="111">
        <f>Resultados!I27</f>
        <v>-3652.8896597766543</v>
      </c>
      <c r="J10" s="111">
        <f>Resultados!J27</f>
        <v>-2494.5388806559713</v>
      </c>
      <c r="K10" s="111">
        <f>Resultados!K27</f>
        <v>-1770.9907988172224</v>
      </c>
      <c r="L10" s="111">
        <f>Resultados!L27</f>
        <v>-813.11868545216203</v>
      </c>
      <c r="M10" s="111">
        <f>Resultados!M27</f>
        <v>-441.00353753140053</v>
      </c>
      <c r="N10" s="111">
        <f>Resultados!N27</f>
        <v>-69.355733522483888</v>
      </c>
      <c r="O10" s="111">
        <f>Resultados!O27</f>
        <v>321.86979022091435</v>
      </c>
      <c r="P10" s="111">
        <f>Resultados!P27</f>
        <v>705.73413305058739</v>
      </c>
      <c r="Q10" s="111">
        <f>Resultados!Q27</f>
        <v>1069.3570224848147</v>
      </c>
      <c r="R10" s="111">
        <f>Resultados!R27</f>
        <v>1439.7714911257585</v>
      </c>
    </row>
    <row r="11" spans="1:18" ht="15.75" thickBot="1">
      <c r="A11" s="2" t="s">
        <v>78</v>
      </c>
      <c r="B11" s="2"/>
      <c r="C11" s="2">
        <v>0</v>
      </c>
      <c r="D11" s="2">
        <v>0</v>
      </c>
      <c r="E11" s="2">
        <v>0</v>
      </c>
      <c r="F11" s="2">
        <v>0</v>
      </c>
      <c r="G11" s="111">
        <v>0</v>
      </c>
      <c r="H11" s="111">
        <v>0</v>
      </c>
      <c r="I11" s="111">
        <v>0</v>
      </c>
      <c r="J11" s="111">
        <v>0</v>
      </c>
      <c r="K11" s="2">
        <v>0</v>
      </c>
      <c r="L11" s="2">
        <v>0</v>
      </c>
      <c r="M11" s="2">
        <v>0</v>
      </c>
      <c r="N11" s="2">
        <v>0</v>
      </c>
      <c r="O11" s="2">
        <v>0</v>
      </c>
      <c r="P11" s="2">
        <v>0</v>
      </c>
      <c r="Q11" s="2">
        <v>0</v>
      </c>
      <c r="R11" s="2">
        <v>0</v>
      </c>
    </row>
    <row r="12" spans="1:18" ht="15.75">
      <c r="A12" s="1" t="s">
        <v>79</v>
      </c>
      <c r="B12" s="2"/>
      <c r="C12" s="4">
        <f t="shared" ref="C12:O12" si="2">SUM(C9:C11)</f>
        <v>-10873</v>
      </c>
      <c r="D12" s="4">
        <f t="shared" si="2"/>
        <v>465</v>
      </c>
      <c r="E12" s="4">
        <f t="shared" si="2"/>
        <v>-10183</v>
      </c>
      <c r="F12" s="4">
        <f t="shared" si="2"/>
        <v>-1596</v>
      </c>
      <c r="G12" s="112">
        <f>SUM(G9:G11)</f>
        <v>-8255</v>
      </c>
      <c r="H12" s="112">
        <f t="shared" si="2"/>
        <v>-11216.463432684943</v>
      </c>
      <c r="I12" s="112">
        <f t="shared" si="2"/>
        <v>-7754.358497542019</v>
      </c>
      <c r="J12" s="112">
        <f t="shared" si="2"/>
        <v>-2950.1403376102753</v>
      </c>
      <c r="K12" s="4">
        <f t="shared" si="2"/>
        <v>4912.3792522459526</v>
      </c>
      <c r="L12" s="4">
        <f t="shared" si="2"/>
        <v>14442.37123559883</v>
      </c>
      <c r="M12" s="4">
        <f t="shared" si="2"/>
        <v>19720.990284329368</v>
      </c>
      <c r="N12" s="4">
        <f t="shared" si="2"/>
        <v>24027.124483163127</v>
      </c>
      <c r="O12" s="4">
        <f t="shared" si="2"/>
        <v>28677.759782477704</v>
      </c>
      <c r="P12" s="4">
        <f>SUM(P9:P11)</f>
        <v>33670.118729784575</v>
      </c>
      <c r="Q12" s="4">
        <f>SUM(Q9:Q11)</f>
        <v>36574.951758183299</v>
      </c>
      <c r="R12" s="4">
        <f>SUM(R9:R11)</f>
        <v>40303.967443561414</v>
      </c>
    </row>
    <row r="13" spans="1:18">
      <c r="G13" s="122"/>
    </row>
    <row r="14" spans="1:18" ht="15.75">
      <c r="A14" s="1" t="s">
        <v>80</v>
      </c>
      <c r="B14" s="2"/>
      <c r="C14" s="2"/>
      <c r="D14" s="2"/>
      <c r="E14" s="2"/>
      <c r="F14" s="2"/>
      <c r="G14" s="111"/>
      <c r="H14" s="111"/>
      <c r="I14" s="111"/>
      <c r="J14" s="111"/>
      <c r="K14" s="2"/>
      <c r="L14" s="2"/>
      <c r="M14" s="2"/>
      <c r="N14" s="2"/>
      <c r="O14" s="2"/>
      <c r="P14" s="2"/>
      <c r="Q14" s="2"/>
      <c r="R14" s="2"/>
    </row>
    <row r="15" spans="1:18" ht="15.75">
      <c r="A15" s="2"/>
      <c r="B15" s="11" t="s">
        <v>81</v>
      </c>
      <c r="C15" s="2"/>
      <c r="D15" s="2"/>
      <c r="E15" s="2"/>
      <c r="F15" s="2"/>
      <c r="G15" s="111"/>
      <c r="H15" s="111"/>
      <c r="I15" s="111"/>
      <c r="J15" s="111"/>
      <c r="K15" s="2"/>
      <c r="L15" s="2"/>
      <c r="M15" s="2"/>
      <c r="N15" s="2"/>
      <c r="O15" s="2"/>
      <c r="P15" s="2"/>
      <c r="Q15" s="2"/>
      <c r="R15" s="2"/>
    </row>
    <row r="16" spans="1:18">
      <c r="A16" s="2"/>
      <c r="B16" s="2" t="s">
        <v>82</v>
      </c>
      <c r="C16" s="2">
        <v>0</v>
      </c>
      <c r="D16" s="2">
        <f>C17</f>
        <v>0</v>
      </c>
      <c r="E16" s="2">
        <f>D17</f>
        <v>0</v>
      </c>
      <c r="F16" s="2">
        <f>E17</f>
        <v>2299</v>
      </c>
      <c r="G16" s="111">
        <f>F17</f>
        <v>2390</v>
      </c>
      <c r="H16" s="111">
        <f>G17</f>
        <v>2239</v>
      </c>
      <c r="I16" s="111">
        <f t="shared" ref="I16:R16" si="3">H17</f>
        <v>2079.155665505381</v>
      </c>
      <c r="J16" s="111">
        <f t="shared" si="3"/>
        <v>2013.153597995642</v>
      </c>
      <c r="K16" s="111">
        <f t="shared" si="3"/>
        <v>1900.6759042612218</v>
      </c>
      <c r="L16" s="111">
        <f t="shared" si="3"/>
        <v>2146.592160468872</v>
      </c>
      <c r="M16" s="111">
        <f t="shared" si="3"/>
        <v>4765.9825077476144</v>
      </c>
      <c r="N16" s="111">
        <f t="shared" si="3"/>
        <v>3406.6054122404339</v>
      </c>
      <c r="O16" s="111">
        <f t="shared" si="3"/>
        <v>3736.2068986508111</v>
      </c>
      <c r="P16" s="111">
        <f t="shared" si="3"/>
        <v>4204.4738260426739</v>
      </c>
      <c r="Q16" s="111">
        <f t="shared" si="3"/>
        <v>4720.5970352956747</v>
      </c>
      <c r="R16" s="111">
        <f t="shared" si="3"/>
        <v>5011.3516255765371</v>
      </c>
    </row>
    <row r="17" spans="1:18" ht="15.75" thickBot="1">
      <c r="A17" s="2"/>
      <c r="B17" s="2" t="s">
        <v>83</v>
      </c>
      <c r="C17" s="2">
        <f>KWOp.!D29</f>
        <v>0</v>
      </c>
      <c r="D17" s="2">
        <f>KWOp.!E29</f>
        <v>0</v>
      </c>
      <c r="E17" s="2">
        <f>KWOp.!F29</f>
        <v>2299</v>
      </c>
      <c r="F17" s="2">
        <f>KWOp.!G29</f>
        <v>2390</v>
      </c>
      <c r="G17" s="111">
        <f>KWOp.!H29</f>
        <v>2239</v>
      </c>
      <c r="H17" s="111">
        <f>KWOp.!I29</f>
        <v>2079.155665505381</v>
      </c>
      <c r="I17" s="111">
        <f>KWOp.!J29</f>
        <v>2013.153597995642</v>
      </c>
      <c r="J17" s="111">
        <f>KWOp.!K29</f>
        <v>1900.6759042612218</v>
      </c>
      <c r="K17" s="2">
        <f>KWOp.!L29</f>
        <v>2146.592160468872</v>
      </c>
      <c r="L17" s="2">
        <f>KWOp.!M29</f>
        <v>4765.9825077476144</v>
      </c>
      <c r="M17" s="2">
        <f>KWOp.!N29</f>
        <v>3406.6054122404339</v>
      </c>
      <c r="N17" s="2">
        <f>KWOp.!O29</f>
        <v>3736.2068986508111</v>
      </c>
      <c r="O17" s="2">
        <f>KWOp.!P29</f>
        <v>4204.4738260426739</v>
      </c>
      <c r="P17" s="2">
        <f>KWOp.!Q29</f>
        <v>4720.5970352956747</v>
      </c>
      <c r="Q17" s="2">
        <f>KWOp.!R29</f>
        <v>5011.3516255765371</v>
      </c>
      <c r="R17" s="2">
        <f>KWOp.!S29</f>
        <v>5466.2771433652078</v>
      </c>
    </row>
    <row r="18" spans="1:18" ht="15.75">
      <c r="A18" s="2"/>
      <c r="B18" s="1" t="s">
        <v>84</v>
      </c>
      <c r="C18" s="4">
        <f t="shared" ref="C18:O18" si="4">C17-C16</f>
        <v>0</v>
      </c>
      <c r="D18" s="4">
        <f t="shared" si="4"/>
        <v>0</v>
      </c>
      <c r="E18" s="4">
        <f t="shared" si="4"/>
        <v>2299</v>
      </c>
      <c r="F18" s="4">
        <f t="shared" si="4"/>
        <v>91</v>
      </c>
      <c r="G18" s="112">
        <f>G17-G16</f>
        <v>-151</v>
      </c>
      <c r="H18" s="112">
        <f t="shared" si="4"/>
        <v>-159.84433449461903</v>
      </c>
      <c r="I18" s="112">
        <f t="shared" si="4"/>
        <v>-66.002067509738936</v>
      </c>
      <c r="J18" s="112">
        <f t="shared" si="4"/>
        <v>-112.4776937344202</v>
      </c>
      <c r="K18" s="4">
        <f t="shared" si="4"/>
        <v>245.91625620765012</v>
      </c>
      <c r="L18" s="4">
        <f t="shared" si="4"/>
        <v>2619.3903472787424</v>
      </c>
      <c r="M18" s="4">
        <f t="shared" si="4"/>
        <v>-1359.3770955071805</v>
      </c>
      <c r="N18" s="4">
        <f t="shared" si="4"/>
        <v>329.60148641037722</v>
      </c>
      <c r="O18" s="4">
        <f t="shared" si="4"/>
        <v>468.26692739186274</v>
      </c>
      <c r="P18" s="4">
        <f>P17-P16</f>
        <v>516.12320925300082</v>
      </c>
      <c r="Q18" s="4">
        <f>Q17-Q16</f>
        <v>290.75459028086243</v>
      </c>
      <c r="R18" s="4">
        <f>R17-R16</f>
        <v>454.92551778867073</v>
      </c>
    </row>
    <row r="19" spans="1:18">
      <c r="G19" s="122"/>
    </row>
    <row r="20" spans="1:18" ht="15.75">
      <c r="A20" s="2"/>
      <c r="B20" s="11" t="s">
        <v>85</v>
      </c>
      <c r="C20" s="2"/>
      <c r="D20" s="2"/>
      <c r="E20" s="2"/>
      <c r="F20" s="2"/>
      <c r="G20" s="111"/>
      <c r="H20" s="111"/>
      <c r="I20" s="111"/>
      <c r="J20" s="111"/>
      <c r="K20" s="2"/>
      <c r="L20" s="2"/>
      <c r="M20" s="2"/>
      <c r="N20" s="2"/>
      <c r="O20" s="2"/>
      <c r="P20" s="2"/>
      <c r="Q20" s="2"/>
      <c r="R20" s="2"/>
    </row>
    <row r="21" spans="1:18">
      <c r="A21" s="2"/>
      <c r="B21" s="2" t="s">
        <v>86</v>
      </c>
      <c r="C21" s="2">
        <f>Resultados!C32</f>
        <v>0</v>
      </c>
      <c r="D21" s="2">
        <f>Resultados!D32</f>
        <v>0</v>
      </c>
      <c r="E21" s="2">
        <f>Resultados!E32</f>
        <v>-2299</v>
      </c>
      <c r="F21" s="2">
        <f>Resultados!F32</f>
        <v>-2390</v>
      </c>
      <c r="G21" s="111">
        <f>Resultados!G32</f>
        <v>-2185</v>
      </c>
      <c r="H21" s="111">
        <f>+Resultados!H32</f>
        <v>-2079.155665505381</v>
      </c>
      <c r="I21" s="111">
        <f>Resultados!I32</f>
        <v>-2013.153597995642</v>
      </c>
      <c r="J21" s="111">
        <f>Resultados!J32</f>
        <v>-1900.6759042612218</v>
      </c>
      <c r="K21" s="2">
        <f>Resultados!K32</f>
        <v>-2146.592160468872</v>
      </c>
      <c r="L21" s="2">
        <f>Resultados!L32</f>
        <v>-4765.9825077476144</v>
      </c>
      <c r="M21" s="2">
        <f>Resultados!M32</f>
        <v>-3406.6054122404339</v>
      </c>
      <c r="N21" s="2">
        <f>Resultados!N32</f>
        <v>-3736.2068986508111</v>
      </c>
      <c r="O21" s="2">
        <f>Resultados!O32</f>
        <v>-4204.4738260426739</v>
      </c>
      <c r="P21" s="2">
        <f>Resultados!P32</f>
        <v>-4720.5970352956747</v>
      </c>
      <c r="Q21" s="2">
        <f>Resultados!Q32</f>
        <v>-5011.3516255765371</v>
      </c>
      <c r="R21" s="2">
        <f>Resultados!R32</f>
        <v>-5466.2771433652078</v>
      </c>
    </row>
    <row r="22" spans="1:18" ht="15.75" thickBot="1">
      <c r="A22" s="2"/>
      <c r="B22" s="2" t="s">
        <v>87</v>
      </c>
      <c r="C22" s="2">
        <v>0</v>
      </c>
      <c r="D22" s="2">
        <v>0</v>
      </c>
      <c r="E22" s="2">
        <v>0</v>
      </c>
      <c r="F22" s="2">
        <v>0</v>
      </c>
      <c r="G22" s="111">
        <v>0</v>
      </c>
      <c r="H22" s="111">
        <v>0</v>
      </c>
      <c r="I22" s="111">
        <v>0</v>
      </c>
      <c r="J22" s="111">
        <v>0</v>
      </c>
      <c r="K22" s="2">
        <v>0</v>
      </c>
      <c r="L22" s="2">
        <v>0</v>
      </c>
      <c r="M22" s="2">
        <v>0</v>
      </c>
      <c r="N22" s="2">
        <v>0</v>
      </c>
      <c r="O22" s="2">
        <v>0</v>
      </c>
      <c r="P22" s="2">
        <v>0</v>
      </c>
      <c r="Q22" s="2">
        <v>0</v>
      </c>
      <c r="R22" s="2">
        <v>0</v>
      </c>
    </row>
    <row r="23" spans="1:18" ht="15.75">
      <c r="A23" s="2"/>
      <c r="B23" s="1" t="s">
        <v>88</v>
      </c>
      <c r="C23" s="4">
        <f t="shared" ref="C23:O23" si="5">SUM(C21:C22)</f>
        <v>0</v>
      </c>
      <c r="D23" s="4">
        <f t="shared" si="5"/>
        <v>0</v>
      </c>
      <c r="E23" s="4">
        <f t="shared" si="5"/>
        <v>-2299</v>
      </c>
      <c r="F23" s="4">
        <f t="shared" si="5"/>
        <v>-2390</v>
      </c>
      <c r="G23" s="112">
        <f>SUM(G21:G22)</f>
        <v>-2185</v>
      </c>
      <c r="H23" s="112">
        <f t="shared" si="5"/>
        <v>-2079.155665505381</v>
      </c>
      <c r="I23" s="112">
        <f t="shared" si="5"/>
        <v>-2013.153597995642</v>
      </c>
      <c r="J23" s="112">
        <f t="shared" si="5"/>
        <v>-1900.6759042612218</v>
      </c>
      <c r="K23" s="4">
        <f t="shared" si="5"/>
        <v>-2146.592160468872</v>
      </c>
      <c r="L23" s="4">
        <f t="shared" si="5"/>
        <v>-4765.9825077476144</v>
      </c>
      <c r="M23" s="4">
        <f t="shared" si="5"/>
        <v>-3406.6054122404339</v>
      </c>
      <c r="N23" s="4">
        <f t="shared" si="5"/>
        <v>-3736.2068986508111</v>
      </c>
      <c r="O23" s="4">
        <f t="shared" si="5"/>
        <v>-4204.4738260426739</v>
      </c>
      <c r="P23" s="4">
        <f>SUM(P21:P22)</f>
        <v>-4720.5970352956747</v>
      </c>
      <c r="Q23" s="4">
        <f>SUM(Q21:Q22)</f>
        <v>-5011.3516255765371</v>
      </c>
      <c r="R23" s="4">
        <f>SUM(R21:R22)</f>
        <v>-5466.2771433652078</v>
      </c>
    </row>
    <row r="24" spans="1:18" ht="15.75" thickBot="1">
      <c r="A24" s="2"/>
      <c r="B24" s="2"/>
      <c r="C24" s="2"/>
      <c r="D24" s="2"/>
      <c r="E24" s="2"/>
      <c r="F24" s="2"/>
      <c r="G24" s="111"/>
      <c r="H24" s="111"/>
      <c r="I24" s="111"/>
      <c r="J24" s="111"/>
      <c r="K24" s="2"/>
      <c r="L24" s="2"/>
      <c r="M24" s="2"/>
      <c r="N24" s="2"/>
      <c r="O24" s="2"/>
      <c r="P24" s="2"/>
      <c r="Q24" s="2"/>
      <c r="R24" s="2"/>
    </row>
    <row r="25" spans="1:18" ht="17.25" thickTop="1" thickBot="1">
      <c r="A25" s="5" t="s">
        <v>89</v>
      </c>
      <c r="B25" s="12"/>
      <c r="C25" s="5">
        <f t="shared" ref="C25:I25" si="6">C18+C23</f>
        <v>0</v>
      </c>
      <c r="D25" s="5">
        <f t="shared" si="6"/>
        <v>0</v>
      </c>
      <c r="E25" s="5">
        <f t="shared" si="6"/>
        <v>0</v>
      </c>
      <c r="F25" s="5">
        <f t="shared" si="6"/>
        <v>-2299</v>
      </c>
      <c r="G25" s="5">
        <f>G18+G23</f>
        <v>-2336</v>
      </c>
      <c r="H25" s="5">
        <f t="shared" si="6"/>
        <v>-2239</v>
      </c>
      <c r="I25" s="5">
        <f t="shared" si="6"/>
        <v>-2079.155665505381</v>
      </c>
      <c r="J25" s="5">
        <f t="shared" ref="J25:O25" si="7">J18+J23</f>
        <v>-2013.153597995642</v>
      </c>
      <c r="K25" s="5">
        <f t="shared" si="7"/>
        <v>-1900.6759042612218</v>
      </c>
      <c r="L25" s="5">
        <f t="shared" si="7"/>
        <v>-2146.592160468872</v>
      </c>
      <c r="M25" s="5">
        <f t="shared" si="7"/>
        <v>-4765.9825077476144</v>
      </c>
      <c r="N25" s="5">
        <f t="shared" si="7"/>
        <v>-3406.6054122404339</v>
      </c>
      <c r="O25" s="5">
        <f t="shared" si="7"/>
        <v>-3736.2068986508111</v>
      </c>
      <c r="P25" s="5">
        <f>P18+P23</f>
        <v>-4204.4738260426739</v>
      </c>
      <c r="Q25" s="5">
        <f>Q18+Q23</f>
        <v>-4720.5970352956747</v>
      </c>
      <c r="R25" s="5">
        <f>R18+R23</f>
        <v>-5011.3516255765371</v>
      </c>
    </row>
    <row r="26" spans="1:18" ht="15.75" thickTop="1">
      <c r="A26" s="2"/>
      <c r="B26" s="2"/>
      <c r="C26" s="2"/>
      <c r="D26" s="2"/>
      <c r="E26" s="2"/>
      <c r="F26" s="2"/>
      <c r="G26" s="2"/>
      <c r="H26" s="111"/>
      <c r="I26" s="111"/>
      <c r="J26" s="111"/>
      <c r="K26" s="2"/>
      <c r="L26" s="2"/>
      <c r="M26" s="2"/>
      <c r="N26" s="2"/>
      <c r="O26" s="2"/>
      <c r="P26" s="2"/>
      <c r="Q26" s="2"/>
      <c r="R26" s="2"/>
    </row>
    <row r="27" spans="1:18">
      <c r="A27" s="2"/>
      <c r="B27" s="2" t="s">
        <v>90</v>
      </c>
      <c r="C27" s="7">
        <v>-0.33</v>
      </c>
      <c r="D27" s="7">
        <v>-0.33</v>
      </c>
      <c r="E27" s="7">
        <v>-0.33</v>
      </c>
      <c r="F27" s="7">
        <v>-0.33</v>
      </c>
      <c r="G27" s="151">
        <v>-0.25</v>
      </c>
      <c r="H27" s="151">
        <v>-0.25</v>
      </c>
      <c r="I27" s="151">
        <v>-0.25</v>
      </c>
      <c r="J27" s="151">
        <v>-0.25</v>
      </c>
      <c r="K27" s="151">
        <v>-0.25</v>
      </c>
      <c r="L27" s="151">
        <v>-0.25</v>
      </c>
      <c r="M27" s="151">
        <v>-0.25</v>
      </c>
      <c r="N27" s="151">
        <v>-0.25</v>
      </c>
      <c r="O27" s="151">
        <v>-0.25</v>
      </c>
      <c r="P27" s="151">
        <v>-0.25</v>
      </c>
      <c r="Q27" s="151">
        <v>-0.25</v>
      </c>
      <c r="R27" s="151">
        <v>-0.25</v>
      </c>
    </row>
    <row r="28" spans="1:18">
      <c r="G28" s="122"/>
    </row>
    <row r="29" spans="1:18" ht="15.75">
      <c r="A29" s="1" t="s">
        <v>91</v>
      </c>
      <c r="B29" s="2"/>
      <c r="C29" s="2"/>
      <c r="D29" s="2"/>
      <c r="E29" s="2"/>
      <c r="F29" s="2"/>
      <c r="G29" s="111"/>
      <c r="H29" s="111"/>
      <c r="I29" s="111"/>
      <c r="J29" s="111"/>
      <c r="K29" s="2"/>
      <c r="L29" s="2"/>
      <c r="M29" s="2"/>
      <c r="N29" s="2"/>
      <c r="O29" s="2"/>
      <c r="P29" s="2"/>
      <c r="Q29" s="2"/>
      <c r="R29" s="2"/>
    </row>
    <row r="30" spans="1:18">
      <c r="A30" s="2"/>
      <c r="B30" s="2" t="s">
        <v>92</v>
      </c>
      <c r="C30" s="7">
        <f t="shared" ref="C30:I30" si="8">-C21/C12</f>
        <v>0</v>
      </c>
      <c r="D30" s="7">
        <f t="shared" si="8"/>
        <v>0</v>
      </c>
      <c r="E30" s="7">
        <f t="shared" si="8"/>
        <v>-0.22576843759206522</v>
      </c>
      <c r="F30" s="7">
        <f t="shared" si="8"/>
        <v>-1.4974937343358397</v>
      </c>
      <c r="G30" s="151">
        <f>-G21/G12</f>
        <v>-0.26468806783767412</v>
      </c>
      <c r="H30" s="151">
        <f t="shared" si="8"/>
        <v>-0.18536641945862278</v>
      </c>
      <c r="I30" s="151">
        <f t="shared" si="8"/>
        <v>-0.25961575011443855</v>
      </c>
      <c r="J30" s="151">
        <f t="shared" ref="J30:O30" si="9">-J21/J12</f>
        <v>-0.64426626761791295</v>
      </c>
      <c r="K30" s="7">
        <f t="shared" si="9"/>
        <v>0.43697606602491951</v>
      </c>
      <c r="L30" s="7">
        <f t="shared" si="9"/>
        <v>0.33</v>
      </c>
      <c r="M30" s="7">
        <f t="shared" si="9"/>
        <v>0.17274007862309937</v>
      </c>
      <c r="N30" s="7">
        <f t="shared" si="9"/>
        <v>0.15549954391208726</v>
      </c>
      <c r="O30" s="7">
        <f t="shared" si="9"/>
        <v>0.14661095768755392</v>
      </c>
      <c r="P30" s="7">
        <f>-P21/P12</f>
        <v>0.14020137776110175</v>
      </c>
      <c r="Q30" s="7">
        <f>-Q21/Q12</f>
        <v>0.13701594628775673</v>
      </c>
      <c r="R30" s="7">
        <f>-R21/R12</f>
        <v>0.1356262792495494</v>
      </c>
    </row>
    <row r="31" spans="1:18">
      <c r="A31" s="2"/>
      <c r="B31" s="2" t="s">
        <v>93</v>
      </c>
      <c r="C31" s="7">
        <f>C25/C12</f>
        <v>0</v>
      </c>
      <c r="D31" s="7">
        <f t="shared" ref="D31:I31" si="10">D25/D12</f>
        <v>0</v>
      </c>
      <c r="E31" s="7">
        <f t="shared" si="10"/>
        <v>0</v>
      </c>
      <c r="F31" s="7">
        <f t="shared" si="10"/>
        <v>1.4404761904761905</v>
      </c>
      <c r="G31" s="151">
        <f>G25/G12</f>
        <v>0.28298001211387036</v>
      </c>
      <c r="H31" s="151">
        <f t="shared" si="10"/>
        <v>0.19961728698508663</v>
      </c>
      <c r="I31" s="151">
        <f t="shared" si="10"/>
        <v>0.26812735910577684</v>
      </c>
      <c r="J31" s="151">
        <f t="shared" ref="J31:O31" si="11">J25/J12</f>
        <v>0.68239248564913091</v>
      </c>
      <c r="K31" s="7">
        <f t="shared" si="11"/>
        <v>-0.3869155467571499</v>
      </c>
      <c r="L31" s="7">
        <f t="shared" si="11"/>
        <v>-0.14863155955843058</v>
      </c>
      <c r="M31" s="7">
        <f t="shared" si="11"/>
        <v>-0.24167054691643677</v>
      </c>
      <c r="N31" s="7">
        <f t="shared" si="11"/>
        <v>-0.14178165242484983</v>
      </c>
      <c r="O31" s="7">
        <f t="shared" si="11"/>
        <v>-0.13028238352612387</v>
      </c>
      <c r="P31" s="7">
        <f>P25/P12</f>
        <v>-0.12487255717109776</v>
      </c>
      <c r="Q31" s="7">
        <f>Q25/Q12</f>
        <v>-0.1290663912971392</v>
      </c>
      <c r="R31" s="7">
        <f>R25/R12</f>
        <v>-0.12433891607802755</v>
      </c>
    </row>
    <row r="32" spans="1:18">
      <c r="G32" s="122"/>
    </row>
    <row r="33" spans="1:18" ht="15.75">
      <c r="A33" s="1" t="s">
        <v>94</v>
      </c>
      <c r="B33" s="2"/>
      <c r="C33" s="2"/>
      <c r="D33" s="2"/>
      <c r="E33" s="2"/>
      <c r="F33" s="2"/>
      <c r="G33" s="111"/>
      <c r="H33" s="111"/>
      <c r="I33" s="111"/>
      <c r="J33" s="111"/>
      <c r="K33" s="2"/>
      <c r="L33" s="2"/>
      <c r="M33" s="2"/>
      <c r="N33" s="2"/>
      <c r="O33" s="2"/>
      <c r="P33" s="2"/>
      <c r="Q33" s="2"/>
      <c r="R33" s="2"/>
    </row>
    <row r="34" spans="1:18">
      <c r="A34" s="2"/>
      <c r="B34" s="2" t="s">
        <v>95</v>
      </c>
      <c r="C34" s="2">
        <f>C9*C31</f>
        <v>0</v>
      </c>
      <c r="D34" s="2">
        <f>IF(('Proyecc Imptos'!B42-'Proyecc Imptos'!B40)='Proyecc Imptos'!B41,-'Proyecc Imptos'!B42,D9*D31)</f>
        <v>0</v>
      </c>
      <c r="E34" s="2">
        <f>IF(('Proyecc Imptos'!C42-'Proyecc Imptos'!C40)='Proyecc Imptos'!C41,-'Proyecc Imptos'!C42,E9*E31)</f>
        <v>0</v>
      </c>
      <c r="F34" s="2">
        <f>IF(('Proyecc Imptos'!D42-'Proyecc Imptos'!D40)='Proyecc Imptos'!D41,-'Proyecc Imptos'!D42,F9*F31)</f>
        <v>-2299</v>
      </c>
      <c r="G34" s="111">
        <f>IF(('Proyecc Imptos'!E42-'Proyecc Imptos'!E40)='Proyecc Imptos'!E41,-'Proyecc Imptos'!E42,G9*G31)</f>
        <v>-2390</v>
      </c>
      <c r="H34" s="111">
        <f>IF(('Proyecc Imptos'!F42-'Proyecc Imptos'!F40)='Proyecc Imptos'!F41,-'Proyecc Imptos'!F42,H9*H31)</f>
        <v>-2185</v>
      </c>
      <c r="I34" s="111">
        <f>IF(('Proyecc Imptos'!G42-'Proyecc Imptos'!G40)='Proyecc Imptos'!G41,-'Proyecc Imptos'!G42,I9*I31)</f>
        <v>-2079.155665505381</v>
      </c>
      <c r="J34" s="111">
        <f>IF(('Proyecc Imptos'!H42-'Proyecc Imptos'!H40)='Proyecc Imptos'!H41,-'Proyecc Imptos'!H42,J9*J31)</f>
        <v>-2013.153597995642</v>
      </c>
      <c r="K34" s="2">
        <f>IF(('Proyecc Imptos'!I42-'Proyecc Imptos'!I40)='Proyecc Imptos'!I41,-'Proyecc Imptos'!I42,K9*K31)</f>
        <v>-1900.6759042612218</v>
      </c>
      <c r="L34" s="2">
        <f>IF(('Proyecc Imptos'!J42-'Proyecc Imptos'!J40)='Proyecc Imptos'!J41,-'Proyecc Imptos'!J42,L9*L31)</f>
        <v>-2146.592160468872</v>
      </c>
      <c r="M34" s="2">
        <f>IF(('Proyecc Imptos'!K42-'Proyecc Imptos'!K40)='Proyecc Imptos'!K41,-'Proyecc Imptos'!K42,M9*M31)</f>
        <v>-4872.560073854911</v>
      </c>
      <c r="N34" s="2">
        <f>IF(('Proyecc Imptos'!L42-'Proyecc Imptos'!L40)='Proyecc Imptos'!L41,-'Proyecc Imptos'!L42,N9*N31)</f>
        <v>-3406.6054122404339</v>
      </c>
      <c r="O34" s="2">
        <f>IF(('Proyecc Imptos'!M42-'Proyecc Imptos'!M40)='Proyecc Imptos'!M41,-'Proyecc Imptos'!M42,O9*O31)</f>
        <v>-3736.2068986508111</v>
      </c>
      <c r="P34" s="2">
        <f>IF(('Proyecc Imptos'!N42-'Proyecc Imptos'!N40)='Proyecc Imptos'!N41,-'Proyecc Imptos'!N42,P9*P31)</f>
        <v>-4204.4738260426739</v>
      </c>
      <c r="Q34" s="2">
        <f>IF(('Proyecc Imptos'!O42-'Proyecc Imptos'!O40)='Proyecc Imptos'!O41,-'Proyecc Imptos'!O42,Q9*Q31)</f>
        <v>-4720.5970352956747</v>
      </c>
      <c r="R34" s="2">
        <f>IF(('Proyecc Imptos'!P42-'Proyecc Imptos'!P40)='Proyecc Imptos'!P41,-'Proyecc Imptos'!P42,R9*R31)</f>
        <v>-5011.3516255765371</v>
      </c>
    </row>
    <row r="35" spans="1:18" ht="15.75" thickBot="1">
      <c r="A35" s="2"/>
      <c r="B35" s="2" t="s">
        <v>96</v>
      </c>
      <c r="C35" s="2">
        <f>C31*C10</f>
        <v>0</v>
      </c>
      <c r="D35" s="2">
        <f>IF(('Proyecc Imptos'!B42-'Proyecc Imptos'!B40)='Proyecc Imptos'!B41,0,D31*D10)</f>
        <v>0</v>
      </c>
      <c r="E35" s="2">
        <f>IF(('Proyecc Imptos'!C42-'Proyecc Imptos'!C40)='Proyecc Imptos'!C41,0,E31*E10)</f>
        <v>0</v>
      </c>
      <c r="F35" s="2">
        <f>IF(('Proyecc Imptos'!D42-'Proyecc Imptos'!D40)='Proyecc Imptos'!D41,0,F31*F10)</f>
        <v>0</v>
      </c>
      <c r="G35" s="2">
        <f>IF(('Proyecc Imptos'!E42-'Proyecc Imptos'!E40)='Proyecc Imptos'!E41,0,G31*G10)</f>
        <v>0</v>
      </c>
      <c r="H35" s="2">
        <f>IF(('Proyecc Imptos'!F42-'Proyecc Imptos'!F40)='Proyecc Imptos'!F41,0,H31*H10)</f>
        <v>0</v>
      </c>
      <c r="I35" s="2">
        <f>IF(('Proyecc Imptos'!G42-'Proyecc Imptos'!G40)='Proyecc Imptos'!G41,0,I31*I10)</f>
        <v>0</v>
      </c>
      <c r="J35" s="2">
        <f>IF(('Proyecc Imptos'!H42-'Proyecc Imptos'!H40)='Proyecc Imptos'!H41,0,J31*J10)</f>
        <v>0</v>
      </c>
      <c r="K35" s="2">
        <f>IF(('Proyecc Imptos'!I42-'Proyecc Imptos'!I40)='Proyecc Imptos'!I41,0,K31*K10)</f>
        <v>0</v>
      </c>
      <c r="L35" s="2">
        <f>IF(('Proyecc Imptos'!J42-'Proyecc Imptos'!J40)='Proyecc Imptos'!J41,0,L31*L10)</f>
        <v>0</v>
      </c>
      <c r="M35" s="2">
        <f>IF(('Proyecc Imptos'!K42-'Proyecc Imptos'!K40)='Proyecc Imptos'!K41,0,M31*M10)</f>
        <v>106.57756610729692</v>
      </c>
      <c r="N35" s="2">
        <f>IF(('Proyecc Imptos'!L42-'Proyecc Imptos'!L40)='Proyecc Imptos'!L41,0,N31*N10)</f>
        <v>0</v>
      </c>
      <c r="O35" s="2">
        <f>IF(('Proyecc Imptos'!M42-'Proyecc Imptos'!M40)='Proyecc Imptos'!M41,0,O31*O10)</f>
        <v>0</v>
      </c>
      <c r="P35" s="2">
        <f>IF(('Proyecc Imptos'!N42-'Proyecc Imptos'!N40)='Proyecc Imptos'!N41,0,P31*P10)</f>
        <v>0</v>
      </c>
      <c r="Q35" s="2">
        <f>IF(('Proyecc Imptos'!O42-'Proyecc Imptos'!O40)='Proyecc Imptos'!O41,0,Q31*Q10)</f>
        <v>0</v>
      </c>
      <c r="R35" s="2">
        <f>IF(('Proyecc Imptos'!P42-'Proyecc Imptos'!P40)='Proyecc Imptos'!P41,0,R31*R10)</f>
        <v>0</v>
      </c>
    </row>
    <row r="36" spans="1:18" ht="15.75">
      <c r="A36" s="2"/>
      <c r="B36" s="1" t="s">
        <v>97</v>
      </c>
      <c r="C36" s="4">
        <f t="shared" ref="C36:O36" si="12">SUM(C34:C35)</f>
        <v>0</v>
      </c>
      <c r="D36" s="4">
        <f t="shared" si="12"/>
        <v>0</v>
      </c>
      <c r="E36" s="4">
        <f t="shared" si="12"/>
        <v>0</v>
      </c>
      <c r="F36" s="4">
        <f t="shared" si="12"/>
        <v>-2299</v>
      </c>
      <c r="G36" s="112">
        <f>SUM(G34:G35)</f>
        <v>-2390</v>
      </c>
      <c r="H36" s="112">
        <f t="shared" si="12"/>
        <v>-2185</v>
      </c>
      <c r="I36" s="112">
        <f t="shared" si="12"/>
        <v>-2079.155665505381</v>
      </c>
      <c r="J36" s="112">
        <f t="shared" si="12"/>
        <v>-2013.153597995642</v>
      </c>
      <c r="K36" s="4">
        <f t="shared" si="12"/>
        <v>-1900.6759042612218</v>
      </c>
      <c r="L36" s="4">
        <f t="shared" si="12"/>
        <v>-2146.592160468872</v>
      </c>
      <c r="M36" s="4">
        <f t="shared" si="12"/>
        <v>-4765.9825077476144</v>
      </c>
      <c r="N36" s="4">
        <f t="shared" si="12"/>
        <v>-3406.6054122404339</v>
      </c>
      <c r="O36" s="4">
        <f t="shared" si="12"/>
        <v>-3736.2068986508111</v>
      </c>
      <c r="P36" s="4">
        <f>SUM(P34:P35)</f>
        <v>-4204.4738260426739</v>
      </c>
      <c r="Q36" s="4">
        <f>SUM(Q34:Q35)</f>
        <v>-4720.5970352956747</v>
      </c>
      <c r="R36" s="4">
        <f>SUM(R34:R35)</f>
        <v>-5011.3516255765371</v>
      </c>
    </row>
    <row r="37" spans="1:18">
      <c r="C37" s="342"/>
      <c r="D37" s="342"/>
      <c r="E37" s="342"/>
      <c r="F37" s="342"/>
      <c r="G37" s="342"/>
      <c r="H37" s="342"/>
      <c r="I37" s="342"/>
      <c r="J37" s="342"/>
      <c r="K37" s="342"/>
      <c r="L37" s="342"/>
      <c r="M37" s="342"/>
      <c r="N37" s="342"/>
      <c r="O37" s="342"/>
      <c r="P37" s="342"/>
      <c r="Q37" s="342"/>
      <c r="R37" s="342"/>
    </row>
    <row r="38" spans="1:18">
      <c r="F38">
        <f t="shared" ref="F38:R38" si="13">+F25-F36</f>
        <v>0</v>
      </c>
      <c r="G38">
        <f t="shared" si="13"/>
        <v>54</v>
      </c>
      <c r="H38">
        <f t="shared" si="13"/>
        <v>-54</v>
      </c>
      <c r="I38">
        <f t="shared" si="13"/>
        <v>0</v>
      </c>
      <c r="J38">
        <f t="shared" si="13"/>
        <v>0</v>
      </c>
      <c r="K38">
        <f t="shared" si="13"/>
        <v>0</v>
      </c>
      <c r="L38">
        <f t="shared" si="13"/>
        <v>0</v>
      </c>
      <c r="M38">
        <f t="shared" si="13"/>
        <v>0</v>
      </c>
      <c r="N38">
        <f t="shared" si="13"/>
        <v>0</v>
      </c>
      <c r="O38">
        <f t="shared" si="13"/>
        <v>0</v>
      </c>
      <c r="P38">
        <f t="shared" si="13"/>
        <v>0</v>
      </c>
      <c r="Q38">
        <f t="shared" si="13"/>
        <v>0</v>
      </c>
      <c r="R38">
        <f t="shared" si="13"/>
        <v>0</v>
      </c>
    </row>
  </sheetData>
  <phoneticPr fontId="0" type="noConversion"/>
  <printOptions horizontalCentered="1" verticalCentered="1"/>
  <pageMargins left="0.51181102362204722" right="0.51181102362204722" top="0.51181102362204722" bottom="0.51181102362204722" header="0.51181102362204722" footer="0.51181102362204722"/>
  <pageSetup scale="90" firstPageNumber="6" orientation="landscape" blackAndWhite="1" horizontalDpi="300" verticalDpi="300"/>
  <headerFooter>
    <oddHeader>&amp;C&amp;A</oddHeader>
    <oddFooter>&amp;CCompañía Modelo - EVA&amp;RPágina &amp;P</oddFooter>
  </headerFooter>
</worksheet>
</file>

<file path=xl/worksheets/sheet21.xml><?xml version="1.0" encoding="utf-8"?>
<worksheet xmlns="http://schemas.openxmlformats.org/spreadsheetml/2006/main" xmlns:r="http://schemas.openxmlformats.org/officeDocument/2006/relationships">
  <dimension ref="A1:Q42"/>
  <sheetViews>
    <sheetView showGridLines="0" topLeftCell="A21" zoomScale="80" zoomScaleNormal="80" workbookViewId="0">
      <selection activeCell="A24" sqref="A24"/>
    </sheetView>
  </sheetViews>
  <sheetFormatPr baseColWidth="10" defaultRowHeight="15"/>
  <cols>
    <col min="1" max="1" width="31.33203125" customWidth="1"/>
  </cols>
  <sheetData>
    <row r="1" spans="1:6" ht="15.75">
      <c r="A1" s="51" t="str">
        <f>+Imptos.</f>
        <v>ENKA de Colombia S.A.</v>
      </c>
    </row>
    <row r="2" spans="1:6" ht="15.75">
      <c r="A2" s="51" t="s">
        <v>1159</v>
      </c>
    </row>
    <row r="3" spans="1:6" ht="15.75">
      <c r="A3" s="51"/>
    </row>
    <row r="4" spans="1:6" ht="48" thickBot="1">
      <c r="A4" s="531" t="s">
        <v>1040</v>
      </c>
      <c r="B4" s="532" t="s">
        <v>1080</v>
      </c>
      <c r="C4" s="532" t="s">
        <v>1081</v>
      </c>
      <c r="D4" s="531" t="s">
        <v>1094</v>
      </c>
      <c r="E4" s="531" t="s">
        <v>1054</v>
      </c>
      <c r="F4" s="531" t="s">
        <v>1082</v>
      </c>
    </row>
    <row r="5" spans="1:6">
      <c r="A5">
        <v>2008</v>
      </c>
      <c r="B5" s="342">
        <v>-39906</v>
      </c>
      <c r="C5" s="342"/>
      <c r="D5" s="342">
        <f t="shared" ref="D5:D21" si="0">+B5+C5</f>
        <v>-39906</v>
      </c>
      <c r="E5" s="299">
        <v>0.33</v>
      </c>
      <c r="F5" s="342">
        <f t="shared" ref="F5:F21" si="1">+D5*E5</f>
        <v>-13168.980000000001</v>
      </c>
    </row>
    <row r="6" spans="1:6">
      <c r="A6">
        <f>+A5+1</f>
        <v>2009</v>
      </c>
      <c r="B6" s="342">
        <v>-14526</v>
      </c>
      <c r="C6" s="342"/>
      <c r="D6" s="342">
        <f t="shared" si="0"/>
        <v>-14526</v>
      </c>
      <c r="E6" s="299">
        <v>0.33</v>
      </c>
      <c r="F6" s="342">
        <f t="shared" si="1"/>
        <v>-4793.58</v>
      </c>
    </row>
    <row r="7" spans="1:6">
      <c r="A7">
        <f t="shared" ref="A7:A21" si="2">+A6+1</f>
        <v>2010</v>
      </c>
      <c r="B7" s="342">
        <v>-6101</v>
      </c>
      <c r="C7" s="342"/>
      <c r="D7" s="342">
        <f t="shared" si="0"/>
        <v>-6101</v>
      </c>
      <c r="E7" s="299">
        <v>0.33</v>
      </c>
      <c r="F7" s="342">
        <f t="shared" si="1"/>
        <v>-2013.3300000000002</v>
      </c>
    </row>
    <row r="8" spans="1:6">
      <c r="A8">
        <f t="shared" si="2"/>
        <v>2011</v>
      </c>
      <c r="B8" s="342">
        <v>-14084</v>
      </c>
      <c r="C8" s="342">
        <v>-7346</v>
      </c>
      <c r="D8" s="342">
        <f t="shared" si="0"/>
        <v>-21430</v>
      </c>
      <c r="E8" s="299">
        <v>0.33</v>
      </c>
      <c r="F8" s="342">
        <f t="shared" si="1"/>
        <v>-7071.9000000000005</v>
      </c>
    </row>
    <row r="9" spans="1:6">
      <c r="A9">
        <f t="shared" si="2"/>
        <v>2012</v>
      </c>
      <c r="B9" s="342">
        <v>-19016</v>
      </c>
      <c r="C9" s="342">
        <v>-7248</v>
      </c>
      <c r="D9" s="342">
        <f t="shared" si="0"/>
        <v>-26264</v>
      </c>
      <c r="E9" s="299">
        <v>0.33</v>
      </c>
      <c r="F9" s="342">
        <f t="shared" si="1"/>
        <v>-8667.1200000000008</v>
      </c>
    </row>
    <row r="10" spans="1:6">
      <c r="A10">
        <f t="shared" si="2"/>
        <v>2013</v>
      </c>
      <c r="B10" s="342">
        <v>-11758</v>
      </c>
      <c r="C10" s="342">
        <v>-6601</v>
      </c>
      <c r="D10" s="342">
        <f t="shared" si="0"/>
        <v>-18359</v>
      </c>
      <c r="E10" s="299">
        <v>0.25</v>
      </c>
      <c r="F10" s="342">
        <f t="shared" si="1"/>
        <v>-4589.75</v>
      </c>
    </row>
    <row r="11" spans="1:6">
      <c r="A11">
        <f t="shared" si="2"/>
        <v>2014</v>
      </c>
      <c r="B11" s="342">
        <f>+Resultados!H30</f>
        <v>-11216.463432684943</v>
      </c>
      <c r="C11" s="342">
        <f>-G41</f>
        <v>-2079.155665505381</v>
      </c>
      <c r="D11" s="342">
        <f t="shared" si="0"/>
        <v>-13295.619098190324</v>
      </c>
      <c r="E11" s="299">
        <f t="shared" ref="E11:E21" si="3">+E10</f>
        <v>0.25</v>
      </c>
      <c r="F11" s="342">
        <f t="shared" si="1"/>
        <v>-3323.9047745475809</v>
      </c>
    </row>
    <row r="12" spans="1:6">
      <c r="A12">
        <f t="shared" si="2"/>
        <v>2015</v>
      </c>
      <c r="B12" s="342">
        <f>+Resultados!I30</f>
        <v>-7754.3584975420199</v>
      </c>
      <c r="C12" s="342">
        <f>-H41</f>
        <v>-2013.153597995642</v>
      </c>
      <c r="D12" s="342">
        <f t="shared" si="0"/>
        <v>-9767.5120955376624</v>
      </c>
      <c r="E12" s="299">
        <f t="shared" si="3"/>
        <v>0.25</v>
      </c>
      <c r="F12" s="342">
        <f t="shared" si="1"/>
        <v>-2441.8780238844156</v>
      </c>
    </row>
    <row r="13" spans="1:6">
      <c r="A13">
        <f t="shared" si="2"/>
        <v>2016</v>
      </c>
      <c r="B13" s="342">
        <f>+Resultados!J30</f>
        <v>-2950.1403376102753</v>
      </c>
      <c r="C13" s="342">
        <f>-I41</f>
        <v>-1900.6759042612218</v>
      </c>
      <c r="D13" s="342">
        <f t="shared" si="0"/>
        <v>-4850.8162418714974</v>
      </c>
      <c r="E13" s="299">
        <f t="shared" si="3"/>
        <v>0.25</v>
      </c>
      <c r="F13" s="342">
        <f t="shared" si="1"/>
        <v>-1212.7040604678743</v>
      </c>
    </row>
    <row r="14" spans="1:6">
      <c r="A14">
        <f t="shared" si="2"/>
        <v>2017</v>
      </c>
      <c r="B14" s="342">
        <f>+Resultados!K30</f>
        <v>4912.3792522459535</v>
      </c>
      <c r="C14" s="342">
        <f>-J41</f>
        <v>-1753.6018202891955</v>
      </c>
      <c r="D14" s="342">
        <f t="shared" si="0"/>
        <v>3158.7774319567579</v>
      </c>
      <c r="E14" s="299">
        <f t="shared" si="3"/>
        <v>0.25</v>
      </c>
      <c r="F14" s="342">
        <f t="shared" si="1"/>
        <v>789.69435798918948</v>
      </c>
    </row>
    <row r="15" spans="1:6">
      <c r="A15">
        <f t="shared" si="2"/>
        <v>2018</v>
      </c>
      <c r="B15" s="342">
        <f>+Resultados!L30</f>
        <v>14442.37123559883</v>
      </c>
      <c r="C15" s="342">
        <f>-K41</f>
        <v>-1765.5552459740279</v>
      </c>
      <c r="D15" s="342">
        <f t="shared" si="0"/>
        <v>12676.815989624802</v>
      </c>
      <c r="E15" s="299">
        <f t="shared" si="3"/>
        <v>0.25</v>
      </c>
      <c r="F15" s="342">
        <f t="shared" si="1"/>
        <v>3169.2039974062004</v>
      </c>
    </row>
    <row r="16" spans="1:6">
      <c r="A16">
        <f t="shared" si="2"/>
        <v>2019</v>
      </c>
      <c r="B16" s="342">
        <f>+Resultados!M30</f>
        <v>19720.990284329368</v>
      </c>
      <c r="C16" s="342">
        <f>-L41</f>
        <v>-1828.9261894940842</v>
      </c>
      <c r="D16" s="342">
        <f t="shared" si="0"/>
        <v>17892.064094835285</v>
      </c>
      <c r="E16" s="299">
        <f t="shared" si="3"/>
        <v>0.25</v>
      </c>
      <c r="F16" s="342">
        <f t="shared" si="1"/>
        <v>4473.0160237088212</v>
      </c>
    </row>
    <row r="17" spans="1:17">
      <c r="A17">
        <f t="shared" si="2"/>
        <v>2020</v>
      </c>
      <c r="B17" s="342">
        <f>+Resultados!N30</f>
        <v>24027.124483163127</v>
      </c>
      <c r="C17" s="342">
        <f>-M41</f>
        <v>-1814.036939997761</v>
      </c>
      <c r="D17" s="342">
        <f t="shared" si="0"/>
        <v>22213.087543165366</v>
      </c>
      <c r="E17" s="299">
        <f t="shared" si="3"/>
        <v>0.25</v>
      </c>
      <c r="F17" s="342">
        <f t="shared" si="1"/>
        <v>5553.2718857913414</v>
      </c>
    </row>
    <row r="18" spans="1:17">
      <c r="A18">
        <f t="shared" si="2"/>
        <v>2021</v>
      </c>
      <c r="B18" s="342">
        <f>+Resultados!O30</f>
        <v>28677.759782477704</v>
      </c>
      <c r="C18" s="342">
        <f>-N41</f>
        <v>-1910.2530434444573</v>
      </c>
      <c r="D18" s="342">
        <f t="shared" si="0"/>
        <v>26767.506739033248</v>
      </c>
      <c r="E18" s="299">
        <f t="shared" si="3"/>
        <v>0.25</v>
      </c>
      <c r="F18" s="342">
        <f t="shared" si="1"/>
        <v>6691.876684758312</v>
      </c>
    </row>
    <row r="19" spans="1:17">
      <c r="A19">
        <f t="shared" si="2"/>
        <v>2022</v>
      </c>
      <c r="B19" s="342">
        <f>+Resultados!P30</f>
        <v>33670.118729784575</v>
      </c>
      <c r="C19" s="342">
        <f>-O41</f>
        <v>-2026.9875369129088</v>
      </c>
      <c r="D19" s="342">
        <f t="shared" si="0"/>
        <v>31643.131192871668</v>
      </c>
      <c r="E19" s="299">
        <f t="shared" si="3"/>
        <v>0.25</v>
      </c>
      <c r="F19" s="342">
        <f t="shared" si="1"/>
        <v>7910.7827982179169</v>
      </c>
    </row>
    <row r="20" spans="1:17">
      <c r="A20">
        <f t="shared" si="2"/>
        <v>2023</v>
      </c>
      <c r="B20" s="342">
        <f>+Resultados!Q30</f>
        <v>36574.951758183299</v>
      </c>
      <c r="C20" s="342">
        <f>-P41</f>
        <v>-2085.3554849218731</v>
      </c>
      <c r="D20" s="342">
        <f t="shared" si="0"/>
        <v>34489.596273261428</v>
      </c>
      <c r="E20" s="299">
        <f t="shared" si="3"/>
        <v>0.25</v>
      </c>
      <c r="F20" s="342">
        <f t="shared" si="1"/>
        <v>8622.399068315357</v>
      </c>
    </row>
    <row r="21" spans="1:17">
      <c r="A21">
        <f t="shared" si="2"/>
        <v>2024</v>
      </c>
      <c r="B21" s="342">
        <f>+Resultados!R30</f>
        <v>40303.967443561414</v>
      </c>
      <c r="C21" s="342">
        <f>-Q41</f>
        <v>-2241.9597478802948</v>
      </c>
      <c r="D21" s="342">
        <f t="shared" si="0"/>
        <v>38062.007695681117</v>
      </c>
      <c r="E21" s="299">
        <f t="shared" si="3"/>
        <v>0.25</v>
      </c>
      <c r="F21" s="342">
        <f t="shared" si="1"/>
        <v>9515.5019239202793</v>
      </c>
    </row>
    <row r="22" spans="1:17" ht="15.75">
      <c r="A22" s="533" t="s">
        <v>1004</v>
      </c>
      <c r="B22" s="534">
        <f>SUM(B5:B21)</f>
        <v>75017.700701507012</v>
      </c>
      <c r="C22" s="534">
        <f>SUM(C5:C21)</f>
        <v>-42614.66117667684</v>
      </c>
      <c r="D22" s="534">
        <f>SUM(D5:D21)</f>
        <v>32403.039524830136</v>
      </c>
      <c r="E22" s="535"/>
      <c r="F22" s="534">
        <f>SUM(F5:F21)</f>
        <v>-557.4001187924714</v>
      </c>
    </row>
    <row r="24" spans="1:17">
      <c r="A24" s="53" t="s">
        <v>1084</v>
      </c>
    </row>
    <row r="26" spans="1:17" ht="16.5" thickBot="1">
      <c r="B26" s="68">
        <v>2009</v>
      </c>
      <c r="C26" s="68">
        <f t="shared" ref="C26:Q26" si="4">+B26+1</f>
        <v>2010</v>
      </c>
      <c r="D26" s="68">
        <f t="shared" si="4"/>
        <v>2011</v>
      </c>
      <c r="E26" s="68">
        <f t="shared" si="4"/>
        <v>2012</v>
      </c>
      <c r="F26" s="68">
        <f t="shared" si="4"/>
        <v>2013</v>
      </c>
      <c r="G26" s="68">
        <f t="shared" si="4"/>
        <v>2014</v>
      </c>
      <c r="H26" s="68">
        <f t="shared" si="4"/>
        <v>2015</v>
      </c>
      <c r="I26" s="68">
        <f t="shared" si="4"/>
        <v>2016</v>
      </c>
      <c r="J26" s="68">
        <f t="shared" si="4"/>
        <v>2017</v>
      </c>
      <c r="K26" s="68">
        <f t="shared" si="4"/>
        <v>2018</v>
      </c>
      <c r="L26" s="68">
        <f t="shared" si="4"/>
        <v>2019</v>
      </c>
      <c r="M26" s="68">
        <f t="shared" si="4"/>
        <v>2020</v>
      </c>
      <c r="N26" s="68">
        <f t="shared" si="4"/>
        <v>2021</v>
      </c>
      <c r="O26" s="68">
        <f t="shared" si="4"/>
        <v>2022</v>
      </c>
      <c r="P26" s="68">
        <f t="shared" si="4"/>
        <v>2023</v>
      </c>
      <c r="Q26" s="68">
        <f t="shared" si="4"/>
        <v>2024</v>
      </c>
    </row>
    <row r="27" spans="1:17" ht="15.75">
      <c r="A27" s="51" t="s">
        <v>1083</v>
      </c>
      <c r="B27" s="342">
        <f>+Balance!C67</f>
        <v>528212</v>
      </c>
      <c r="C27" s="362">
        <f>+Balance!D67</f>
        <v>517339</v>
      </c>
      <c r="D27" s="362">
        <f>+Balance!E67</f>
        <v>458772</v>
      </c>
      <c r="E27" s="362">
        <f>+Balance!F67</f>
        <v>446290</v>
      </c>
      <c r="F27" s="342">
        <f>+Balance!G67</f>
        <v>442306</v>
      </c>
      <c r="G27" s="342">
        <f>+Balance!H67</f>
        <v>409355</v>
      </c>
      <c r="H27" s="342">
        <f>+Balance!I67</f>
        <v>396059.38090180967</v>
      </c>
      <c r="I27" s="342">
        <f>+Balance!J67</f>
        <v>386291.86880627199</v>
      </c>
      <c r="J27" s="342">
        <f>+Balance!K67</f>
        <v>360813.07941195834</v>
      </c>
      <c r="K27" s="342">
        <f>+Balance!L67</f>
        <v>363578.86650373542</v>
      </c>
      <c r="L27" s="342">
        <f>+Balance!M67</f>
        <v>373255.25523158663</v>
      </c>
      <c r="M27" s="342">
        <f>+Balance!N67</f>
        <v>370667.18013397756</v>
      </c>
      <c r="N27" s="342">
        <f>+Balance!O67</f>
        <v>390958.09771848988</v>
      </c>
      <c r="O27" s="342">
        <f>+Balance!P67</f>
        <v>415431.38367492496</v>
      </c>
      <c r="P27" s="342">
        <f>+Balance!Q67</f>
        <v>427059.62080764218</v>
      </c>
      <c r="Q27" s="342">
        <f>+Balance!R67</f>
        <v>458623.22094024892</v>
      </c>
    </row>
    <row r="28" spans="1:17" ht="15.75">
      <c r="A28" s="51" t="s">
        <v>1085</v>
      </c>
      <c r="B28" s="342">
        <v>262025</v>
      </c>
      <c r="C28" s="362">
        <v>261241</v>
      </c>
      <c r="D28" s="362">
        <v>241952</v>
      </c>
      <c r="E28" s="362">
        <v>220017</v>
      </c>
      <c r="F28" s="342">
        <v>207151</v>
      </c>
      <c r="G28" s="342">
        <f>+G27*AVERAGE(B29:F29)</f>
        <v>203838.79073582171</v>
      </c>
      <c r="H28" s="342">
        <f t="shared" ref="H28:Q28" si="5">+H27*AVERAGE(C29:G29)</f>
        <v>197367.99980349434</v>
      </c>
      <c r="I28" s="342">
        <f t="shared" si="5"/>
        <v>191987.46507689109</v>
      </c>
      <c r="J28" s="342">
        <f t="shared" si="5"/>
        <v>177131.49699890864</v>
      </c>
      <c r="K28" s="342">
        <f t="shared" si="5"/>
        <v>178338.9137347503</v>
      </c>
      <c r="L28" s="342">
        <f t="shared" si="5"/>
        <v>184740.01914081658</v>
      </c>
      <c r="M28" s="342">
        <f t="shared" si="5"/>
        <v>183236.05454522837</v>
      </c>
      <c r="N28" s="342">
        <f t="shared" si="5"/>
        <v>192954.8528731775</v>
      </c>
      <c r="O28" s="342">
        <f t="shared" si="5"/>
        <v>204746.21584978877</v>
      </c>
      <c r="P28" s="342">
        <f t="shared" si="5"/>
        <v>210641.96817392655</v>
      </c>
      <c r="Q28" s="342">
        <f t="shared" si="5"/>
        <v>226460.58059396918</v>
      </c>
    </row>
    <row r="29" spans="1:17" ht="15.75">
      <c r="A29" s="51" t="s">
        <v>1086</v>
      </c>
      <c r="B29" s="299">
        <f t="shared" ref="B29:G29" si="6">+B28/B27</f>
        <v>0.49606029397287454</v>
      </c>
      <c r="C29" s="298">
        <f t="shared" si="6"/>
        <v>0.50497062854337293</v>
      </c>
      <c r="D29" s="298">
        <f t="shared" si="6"/>
        <v>0.52739051206263676</v>
      </c>
      <c r="E29" s="298">
        <f t="shared" si="6"/>
        <v>0.49299110443881783</v>
      </c>
      <c r="F29" s="299">
        <f t="shared" si="6"/>
        <v>0.46834318322609236</v>
      </c>
      <c r="G29" s="299">
        <f t="shared" si="6"/>
        <v>0.49795114444875893</v>
      </c>
      <c r="H29" s="299">
        <f t="shared" ref="H29:Q29" si="7">+H28/H27</f>
        <v>0.4983293145439357</v>
      </c>
      <c r="I29" s="299">
        <f t="shared" si="7"/>
        <v>0.49700105174404829</v>
      </c>
      <c r="J29" s="299">
        <f t="shared" si="7"/>
        <v>0.49092315968033062</v>
      </c>
      <c r="K29" s="299">
        <f t="shared" si="7"/>
        <v>0.49050957072863322</v>
      </c>
      <c r="L29" s="299">
        <f t="shared" si="7"/>
        <v>0.49494284822914131</v>
      </c>
      <c r="M29" s="299">
        <f t="shared" si="7"/>
        <v>0.49434118898521778</v>
      </c>
      <c r="N29" s="299">
        <f t="shared" si="7"/>
        <v>0.49354356387347426</v>
      </c>
      <c r="O29" s="299">
        <f t="shared" si="7"/>
        <v>0.49285206629935951</v>
      </c>
      <c r="P29" s="299">
        <f t="shared" si="7"/>
        <v>0.49323784762316525</v>
      </c>
      <c r="Q29" s="299">
        <f t="shared" si="7"/>
        <v>0.49378350300207163</v>
      </c>
    </row>
    <row r="30" spans="1:17" ht="15.75">
      <c r="A30" s="51"/>
      <c r="B30" s="299"/>
      <c r="C30" s="298"/>
      <c r="D30" s="298"/>
      <c r="E30" s="298"/>
      <c r="F30" s="299"/>
      <c r="G30" s="299"/>
      <c r="H30" s="299"/>
      <c r="I30" s="299"/>
      <c r="J30" s="299"/>
      <c r="K30" s="299"/>
      <c r="L30" s="299"/>
      <c r="M30" s="299"/>
      <c r="N30" s="299"/>
      <c r="O30" s="299"/>
      <c r="P30" s="299"/>
      <c r="Q30" s="299"/>
    </row>
    <row r="31" spans="1:17" ht="15.75">
      <c r="A31" s="51" t="s">
        <v>1088</v>
      </c>
      <c r="G31" s="299">
        <v>0.25</v>
      </c>
      <c r="H31" s="299">
        <v>0.25</v>
      </c>
      <c r="I31" s="299">
        <v>0.25</v>
      </c>
      <c r="J31" s="299">
        <v>0.25</v>
      </c>
      <c r="K31" s="299">
        <v>0.25</v>
      </c>
      <c r="L31" s="299">
        <v>0.25</v>
      </c>
      <c r="M31" s="299">
        <v>0.25</v>
      </c>
      <c r="N31" s="299">
        <v>0.25</v>
      </c>
      <c r="O31" s="299">
        <v>0.25</v>
      </c>
      <c r="P31" s="299">
        <v>0.25</v>
      </c>
      <c r="Q31" s="299">
        <v>0.25</v>
      </c>
    </row>
    <row r="32" spans="1:17" ht="15.75">
      <c r="A32" s="51" t="s">
        <v>1089</v>
      </c>
      <c r="G32" s="299">
        <v>0.09</v>
      </c>
      <c r="H32" s="363">
        <v>0.09</v>
      </c>
      <c r="I32" s="363">
        <v>0.08</v>
      </c>
      <c r="J32" s="363">
        <v>0.08</v>
      </c>
      <c r="K32" s="363">
        <v>0.08</v>
      </c>
      <c r="L32" s="299">
        <v>0.08</v>
      </c>
      <c r="M32" s="299">
        <v>0.08</v>
      </c>
      <c r="N32" s="299">
        <v>0.08</v>
      </c>
      <c r="O32" s="299">
        <v>0.08</v>
      </c>
      <c r="P32" s="299">
        <v>0.08</v>
      </c>
      <c r="Q32" s="299">
        <v>0.08</v>
      </c>
    </row>
    <row r="33" spans="1:17">
      <c r="A33" s="53" t="s">
        <v>1157</v>
      </c>
      <c r="G33" s="299"/>
      <c r="H33" s="363"/>
      <c r="I33" s="363"/>
      <c r="J33" s="363"/>
      <c r="K33" s="363"/>
      <c r="L33" s="342">
        <f>-B16</f>
        <v>-19720.990284329368</v>
      </c>
      <c r="M33" s="342">
        <f>-B17</f>
        <v>-24027.124483163127</v>
      </c>
      <c r="N33" s="342">
        <f>-B18</f>
        <v>-28677.759782477704</v>
      </c>
      <c r="O33" s="342">
        <f>-B19</f>
        <v>-33670.118729784575</v>
      </c>
      <c r="P33" s="342">
        <f>-B20</f>
        <v>-36574.951758183299</v>
      </c>
      <c r="Q33" s="342">
        <f>-B21</f>
        <v>-40303.967443561414</v>
      </c>
    </row>
    <row r="34" spans="1:17">
      <c r="A34" s="53" t="s">
        <v>1087</v>
      </c>
      <c r="B34" s="342">
        <v>-12977</v>
      </c>
      <c r="C34" s="342">
        <v>-5577</v>
      </c>
      <c r="D34" s="342">
        <v>-13345</v>
      </c>
      <c r="E34" s="342">
        <v>-18533</v>
      </c>
      <c r="F34" s="342">
        <v>-11578</v>
      </c>
      <c r="G34" s="342">
        <f>+Resultados!H30</f>
        <v>-11216.463432684943</v>
      </c>
      <c r="H34" s="342">
        <f>+Resultados!I30</f>
        <v>-7754.3584975420199</v>
      </c>
      <c r="I34" s="342">
        <f>+Resultados!J30</f>
        <v>-2950.1403376102753</v>
      </c>
      <c r="J34" s="342">
        <f>+Resultados!K30</f>
        <v>4912.3792522459535</v>
      </c>
      <c r="K34" s="342">
        <f>+Resultados!L30</f>
        <v>14442.37123559883</v>
      </c>
      <c r="L34" s="342">
        <f>+Resultados!M30</f>
        <v>19720.990284329368</v>
      </c>
      <c r="M34" s="342">
        <f>+Resultados!N30</f>
        <v>24027.124483163127</v>
      </c>
      <c r="N34" s="342">
        <f>+Resultados!O30</f>
        <v>28677.759782477704</v>
      </c>
      <c r="O34" s="342">
        <f>+Resultados!P30</f>
        <v>33670.118729784575</v>
      </c>
      <c r="P34" s="342">
        <f>+Resultados!Q30</f>
        <v>36574.951758183299</v>
      </c>
      <c r="Q34" s="342">
        <f>+Resultados!R30</f>
        <v>40303.967443561414</v>
      </c>
    </row>
    <row r="35" spans="1:17" ht="15.75">
      <c r="A35" s="533" t="s">
        <v>1158</v>
      </c>
      <c r="B35" s="534">
        <f>IF(SUM(B33:B34)&gt;0,SUM(B33:B34),0)</f>
        <v>0</v>
      </c>
      <c r="C35" s="534">
        <f t="shared" ref="C35:Q35" si="8">IF(SUM(C33:C34)&gt;0,SUM(C33:C34),0)</f>
        <v>0</v>
      </c>
      <c r="D35" s="534">
        <f t="shared" si="8"/>
        <v>0</v>
      </c>
      <c r="E35" s="534">
        <f t="shared" si="8"/>
        <v>0</v>
      </c>
      <c r="F35" s="534">
        <f t="shared" si="8"/>
        <v>0</v>
      </c>
      <c r="G35" s="534">
        <f t="shared" si="8"/>
        <v>0</v>
      </c>
      <c r="H35" s="534">
        <f t="shared" si="8"/>
        <v>0</v>
      </c>
      <c r="I35" s="534">
        <f t="shared" si="8"/>
        <v>0</v>
      </c>
      <c r="J35" s="534">
        <f t="shared" si="8"/>
        <v>4912.3792522459535</v>
      </c>
      <c r="K35" s="534">
        <f t="shared" si="8"/>
        <v>14442.37123559883</v>
      </c>
      <c r="L35" s="534">
        <f t="shared" si="8"/>
        <v>0</v>
      </c>
      <c r="M35" s="534">
        <f t="shared" si="8"/>
        <v>0</v>
      </c>
      <c r="N35" s="534">
        <f t="shared" si="8"/>
        <v>0</v>
      </c>
      <c r="O35" s="534">
        <f t="shared" si="8"/>
        <v>0</v>
      </c>
      <c r="P35" s="534">
        <f t="shared" si="8"/>
        <v>0</v>
      </c>
      <c r="Q35" s="534">
        <f t="shared" si="8"/>
        <v>0</v>
      </c>
    </row>
    <row r="37" spans="1:17" ht="15.75">
      <c r="A37" s="51" t="s">
        <v>1093</v>
      </c>
    </row>
    <row r="38" spans="1:17">
      <c r="A38" s="53" t="s">
        <v>1092</v>
      </c>
      <c r="B38" s="342">
        <f t="shared" ref="B38:Q38" si="9">+B28*3%</f>
        <v>7860.75</v>
      </c>
      <c r="C38" s="342">
        <f t="shared" si="9"/>
        <v>7837.23</v>
      </c>
      <c r="D38" s="342">
        <f t="shared" si="9"/>
        <v>7258.5599999999995</v>
      </c>
      <c r="E38" s="342">
        <f t="shared" si="9"/>
        <v>6600.5099999999993</v>
      </c>
      <c r="F38" s="342">
        <f t="shared" si="9"/>
        <v>6214.53</v>
      </c>
      <c r="G38" s="342">
        <f t="shared" si="9"/>
        <v>6115.1637220746507</v>
      </c>
      <c r="H38" s="342">
        <f t="shared" si="9"/>
        <v>5921.0399941048299</v>
      </c>
      <c r="I38" s="342">
        <f t="shared" si="9"/>
        <v>5759.6239523067325</v>
      </c>
      <c r="J38" s="342">
        <f t="shared" si="9"/>
        <v>5313.9449099672593</v>
      </c>
      <c r="K38" s="342">
        <f t="shared" si="9"/>
        <v>5350.1674120425087</v>
      </c>
      <c r="L38" s="342">
        <f t="shared" si="9"/>
        <v>5542.2005742244974</v>
      </c>
      <c r="M38" s="342">
        <f t="shared" si="9"/>
        <v>5497.081636356851</v>
      </c>
      <c r="N38" s="342">
        <f t="shared" si="9"/>
        <v>5788.6455861953245</v>
      </c>
      <c r="O38" s="342">
        <f t="shared" si="9"/>
        <v>6142.3864754936631</v>
      </c>
      <c r="P38" s="342">
        <f t="shared" si="9"/>
        <v>6319.2590452177965</v>
      </c>
      <c r="Q38" s="342">
        <f t="shared" si="9"/>
        <v>6793.8174178190748</v>
      </c>
    </row>
    <row r="39" spans="1:17">
      <c r="A39" s="53" t="s">
        <v>1090</v>
      </c>
      <c r="B39" s="342"/>
      <c r="C39" s="342"/>
      <c r="D39" s="342"/>
      <c r="E39" s="342"/>
      <c r="F39" s="342"/>
      <c r="G39" s="342">
        <f>IF(G35&gt;0,G35*(G31),0)</f>
        <v>0</v>
      </c>
      <c r="H39" s="342">
        <f t="shared" ref="H39:Q39" si="10">IF(H35&gt;0,H35*(H31),0)</f>
        <v>0</v>
      </c>
      <c r="I39" s="342">
        <f t="shared" si="10"/>
        <v>0</v>
      </c>
      <c r="J39" s="342">
        <f t="shared" si="10"/>
        <v>1228.0948130614884</v>
      </c>
      <c r="K39" s="342">
        <f t="shared" si="10"/>
        <v>3610.5928088997075</v>
      </c>
      <c r="L39" s="342">
        <f t="shared" si="10"/>
        <v>0</v>
      </c>
      <c r="M39" s="342">
        <f t="shared" si="10"/>
        <v>0</v>
      </c>
      <c r="N39" s="342">
        <f t="shared" si="10"/>
        <v>0</v>
      </c>
      <c r="O39" s="342">
        <f t="shared" si="10"/>
        <v>0</v>
      </c>
      <c r="P39" s="342">
        <f t="shared" si="10"/>
        <v>0</v>
      </c>
      <c r="Q39" s="342">
        <f t="shared" si="10"/>
        <v>0</v>
      </c>
    </row>
    <row r="40" spans="1:17">
      <c r="A40" s="53" t="s">
        <v>1156</v>
      </c>
      <c r="B40" s="342"/>
      <c r="C40" s="342"/>
      <c r="D40" s="342"/>
      <c r="E40" s="342"/>
      <c r="F40" s="342"/>
      <c r="G40" s="342">
        <f>IF(G34&gt;0,G34*(G32),0)</f>
        <v>0</v>
      </c>
      <c r="H40" s="342">
        <f t="shared" ref="H40:Q40" si="11">IF(H34&gt;0,H34*(H32),0)</f>
        <v>0</v>
      </c>
      <c r="I40" s="342">
        <f t="shared" si="11"/>
        <v>0</v>
      </c>
      <c r="J40" s="342">
        <f t="shared" si="11"/>
        <v>392.99034017967631</v>
      </c>
      <c r="K40" s="342">
        <f t="shared" si="11"/>
        <v>1155.3896988479064</v>
      </c>
      <c r="L40" s="342">
        <f t="shared" si="11"/>
        <v>1577.6792227463495</v>
      </c>
      <c r="M40" s="342">
        <f t="shared" si="11"/>
        <v>1922.1699586530501</v>
      </c>
      <c r="N40" s="342">
        <f t="shared" si="11"/>
        <v>2294.2207825982164</v>
      </c>
      <c r="O40" s="342">
        <f t="shared" si="11"/>
        <v>2693.6094983827661</v>
      </c>
      <c r="P40" s="342">
        <f t="shared" si="11"/>
        <v>2925.996140654664</v>
      </c>
      <c r="Q40" s="342">
        <f t="shared" si="11"/>
        <v>3224.317395484913</v>
      </c>
    </row>
    <row r="41" spans="1:17">
      <c r="A41" s="53" t="s">
        <v>1091</v>
      </c>
      <c r="B41" s="342">
        <f>-Resultados!C32</f>
        <v>0</v>
      </c>
      <c r="C41" s="342">
        <f>-Resultados!D32</f>
        <v>0</v>
      </c>
      <c r="D41" s="342">
        <f>-Resultados!E32</f>
        <v>2299</v>
      </c>
      <c r="E41" s="342">
        <f>-Resultados!F32</f>
        <v>2390</v>
      </c>
      <c r="F41" s="342">
        <f>-Resultados!G32</f>
        <v>2185</v>
      </c>
      <c r="G41" s="342">
        <f>+G38*(G31+G32)</f>
        <v>2079.155665505381</v>
      </c>
      <c r="H41" s="342">
        <f t="shared" ref="H41:Q41" si="12">+H38*(H31+H32)</f>
        <v>2013.153597995642</v>
      </c>
      <c r="I41" s="342">
        <f t="shared" si="12"/>
        <v>1900.6759042612218</v>
      </c>
      <c r="J41" s="342">
        <f t="shared" si="12"/>
        <v>1753.6018202891955</v>
      </c>
      <c r="K41" s="342">
        <f t="shared" si="12"/>
        <v>1765.5552459740279</v>
      </c>
      <c r="L41" s="342">
        <f t="shared" si="12"/>
        <v>1828.9261894940842</v>
      </c>
      <c r="M41" s="342">
        <f t="shared" si="12"/>
        <v>1814.036939997761</v>
      </c>
      <c r="N41" s="342">
        <f t="shared" si="12"/>
        <v>1910.2530434444573</v>
      </c>
      <c r="O41" s="342">
        <f t="shared" si="12"/>
        <v>2026.9875369129088</v>
      </c>
      <c r="P41" s="342">
        <f t="shared" si="12"/>
        <v>2085.3554849218731</v>
      </c>
      <c r="Q41" s="342">
        <f t="shared" si="12"/>
        <v>2241.9597478802948</v>
      </c>
    </row>
    <row r="42" spans="1:17" ht="15.75">
      <c r="A42" s="533" t="s">
        <v>1095</v>
      </c>
      <c r="B42" s="534">
        <f t="shared" ref="B42:G42" si="13">IF(B41&gt;B39,B41,B39)+B40</f>
        <v>0</v>
      </c>
      <c r="C42" s="534">
        <f t="shared" si="13"/>
        <v>0</v>
      </c>
      <c r="D42" s="534">
        <f t="shared" si="13"/>
        <v>2299</v>
      </c>
      <c r="E42" s="534">
        <f t="shared" si="13"/>
        <v>2390</v>
      </c>
      <c r="F42" s="534">
        <f t="shared" si="13"/>
        <v>2185</v>
      </c>
      <c r="G42" s="534">
        <f t="shared" si="13"/>
        <v>2079.155665505381</v>
      </c>
      <c r="H42" s="534">
        <f t="shared" ref="H42:Q42" si="14">IF(H41&gt;H39,H41,H39)+H40</f>
        <v>2013.153597995642</v>
      </c>
      <c r="I42" s="534">
        <f t="shared" si="14"/>
        <v>1900.6759042612218</v>
      </c>
      <c r="J42" s="534">
        <f t="shared" si="14"/>
        <v>2146.592160468872</v>
      </c>
      <c r="K42" s="534">
        <f t="shared" si="14"/>
        <v>4765.9825077476144</v>
      </c>
      <c r="L42" s="534">
        <f t="shared" si="14"/>
        <v>3406.6054122404339</v>
      </c>
      <c r="M42" s="534">
        <f t="shared" si="14"/>
        <v>3736.2068986508111</v>
      </c>
      <c r="N42" s="534">
        <f t="shared" si="14"/>
        <v>4204.4738260426739</v>
      </c>
      <c r="O42" s="534">
        <f t="shared" si="14"/>
        <v>4720.5970352956747</v>
      </c>
      <c r="P42" s="534">
        <f t="shared" si="14"/>
        <v>5011.3516255765371</v>
      </c>
      <c r="Q42" s="534">
        <f t="shared" si="14"/>
        <v>5466.2771433652078</v>
      </c>
    </row>
  </sheetData>
  <phoneticPr fontId="65" type="noConversion"/>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transitionEvaluation="1" enableFormatConditionsCalculation="0"/>
  <dimension ref="A1:S40"/>
  <sheetViews>
    <sheetView showGridLines="0" zoomScale="70" workbookViewId="0">
      <pane xSplit="2" ySplit="4" topLeftCell="C5" activePane="bottomRight" state="frozen"/>
      <selection activeCell="E39" sqref="E39"/>
      <selection pane="topRight" activeCell="E39" sqref="E39"/>
      <selection pane="bottomLeft" activeCell="E39" sqref="E39"/>
      <selection pane="bottomRight" activeCell="C9" sqref="C9"/>
    </sheetView>
  </sheetViews>
  <sheetFormatPr baseColWidth="10" defaultColWidth="8.88671875" defaultRowHeight="15"/>
  <cols>
    <col min="1" max="1" width="3.6640625" customWidth="1"/>
    <col min="2" max="2" width="31.6640625" customWidth="1"/>
    <col min="3" max="3" width="9" bestFit="1" customWidth="1"/>
    <col min="4" max="8" width="9.6640625" customWidth="1"/>
    <col min="9" max="11" width="9.6640625" style="122" customWidth="1"/>
    <col min="12" max="16" width="9.6640625" customWidth="1"/>
  </cols>
  <sheetData>
    <row r="1" spans="1:19" ht="15.75">
      <c r="A1" s="1" t="str">
        <f>+Balance!A1</f>
        <v>ENKA de Colombia S.A.</v>
      </c>
      <c r="B1" s="2"/>
      <c r="C1" s="2"/>
      <c r="D1" s="2"/>
      <c r="E1" s="2"/>
      <c r="F1" s="2"/>
      <c r="G1" s="2"/>
      <c r="H1" s="2"/>
    </row>
    <row r="2" spans="1:19" ht="15.75">
      <c r="A2" s="1" t="s">
        <v>47</v>
      </c>
      <c r="B2" s="2"/>
      <c r="C2" s="2"/>
      <c r="D2" s="2"/>
      <c r="E2" s="2"/>
      <c r="F2" s="2"/>
      <c r="G2" s="2"/>
      <c r="H2" s="2"/>
    </row>
    <row r="4" spans="1:19" ht="16.5" thickBot="1">
      <c r="A4" s="2"/>
      <c r="B4" s="2"/>
      <c r="C4" s="3">
        <f>+Balance!C4</f>
        <v>2008</v>
      </c>
      <c r="D4" s="3">
        <f>+C4+1</f>
        <v>2009</v>
      </c>
      <c r="E4" s="3">
        <f>D4+1</f>
        <v>2010</v>
      </c>
      <c r="F4" s="3">
        <f>E4+1</f>
        <v>2011</v>
      </c>
      <c r="G4" s="3">
        <f>F4+1</f>
        <v>2012</v>
      </c>
      <c r="H4" s="3">
        <f>+G4+1</f>
        <v>2013</v>
      </c>
      <c r="I4" s="3">
        <f t="shared" ref="I4:S4" si="0">+H4+1</f>
        <v>2014</v>
      </c>
      <c r="J4" s="3">
        <f t="shared" si="0"/>
        <v>2015</v>
      </c>
      <c r="K4" s="3">
        <f t="shared" si="0"/>
        <v>2016</v>
      </c>
      <c r="L4" s="3">
        <f t="shared" si="0"/>
        <v>2017</v>
      </c>
      <c r="M4" s="3">
        <f t="shared" si="0"/>
        <v>2018</v>
      </c>
      <c r="N4" s="3">
        <f t="shared" si="0"/>
        <v>2019</v>
      </c>
      <c r="O4" s="3">
        <f t="shared" si="0"/>
        <v>2020</v>
      </c>
      <c r="P4" s="3">
        <f t="shared" si="0"/>
        <v>2021</v>
      </c>
      <c r="Q4" s="3">
        <f t="shared" si="0"/>
        <v>2022</v>
      </c>
      <c r="R4" s="3">
        <f t="shared" si="0"/>
        <v>2023</v>
      </c>
      <c r="S4" s="3">
        <f t="shared" si="0"/>
        <v>2024</v>
      </c>
    </row>
    <row r="5" spans="1:19" ht="15.75">
      <c r="A5" s="1" t="s">
        <v>48</v>
      </c>
      <c r="B5" s="2"/>
      <c r="C5" s="2"/>
      <c r="D5" s="2"/>
      <c r="E5" s="2"/>
      <c r="F5" s="2"/>
      <c r="G5" s="2"/>
      <c r="H5" s="2"/>
      <c r="I5" s="111"/>
      <c r="J5" s="111"/>
      <c r="K5" s="111"/>
      <c r="L5" s="2"/>
      <c r="M5" s="2"/>
      <c r="N5" s="2"/>
      <c r="O5" s="2"/>
      <c r="P5" s="2"/>
    </row>
    <row r="6" spans="1:19" ht="15.75">
      <c r="A6" s="1"/>
      <c r="B6" s="2" t="s">
        <v>3</v>
      </c>
      <c r="C6" s="2"/>
      <c r="D6" s="2"/>
      <c r="E6" s="2"/>
      <c r="F6" s="2"/>
      <c r="G6" s="2"/>
      <c r="H6" s="111"/>
      <c r="I6" s="111"/>
      <c r="J6" s="111"/>
      <c r="K6" s="111"/>
      <c r="L6" s="2"/>
      <c r="M6" s="2"/>
      <c r="N6" s="2"/>
      <c r="O6" s="2"/>
      <c r="P6" s="2"/>
      <c r="Q6" s="2"/>
      <c r="R6" s="2"/>
      <c r="S6" s="2"/>
    </row>
    <row r="7" spans="1:19" ht="15.75">
      <c r="A7" s="1"/>
      <c r="B7" s="2" t="s">
        <v>302</v>
      </c>
      <c r="C7" s="2"/>
      <c r="D7" s="2"/>
      <c r="E7" s="2"/>
      <c r="F7" s="2"/>
      <c r="G7" s="2"/>
      <c r="H7" s="111"/>
      <c r="I7" s="111"/>
      <c r="J7" s="111"/>
      <c r="K7" s="111"/>
      <c r="L7" s="2"/>
      <c r="M7" s="2"/>
      <c r="N7" s="2"/>
      <c r="O7" s="2"/>
      <c r="P7" s="2"/>
      <c r="Q7" s="2"/>
      <c r="R7" s="2"/>
      <c r="S7" s="2"/>
    </row>
    <row r="8" spans="1:19" ht="15.75">
      <c r="A8" s="1"/>
      <c r="B8" s="2" t="s">
        <v>4</v>
      </c>
      <c r="C8" s="2">
        <f>+Balance!C9</f>
        <v>89681</v>
      </c>
      <c r="D8" s="2">
        <f>Balance!D9</f>
        <v>54567</v>
      </c>
      <c r="E8" s="2">
        <f>Balance!E9</f>
        <v>76994</v>
      </c>
      <c r="F8" s="2">
        <f>Balance!F9</f>
        <v>83328</v>
      </c>
      <c r="G8" s="2">
        <f>Balance!G9</f>
        <v>71880</v>
      </c>
      <c r="H8" s="2">
        <f>Balance!H9</f>
        <v>62160</v>
      </c>
      <c r="I8" s="2">
        <f>Balance!I9</f>
        <v>72196.085350091089</v>
      </c>
      <c r="J8" s="2">
        <f>Balance!J9</f>
        <v>75982.958932947775</v>
      </c>
      <c r="K8" s="2">
        <f>Balance!K9</f>
        <v>79615.469515989491</v>
      </c>
      <c r="L8" s="2">
        <f>Balance!L9</f>
        <v>83167.530269384573</v>
      </c>
      <c r="M8" s="2">
        <f>Balance!M9</f>
        <v>86264.256100583501</v>
      </c>
      <c r="N8" s="2">
        <f>Balance!N9</f>
        <v>89638.463132981386</v>
      </c>
      <c r="O8" s="2">
        <f>Balance!O9</f>
        <v>94299.452714627201</v>
      </c>
      <c r="P8" s="2">
        <f>Balance!P9</f>
        <v>99223.768367105717</v>
      </c>
      <c r="Q8" s="2">
        <f>Balance!Q9</f>
        <v>104427.15348323778</v>
      </c>
      <c r="R8" s="2">
        <f>Balance!R9</f>
        <v>109926.3262921128</v>
      </c>
      <c r="S8" s="2">
        <f>Balance!S9</f>
        <v>115739.04147920925</v>
      </c>
    </row>
    <row r="9" spans="1:19" ht="15.75">
      <c r="A9" s="1"/>
      <c r="B9" s="2" t="s">
        <v>5</v>
      </c>
      <c r="C9" s="2">
        <f>+Balance!C10</f>
        <v>44618</v>
      </c>
      <c r="D9" s="2">
        <f>Balance!D10</f>
        <v>42500</v>
      </c>
      <c r="E9" s="2">
        <f>Balance!E10</f>
        <v>51512</v>
      </c>
      <c r="F9" s="2">
        <f>Balance!F10</f>
        <v>52493</v>
      </c>
      <c r="G9" s="2">
        <f>Balance!G10</f>
        <v>50230</v>
      </c>
      <c r="H9" s="2">
        <f>Balance!H10</f>
        <v>68902</v>
      </c>
      <c r="I9" s="2">
        <f>Balance!I10</f>
        <v>47088.461307804195</v>
      </c>
      <c r="J9" s="2">
        <f>Balance!J10</f>
        <v>48900.249506912951</v>
      </c>
      <c r="K9" s="2">
        <f>Balance!K10</f>
        <v>50561.16979384626</v>
      </c>
      <c r="L9" s="2">
        <f>Balance!L10</f>
        <v>51590.042489306834</v>
      </c>
      <c r="M9" s="2">
        <f>Balance!M10</f>
        <v>52168.834220335601</v>
      </c>
      <c r="N9" s="2">
        <f>Balance!N10</f>
        <v>53398.865760386601</v>
      </c>
      <c r="O9" s="2">
        <f>Balance!O10</f>
        <v>55843.713524177816</v>
      </c>
      <c r="P9" s="2">
        <f>Balance!P10</f>
        <v>58414.940517078197</v>
      </c>
      <c r="Q9" s="2">
        <f>Balance!Q10</f>
        <v>61119.511344576495</v>
      </c>
      <c r="R9" s="2">
        <f>Balance!R10</f>
        <v>64331.30168868156</v>
      </c>
      <c r="S9" s="2">
        <f>Balance!S10</f>
        <v>67736.058678530637</v>
      </c>
    </row>
    <row r="10" spans="1:19" ht="15.75">
      <c r="A10" s="1"/>
      <c r="B10" s="2" t="s">
        <v>957</v>
      </c>
      <c r="C10" s="2">
        <f>+Balance!C11</f>
        <v>3059</v>
      </c>
      <c r="D10" s="2">
        <f>+Balance!D11</f>
        <v>4231</v>
      </c>
      <c r="E10" s="2">
        <f>+Balance!E11</f>
        <v>7451</v>
      </c>
      <c r="F10" s="2">
        <f>+Balance!F11</f>
        <v>9619</v>
      </c>
      <c r="G10" s="2">
        <f>+Balance!G11</f>
        <v>7349</v>
      </c>
      <c r="H10" s="2">
        <f>+Balance!H11</f>
        <v>5850</v>
      </c>
      <c r="I10" s="2">
        <f>+Balance!I11</f>
        <v>7217.4987268521909</v>
      </c>
      <c r="J10" s="2">
        <f>+Balance!J11</f>
        <v>7687.5944011455822</v>
      </c>
      <c r="K10" s="2">
        <f>+Balance!K11</f>
        <v>8153.3476495106743</v>
      </c>
      <c r="L10" s="2">
        <f>+Balance!L11</f>
        <v>8622.2604708699</v>
      </c>
      <c r="M10" s="2">
        <f>+Balance!M11</f>
        <v>9055.0999176429505</v>
      </c>
      <c r="N10" s="2">
        <f>+Balance!N11</f>
        <v>9528.3930332077161</v>
      </c>
      <c r="O10" s="2">
        <f>+Balance!O11</f>
        <v>10023.847095061961</v>
      </c>
      <c r="P10" s="2">
        <f>+Balance!P11</f>
        <v>10547.29220240147</v>
      </c>
      <c r="Q10" s="2">
        <f>+Balance!Q11</f>
        <v>11100.40184704248</v>
      </c>
      <c r="R10" s="2">
        <f>+Balance!R11</f>
        <v>11684.953143986912</v>
      </c>
      <c r="S10" s="2">
        <f>+Balance!S11</f>
        <v>12302.833381520482</v>
      </c>
    </row>
    <row r="11" spans="1:19" ht="15.75">
      <c r="A11" s="1"/>
      <c r="B11" s="2" t="s">
        <v>958</v>
      </c>
      <c r="C11" s="2">
        <f>+Balance!C12</f>
        <v>4864</v>
      </c>
      <c r="D11" s="2">
        <f>+Balance!D12</f>
        <v>717</v>
      </c>
      <c r="E11" s="2">
        <f>+Balance!E12</f>
        <v>1248</v>
      </c>
      <c r="F11" s="2">
        <f>+Balance!F12</f>
        <v>1643</v>
      </c>
      <c r="G11" s="2">
        <f>+Balance!G12</f>
        <v>4615</v>
      </c>
      <c r="H11" s="2">
        <f>+Balance!H12</f>
        <v>2104</v>
      </c>
      <c r="I11" s="2">
        <f>+Balance!I12</f>
        <v>1508.8257696597391</v>
      </c>
      <c r="J11" s="2">
        <f>+Balance!J12</f>
        <v>1607.0997693406214</v>
      </c>
      <c r="K11" s="2">
        <f>+Balance!K12</f>
        <v>1704.4659802720466</v>
      </c>
      <c r="L11" s="2">
        <f>+Balance!L12</f>
        <v>1802.4927032915355</v>
      </c>
      <c r="M11" s="2">
        <f>+Balance!M12</f>
        <v>1892.9782490647144</v>
      </c>
      <c r="N11" s="2">
        <f>+Balance!N12</f>
        <v>1991.9206772372115</v>
      </c>
      <c r="O11" s="2">
        <f>+Balance!O12</f>
        <v>2095.4958747536384</v>
      </c>
      <c r="P11" s="2">
        <f>+Balance!P12</f>
        <v>2204.9226300390687</v>
      </c>
      <c r="Q11" s="2">
        <f>+Balance!Q12</f>
        <v>2320.5507883339678</v>
      </c>
      <c r="R11" s="2">
        <f>+Balance!R12</f>
        <v>2442.7518574157557</v>
      </c>
      <c r="S11" s="2">
        <f>+Balance!S12</f>
        <v>2571.9203769037708</v>
      </c>
    </row>
    <row r="12" spans="1:19" ht="15.75">
      <c r="A12" s="1"/>
      <c r="B12" s="2" t="s">
        <v>303</v>
      </c>
      <c r="C12" s="2">
        <f>+Balance!C13</f>
        <v>630</v>
      </c>
      <c r="D12" s="2">
        <f>+Balance!D13</f>
        <v>734</v>
      </c>
      <c r="E12" s="2">
        <f>+Balance!E13</f>
        <v>793</v>
      </c>
      <c r="F12" s="2">
        <f>+Balance!F13</f>
        <v>750</v>
      </c>
      <c r="G12" s="2">
        <f>+Balance!G13</f>
        <v>702</v>
      </c>
      <c r="H12" s="2">
        <f>+Balance!H13</f>
        <v>663</v>
      </c>
      <c r="I12" s="2">
        <f>+Balance!I13</f>
        <v>779.5260954255283</v>
      </c>
      <c r="J12" s="2">
        <f>+Balance!J13</f>
        <v>830.29878819996554</v>
      </c>
      <c r="K12" s="2">
        <f>+Balance!K13</f>
        <v>880.60247717451739</v>
      </c>
      <c r="L12" s="2">
        <f>+Balance!L13</f>
        <v>931.24741589396558</v>
      </c>
      <c r="M12" s="2">
        <f>+Balance!M13</f>
        <v>977.9962490643594</v>
      </c>
      <c r="N12" s="2">
        <f>+Balance!N13</f>
        <v>1029.1142815477394</v>
      </c>
      <c r="O12" s="2">
        <f>+Balance!O13</f>
        <v>1082.6258074816556</v>
      </c>
      <c r="P12" s="2">
        <f>+Balance!P13</f>
        <v>1139.1605068472245</v>
      </c>
      <c r="Q12" s="2">
        <f>+Balance!Q13</f>
        <v>1198.8991251617792</v>
      </c>
      <c r="R12" s="2">
        <f>+Balance!R13</f>
        <v>1262.033599766911</v>
      </c>
      <c r="S12" s="2">
        <f>+Balance!S13</f>
        <v>1328.7677672719476</v>
      </c>
    </row>
    <row r="13" spans="1:19" ht="16.5" thickBot="1">
      <c r="A13" s="1"/>
      <c r="B13" s="2" t="s">
        <v>304</v>
      </c>
      <c r="C13" s="2">
        <f>+Balance!C14</f>
        <v>1225</v>
      </c>
      <c r="D13" s="2">
        <f>+Balance!D14</f>
        <v>1241</v>
      </c>
      <c r="E13" s="2">
        <f>+Balance!E14</f>
        <v>1902</v>
      </c>
      <c r="F13" s="2">
        <f>+Balance!F14</f>
        <v>1516</v>
      </c>
      <c r="G13" s="2">
        <f>+Balance!G14</f>
        <v>3663</v>
      </c>
      <c r="H13" s="2">
        <f>+Balance!H14</f>
        <v>1221</v>
      </c>
      <c r="I13" s="2">
        <f>+Balance!I14</f>
        <v>1557.1809485531867</v>
      </c>
      <c r="J13" s="2">
        <f>+Balance!J14</f>
        <v>1658.6044549105195</v>
      </c>
      <c r="K13" s="2">
        <f>+Balance!K14</f>
        <v>1759.0910795056298</v>
      </c>
      <c r="L13" s="2">
        <f>+Balance!L14</f>
        <v>1860.2593844249388</v>
      </c>
      <c r="M13" s="2">
        <f>+Balance!M14</f>
        <v>1953.6448307970586</v>
      </c>
      <c r="N13" s="2">
        <f>+Balance!N14</f>
        <v>2055.7581875887772</v>
      </c>
      <c r="O13" s="2">
        <f>+Balance!O14</f>
        <v>2162.6527857315341</v>
      </c>
      <c r="P13" s="2">
        <f>+Balance!P14</f>
        <v>2275.5864736489207</v>
      </c>
      <c r="Q13" s="2">
        <f>+Balance!Q14</f>
        <v>2394.9203084983305</v>
      </c>
      <c r="R13" s="2">
        <f>+Balance!R14</f>
        <v>2521.0377042198425</v>
      </c>
      <c r="S13" s="2">
        <f>+Balance!S14</f>
        <v>2654.34584472497</v>
      </c>
    </row>
    <row r="14" spans="1:19" ht="15.75">
      <c r="A14" s="1" t="s">
        <v>49</v>
      </c>
      <c r="B14" s="2"/>
      <c r="C14" s="4">
        <f t="shared" ref="C14:S14" si="1">SUM(C6:C13)</f>
        <v>144077</v>
      </c>
      <c r="D14" s="4">
        <f t="shared" si="1"/>
        <v>103990</v>
      </c>
      <c r="E14" s="4">
        <f t="shared" si="1"/>
        <v>139900</v>
      </c>
      <c r="F14" s="4">
        <f t="shared" si="1"/>
        <v>149349</v>
      </c>
      <c r="G14" s="4">
        <f t="shared" si="1"/>
        <v>138439</v>
      </c>
      <c r="H14" s="4">
        <f t="shared" si="1"/>
        <v>140900</v>
      </c>
      <c r="I14" s="4">
        <f t="shared" si="1"/>
        <v>130347.57819838595</v>
      </c>
      <c r="J14" s="4">
        <f t="shared" si="1"/>
        <v>136666.80585345742</v>
      </c>
      <c r="K14" s="4">
        <f t="shared" si="1"/>
        <v>142674.14649629861</v>
      </c>
      <c r="L14" s="4">
        <f t="shared" si="1"/>
        <v>147973.83273317176</v>
      </c>
      <c r="M14" s="4">
        <f t="shared" si="1"/>
        <v>152312.80956748821</v>
      </c>
      <c r="N14" s="4">
        <f t="shared" si="1"/>
        <v>157642.51507294943</v>
      </c>
      <c r="O14" s="4">
        <f t="shared" si="1"/>
        <v>165507.78780183379</v>
      </c>
      <c r="P14" s="4">
        <f t="shared" si="1"/>
        <v>173805.6706971206</v>
      </c>
      <c r="Q14" s="4">
        <f t="shared" si="1"/>
        <v>182561.43689685082</v>
      </c>
      <c r="R14" s="4">
        <f t="shared" si="1"/>
        <v>192168.40428618374</v>
      </c>
      <c r="S14" s="4">
        <f t="shared" si="1"/>
        <v>202332.96752816107</v>
      </c>
    </row>
    <row r="15" spans="1:19" ht="15.75">
      <c r="A15" s="1"/>
      <c r="B15" s="2"/>
      <c r="C15" s="2"/>
      <c r="D15" s="2"/>
      <c r="E15" s="2"/>
      <c r="F15" s="2"/>
      <c r="G15" s="2"/>
      <c r="H15" s="2"/>
      <c r="I15" s="111"/>
      <c r="J15" s="111"/>
      <c r="K15" s="111"/>
      <c r="L15" s="2"/>
      <c r="M15" s="2"/>
      <c r="N15" s="2"/>
      <c r="O15" s="2"/>
      <c r="P15" s="2"/>
      <c r="Q15" s="2"/>
      <c r="R15" s="2"/>
      <c r="S15" s="2"/>
    </row>
    <row r="16" spans="1:19" ht="15.75">
      <c r="A16" s="1" t="s">
        <v>50</v>
      </c>
      <c r="B16" s="2"/>
      <c r="C16" s="2"/>
      <c r="D16" s="2"/>
      <c r="E16" s="2"/>
      <c r="F16" s="2"/>
      <c r="G16" s="2"/>
      <c r="H16" s="2"/>
      <c r="I16" s="111"/>
      <c r="J16" s="111"/>
      <c r="K16" s="111"/>
      <c r="L16" s="2"/>
      <c r="M16" s="2"/>
      <c r="N16" s="2"/>
      <c r="O16" s="2"/>
      <c r="P16" s="2"/>
      <c r="Q16" s="2"/>
      <c r="R16" s="2"/>
      <c r="S16" s="2"/>
    </row>
    <row r="17" spans="1:19" ht="15.75">
      <c r="A17" s="1"/>
      <c r="B17" s="2" t="s">
        <v>16</v>
      </c>
      <c r="C17" s="2">
        <f>+Balance!C34+Balance!C45</f>
        <v>25062</v>
      </c>
      <c r="D17" s="2">
        <f>+Balance!D34+Balance!D45</f>
        <v>23312</v>
      </c>
      <c r="E17" s="2">
        <f>+Balance!E34+Balance!E45</f>
        <v>30459</v>
      </c>
      <c r="F17" s="2">
        <f>+Balance!F34+Balance!F45</f>
        <v>24415</v>
      </c>
      <c r="G17" s="2">
        <f>+Balance!G34+Balance!G45</f>
        <v>25586</v>
      </c>
      <c r="H17" s="2">
        <f>+Balance!H34+Balance!H45</f>
        <v>38484</v>
      </c>
      <c r="I17" s="2">
        <f>+Balance!I34+Balance!I45</f>
        <v>32807.942492897477</v>
      </c>
      <c r="J17" s="2">
        <f>+Balance!J34+Balance!J45</f>
        <v>34610.986754409991</v>
      </c>
      <c r="K17" s="2">
        <f>+Balance!K34+Balance!K45</f>
        <v>36463.446529230845</v>
      </c>
      <c r="L17" s="2">
        <f>+Balance!L34+Balance!L45</f>
        <v>38024.779590767263</v>
      </c>
      <c r="M17" s="2">
        <f>+Balance!M34+Balance!M45</f>
        <v>39376.970342062254</v>
      </c>
      <c r="N17" s="2">
        <f>+Balance!N34+Balance!N45</f>
        <v>41319.583262515756</v>
      </c>
      <c r="O17" s="2">
        <f>+Balance!O34+Balance!O45</f>
        <v>42515.856564653528</v>
      </c>
      <c r="P17" s="2">
        <f>+Balance!P34+Balance!P45</f>
        <v>44352.08446667048</v>
      </c>
      <c r="Q17" s="2">
        <f>+Balance!Q34+Balance!Q45</f>
        <v>46405.554909771046</v>
      </c>
      <c r="R17" s="2">
        <f>+Balance!R34+Balance!R45</f>
        <v>48844.136467332297</v>
      </c>
      <c r="S17" s="2">
        <f>+Balance!S34+Balance!S45</f>
        <v>51429.229737402893</v>
      </c>
    </row>
    <row r="18" spans="1:19" ht="15.75">
      <c r="A18" s="1"/>
      <c r="B18" s="2" t="s">
        <v>17</v>
      </c>
      <c r="C18" s="2">
        <f>+Balance!C35+Balance!C46</f>
        <v>14998</v>
      </c>
      <c r="D18" s="2">
        <f>+Balance!D35+Balance!D46</f>
        <v>11802</v>
      </c>
      <c r="E18" s="2">
        <f>+Balance!E35+Balance!E46</f>
        <v>9901</v>
      </c>
      <c r="F18" s="2">
        <f>+Balance!F35+Balance!F46</f>
        <v>9327</v>
      </c>
      <c r="G18" s="2">
        <f>+Balance!G35+Balance!G46</f>
        <v>9358</v>
      </c>
      <c r="H18" s="2">
        <f>+Balance!H35+Balance!H46</f>
        <v>10593</v>
      </c>
      <c r="I18" s="2">
        <f>+Balance!I35+Balance!I46</f>
        <v>9372.2350853181997</v>
      </c>
      <c r="J18" s="2">
        <f>+Balance!J35+Balance!J46</f>
        <v>9089.6584592896652</v>
      </c>
      <c r="K18" s="2">
        <f>+Balance!K35+Balance!K46</f>
        <v>9075.5348999184898</v>
      </c>
      <c r="L18" s="2">
        <f>+Balance!L35+Balance!L46</f>
        <v>9177.8943886945544</v>
      </c>
      <c r="M18" s="2">
        <f>+Balance!M35+Balance!M46</f>
        <v>9208.0349083650199</v>
      </c>
      <c r="N18" s="2">
        <f>+Balance!N35+Balance!N46</f>
        <v>8906.9384238990751</v>
      </c>
      <c r="O18" s="2">
        <f>+Balance!O35+Balance!O46</f>
        <v>8821.5140807071457</v>
      </c>
      <c r="P18" s="2">
        <f>+Balance!P35+Balance!P46</f>
        <v>9145.0109349450086</v>
      </c>
      <c r="Q18" s="2">
        <f>+Balance!Q35+Balance!Q46</f>
        <v>9470.0039943665724</v>
      </c>
      <c r="R18" s="2">
        <f>+Balance!R35+Balance!R46</f>
        <v>9766.5628793506603</v>
      </c>
      <c r="S18" s="2">
        <f>+Balance!S35+Balance!S46</f>
        <v>10042.960886640072</v>
      </c>
    </row>
    <row r="19" spans="1:19" ht="15.75">
      <c r="A19" s="1"/>
      <c r="B19" s="2" t="s">
        <v>18</v>
      </c>
      <c r="C19" s="2">
        <f>+Balance!C36+Balance!C49</f>
        <v>9030</v>
      </c>
      <c r="D19" s="2">
        <f>+Balance!D36+Balance!D48+Balance!D49</f>
        <v>10110</v>
      </c>
      <c r="E19" s="2">
        <f>+Balance!E36+Balance!E48+Balance!E49</f>
        <v>5706</v>
      </c>
      <c r="F19" s="2">
        <f>+Balance!F36+Balance!F48+Balance!F49</f>
        <v>5884</v>
      </c>
      <c r="G19" s="2">
        <f>+Balance!G36+Balance!G48+Balance!G49</f>
        <v>12988</v>
      </c>
      <c r="H19" s="2">
        <f>+Balance!H36+Balance!H48+Balance!H49</f>
        <v>9690</v>
      </c>
      <c r="I19" s="2">
        <f>+Balance!I36+Balance!I48+Balance!I49</f>
        <v>7876.5084023853142</v>
      </c>
      <c r="J19" s="2">
        <f>+Balance!J36+Balance!J48+Balance!J49</f>
        <v>8024.9650054237518</v>
      </c>
      <c r="K19" s="2">
        <f>+Balance!K36+Balance!K48+Balance!K49</f>
        <v>8810.5373717803577</v>
      </c>
      <c r="L19" s="2">
        <f>+Balance!L36+Balance!L48+Balance!L49</f>
        <v>9755.1474011586288</v>
      </c>
      <c r="M19" s="2">
        <f>+Balance!M36+Balance!M48+Balance!M49</f>
        <v>9856.4702927383041</v>
      </c>
      <c r="N19" s="2">
        <f>+Balance!N36+Balance!N48+Balance!N49</f>
        <v>9931.064260423871</v>
      </c>
      <c r="O19" s="2">
        <f>+Balance!O36+Balance!O48+Balance!O49</f>
        <v>10418.129399102716</v>
      </c>
      <c r="P19" s="2">
        <f>+Balance!P36+Balance!P48+Balance!P49</f>
        <v>11012.280730336524</v>
      </c>
      <c r="Q19" s="2">
        <f>+Balance!Q36+Balance!Q48+Balance!Q49</f>
        <v>11571.891018969467</v>
      </c>
      <c r="R19" s="2">
        <f>+Balance!R36+Balance!R48+Balance!R49</f>
        <v>12083.40854941681</v>
      </c>
      <c r="S19" s="2">
        <f>+Balance!S36+Balance!S48+Balance!S49</f>
        <v>12655.455988259911</v>
      </c>
    </row>
    <row r="20" spans="1:19" ht="15.75">
      <c r="A20" s="1"/>
      <c r="B20" s="111" t="s">
        <v>307</v>
      </c>
      <c r="C20" s="111">
        <f>+Balance!C38+Balance!C47</f>
        <v>21423</v>
      </c>
      <c r="D20" s="2">
        <f>+Balance!D38+Balance!D47</f>
        <v>20197</v>
      </c>
      <c r="E20" s="2">
        <f>+Balance!E38+Balance!E47</f>
        <v>18269</v>
      </c>
      <c r="F20" s="2">
        <f>+Balance!F38+Balance!F47</f>
        <v>24014</v>
      </c>
      <c r="G20" s="2">
        <f>+Balance!G38+Balance!G47</f>
        <v>11148</v>
      </c>
      <c r="H20" s="2">
        <f>+Balance!H38+Balance!H47</f>
        <v>8962</v>
      </c>
      <c r="I20" s="2">
        <f>+Balance!I38+Balance!I47</f>
        <v>10983.735738095893</v>
      </c>
      <c r="J20" s="2">
        <f>+Balance!J38+Balance!J47</f>
        <v>11167.862652538266</v>
      </c>
      <c r="K20" s="2">
        <f>+Balance!K38+Balance!K47</f>
        <v>10482.326459783673</v>
      </c>
      <c r="L20" s="2">
        <f>+Balance!L38+Balance!L47</f>
        <v>11253.572623527811</v>
      </c>
      <c r="M20" s="2">
        <f>+Balance!M38+Balance!M47</f>
        <v>11602.456274452508</v>
      </c>
      <c r="N20" s="2">
        <f>+Balance!N38+Balance!N47</f>
        <v>12208.89493645338</v>
      </c>
      <c r="O20" s="2">
        <f>+Balance!O38+Balance!O47</f>
        <v>12843.728802556107</v>
      </c>
      <c r="P20" s="2">
        <f>+Balance!P38+Balance!P47</f>
        <v>13514.428079783258</v>
      </c>
      <c r="Q20" s="2">
        <f>+Balance!Q38+Balance!Q47</f>
        <v>14223.137042168262</v>
      </c>
      <c r="R20" s="2">
        <f>+Balance!R38+Balance!R47</f>
        <v>14972.132737926162</v>
      </c>
      <c r="S20" s="2">
        <f>+Balance!S38+Balance!S47</f>
        <v>15763.833382207693</v>
      </c>
    </row>
    <row r="21" spans="1:19" ht="16.5" thickBot="1">
      <c r="A21" s="1"/>
      <c r="B21" s="111"/>
      <c r="C21" s="111"/>
      <c r="D21" s="2"/>
      <c r="E21" s="2"/>
      <c r="F21" s="2"/>
      <c r="G21" s="2"/>
      <c r="H21" s="111"/>
      <c r="I21" s="111"/>
      <c r="J21" s="111"/>
      <c r="K21" s="111"/>
      <c r="L21" s="2"/>
      <c r="M21" s="2"/>
      <c r="N21" s="2"/>
      <c r="O21" s="2"/>
      <c r="P21" s="2"/>
      <c r="Q21" s="2"/>
      <c r="R21" s="2"/>
      <c r="S21" s="2"/>
    </row>
    <row r="22" spans="1:19" ht="15.75">
      <c r="A22" s="1" t="s">
        <v>51</v>
      </c>
      <c r="B22" s="2"/>
      <c r="C22" s="4">
        <f t="shared" ref="C22:S22" si="2">SUM(C17:C21)</f>
        <v>70513</v>
      </c>
      <c r="D22" s="4">
        <f t="shared" si="2"/>
        <v>65421</v>
      </c>
      <c r="E22" s="4">
        <f t="shared" si="2"/>
        <v>64335</v>
      </c>
      <c r="F22" s="4">
        <f t="shared" si="2"/>
        <v>63640</v>
      </c>
      <c r="G22" s="4">
        <f t="shared" si="2"/>
        <v>59080</v>
      </c>
      <c r="H22" s="4">
        <f t="shared" si="2"/>
        <v>67729</v>
      </c>
      <c r="I22" s="4">
        <f t="shared" si="2"/>
        <v>61040.421718696882</v>
      </c>
      <c r="J22" s="4">
        <f t="shared" si="2"/>
        <v>62893.472871661666</v>
      </c>
      <c r="K22" s="4">
        <f t="shared" si="2"/>
        <v>64831.845260713373</v>
      </c>
      <c r="L22" s="4">
        <f t="shared" si="2"/>
        <v>68211.394004148256</v>
      </c>
      <c r="M22" s="4">
        <f t="shared" si="2"/>
        <v>70043.931817618082</v>
      </c>
      <c r="N22" s="4">
        <f t="shared" si="2"/>
        <v>72366.480883292083</v>
      </c>
      <c r="O22" s="4">
        <f t="shared" si="2"/>
        <v>74599.228847019491</v>
      </c>
      <c r="P22" s="4">
        <f t="shared" si="2"/>
        <v>78023.804211735274</v>
      </c>
      <c r="Q22" s="4">
        <f t="shared" si="2"/>
        <v>81670.586965275361</v>
      </c>
      <c r="R22" s="4">
        <f t="shared" si="2"/>
        <v>85666.240634025933</v>
      </c>
      <c r="S22" s="4">
        <f t="shared" si="2"/>
        <v>89891.479994510577</v>
      </c>
    </row>
    <row r="23" spans="1:19" ht="15.75">
      <c r="A23" s="1"/>
      <c r="B23" s="1" t="s">
        <v>52</v>
      </c>
      <c r="C23" s="1"/>
      <c r="D23" s="2"/>
      <c r="E23" s="2"/>
      <c r="F23" s="2"/>
      <c r="G23" s="2"/>
      <c r="H23" s="2"/>
      <c r="I23" s="111"/>
      <c r="J23" s="111"/>
      <c r="K23" s="111"/>
      <c r="L23" s="2"/>
      <c r="M23" s="2"/>
      <c r="N23" s="2"/>
      <c r="O23" s="2"/>
      <c r="P23" s="2"/>
      <c r="Q23" s="2"/>
      <c r="R23" s="2"/>
      <c r="S23" s="2"/>
    </row>
    <row r="24" spans="1:19" ht="16.5" thickBot="1">
      <c r="A24" s="1"/>
      <c r="B24" s="1"/>
      <c r="C24" s="1"/>
      <c r="D24" s="2"/>
      <c r="E24" s="2"/>
      <c r="F24" s="2"/>
      <c r="G24" s="2"/>
      <c r="H24" s="2"/>
      <c r="I24" s="111"/>
      <c r="J24" s="2"/>
      <c r="K24" s="2"/>
      <c r="L24" s="2"/>
      <c r="M24" s="2"/>
      <c r="N24" s="2"/>
      <c r="O24" s="2"/>
      <c r="P24" s="2"/>
      <c r="Q24" s="2"/>
      <c r="R24" s="2"/>
      <c r="S24" s="2"/>
    </row>
    <row r="25" spans="1:19" ht="16.5" thickTop="1">
      <c r="A25" s="13" t="s">
        <v>53</v>
      </c>
      <c r="B25" s="14"/>
      <c r="C25" s="13">
        <f t="shared" ref="C25:S25" si="3">C14-C22</f>
        <v>73564</v>
      </c>
      <c r="D25" s="13">
        <f t="shared" si="3"/>
        <v>38569</v>
      </c>
      <c r="E25" s="13">
        <f t="shared" si="3"/>
        <v>75565</v>
      </c>
      <c r="F25" s="13">
        <f t="shared" si="3"/>
        <v>85709</v>
      </c>
      <c r="G25" s="13">
        <f t="shared" si="3"/>
        <v>79359</v>
      </c>
      <c r="H25" s="13">
        <f t="shared" si="3"/>
        <v>73171</v>
      </c>
      <c r="I25" s="13">
        <f t="shared" si="3"/>
        <v>69307.15647968906</v>
      </c>
      <c r="J25" s="13">
        <f t="shared" si="3"/>
        <v>73773.332981795756</v>
      </c>
      <c r="K25" s="13">
        <f t="shared" si="3"/>
        <v>77842.301235585241</v>
      </c>
      <c r="L25" s="13">
        <f t="shared" si="3"/>
        <v>79762.438729023503</v>
      </c>
      <c r="M25" s="13">
        <f t="shared" si="3"/>
        <v>82268.877749870124</v>
      </c>
      <c r="N25" s="13">
        <f t="shared" si="3"/>
        <v>85276.034189657352</v>
      </c>
      <c r="O25" s="13">
        <f t="shared" si="3"/>
        <v>90908.558954814303</v>
      </c>
      <c r="P25" s="13">
        <f t="shared" si="3"/>
        <v>95781.866485385326</v>
      </c>
      <c r="Q25" s="13">
        <f t="shared" si="3"/>
        <v>100890.84993157546</v>
      </c>
      <c r="R25" s="13">
        <f t="shared" si="3"/>
        <v>106502.1636521578</v>
      </c>
      <c r="S25" s="13">
        <f t="shared" si="3"/>
        <v>112441.48753365049</v>
      </c>
    </row>
    <row r="26" spans="1:19" ht="16.5" thickBot="1">
      <c r="A26" s="15"/>
      <c r="B26" s="15" t="s">
        <v>52</v>
      </c>
      <c r="C26" s="15"/>
      <c r="D26" s="15"/>
      <c r="E26" s="15"/>
      <c r="F26" s="15"/>
      <c r="G26" s="15"/>
      <c r="H26" s="15"/>
      <c r="I26" s="15"/>
      <c r="J26" s="15"/>
      <c r="K26" s="15"/>
      <c r="L26" s="15"/>
      <c r="M26" s="15"/>
      <c r="N26" s="15"/>
      <c r="O26" s="15"/>
      <c r="P26" s="15"/>
      <c r="Q26" s="15"/>
      <c r="R26" s="15"/>
      <c r="S26" s="15"/>
    </row>
    <row r="27" spans="1:19" ht="16.5" thickTop="1">
      <c r="A27" s="1"/>
      <c r="B27" s="2" t="s">
        <v>54</v>
      </c>
      <c r="C27" s="7"/>
      <c r="D27" s="7">
        <f>D25/Resultados!C6</f>
        <v>0.15140476012891524</v>
      </c>
      <c r="E27" s="7">
        <f>E25/Resultados!D6</f>
        <v>0.25218848139582228</v>
      </c>
      <c r="F27" s="7">
        <f>F25/Resultados!E6</f>
        <v>0.25024087169275866</v>
      </c>
      <c r="G27" s="7">
        <f>G25/Resultados!F6</f>
        <v>0.27625615283395877</v>
      </c>
      <c r="H27" s="151">
        <f>H25/Resultados!G6</f>
        <v>0.26879461022191692</v>
      </c>
      <c r="I27" s="151">
        <f>I25/Resultados!H6</f>
        <v>0.22399649187129195</v>
      </c>
      <c r="J27" s="151">
        <f>J25/Resultados!I6</f>
        <v>0.22385087405996665</v>
      </c>
      <c r="K27" s="151">
        <f>K25/Resultados!J6</f>
        <v>0.22270478966388607</v>
      </c>
      <c r="L27" s="7">
        <f>L25/Resultados!K6</f>
        <v>0.21578792415622239</v>
      </c>
      <c r="M27" s="7">
        <f>M25/Resultados!L6</f>
        <v>0.21192987292428309</v>
      </c>
      <c r="N27" s="7">
        <f>N25/Resultados!M6</f>
        <v>0.20876475670285624</v>
      </c>
      <c r="O27" s="7">
        <f>O25/Resultados!N6</f>
        <v>0.21155348881457312</v>
      </c>
      <c r="P27" s="7">
        <f>P25/Resultados!O6</f>
        <v>0.2118322940625727</v>
      </c>
      <c r="Q27" s="7">
        <f>Q25/Resultados!P6</f>
        <v>0.21201321470776471</v>
      </c>
      <c r="R27" s="7">
        <f>R25/Resultados!Q6</f>
        <v>0.21260883469054823</v>
      </c>
      <c r="S27" s="7">
        <f>S25/Resultados!R6</f>
        <v>0.21319219037044887</v>
      </c>
    </row>
    <row r="28" spans="1:19" ht="15.75">
      <c r="A28" s="1"/>
      <c r="B28" s="2"/>
      <c r="C28" s="2"/>
      <c r="D28" s="2"/>
      <c r="E28" s="2"/>
      <c r="F28" s="2"/>
      <c r="G28" s="2"/>
      <c r="H28" s="2"/>
      <c r="I28" s="111"/>
      <c r="J28" s="111"/>
      <c r="K28" s="111"/>
      <c r="L28" s="2"/>
      <c r="M28" s="2"/>
      <c r="N28" s="2"/>
      <c r="O28" s="2"/>
      <c r="P28" s="2"/>
      <c r="Q28" s="2"/>
      <c r="R28" s="2"/>
      <c r="S28" s="2"/>
    </row>
    <row r="29" spans="1:19" ht="15.75">
      <c r="A29" s="1"/>
      <c r="B29" s="2" t="s">
        <v>19</v>
      </c>
      <c r="C29" s="2">
        <v>0</v>
      </c>
      <c r="D29" s="2">
        <f>+Balance!D95</f>
        <v>0</v>
      </c>
      <c r="E29" s="2">
        <f>Balance!E37</f>
        <v>0</v>
      </c>
      <c r="F29" s="2">
        <f>Balance!F37</f>
        <v>2299</v>
      </c>
      <c r="G29" s="2">
        <f>Balance!G37</f>
        <v>2390</v>
      </c>
      <c r="H29" s="111">
        <f>Balance!H37</f>
        <v>2239</v>
      </c>
      <c r="I29" s="111">
        <f>Balance!I37</f>
        <v>2079.155665505381</v>
      </c>
      <c r="J29" s="111">
        <f>Balance!J37</f>
        <v>2013.153597995642</v>
      </c>
      <c r="K29" s="111">
        <f>Balance!K37</f>
        <v>1900.6759042612218</v>
      </c>
      <c r="L29" s="2">
        <f>Balance!L37</f>
        <v>2146.592160468872</v>
      </c>
      <c r="M29" s="2">
        <f>Balance!M37</f>
        <v>4765.9825077476144</v>
      </c>
      <c r="N29" s="2">
        <f>Balance!N37</f>
        <v>3406.6054122404339</v>
      </c>
      <c r="O29" s="2">
        <f>Balance!O37</f>
        <v>3736.2068986508111</v>
      </c>
      <c r="P29" s="2">
        <f>Balance!P37</f>
        <v>4204.4738260426739</v>
      </c>
      <c r="Q29" s="2">
        <f>Balance!Q37</f>
        <v>4720.5970352956747</v>
      </c>
      <c r="R29" s="2">
        <f>Balance!R37</f>
        <v>5011.3516255765371</v>
      </c>
      <c r="S29" s="2">
        <f>Balance!S37</f>
        <v>5466.2771433652078</v>
      </c>
    </row>
    <row r="30" spans="1:19" ht="16.5" thickBot="1">
      <c r="A30" s="1"/>
      <c r="B30" s="2"/>
      <c r="C30" s="2"/>
      <c r="D30" s="2"/>
      <c r="E30" s="2"/>
      <c r="F30" s="2"/>
      <c r="G30" s="2"/>
      <c r="H30" s="2"/>
      <c r="I30" s="111"/>
      <c r="J30" s="111"/>
      <c r="K30" s="111"/>
      <c r="L30" s="2"/>
      <c r="M30" s="2"/>
      <c r="N30" s="2"/>
      <c r="O30" s="2"/>
      <c r="P30" s="2"/>
      <c r="Q30" s="2"/>
      <c r="R30" s="2"/>
      <c r="S30" s="2"/>
    </row>
    <row r="31" spans="1:19" ht="17.25" thickTop="1" thickBot="1">
      <c r="A31" s="5" t="s">
        <v>53</v>
      </c>
      <c r="B31" s="12"/>
      <c r="C31" s="5">
        <f t="shared" ref="C31:S31" si="4">C25-C29</f>
        <v>73564</v>
      </c>
      <c r="D31" s="5">
        <f t="shared" si="4"/>
        <v>38569</v>
      </c>
      <c r="E31" s="5">
        <f t="shared" si="4"/>
        <v>75565</v>
      </c>
      <c r="F31" s="5">
        <f t="shared" si="4"/>
        <v>83410</v>
      </c>
      <c r="G31" s="5">
        <f t="shared" si="4"/>
        <v>76969</v>
      </c>
      <c r="H31" s="5">
        <f t="shared" si="4"/>
        <v>70932</v>
      </c>
      <c r="I31" s="5">
        <f t="shared" si="4"/>
        <v>67228.000814183673</v>
      </c>
      <c r="J31" s="5">
        <f t="shared" si="4"/>
        <v>71760.179383800118</v>
      </c>
      <c r="K31" s="5">
        <f t="shared" si="4"/>
        <v>75941.625331324016</v>
      </c>
      <c r="L31" s="5">
        <f t="shared" si="4"/>
        <v>77615.846568554625</v>
      </c>
      <c r="M31" s="5">
        <f t="shared" si="4"/>
        <v>77502.895242122511</v>
      </c>
      <c r="N31" s="5">
        <f t="shared" si="4"/>
        <v>81869.428777416921</v>
      </c>
      <c r="O31" s="5">
        <f t="shared" si="4"/>
        <v>87172.352056163494</v>
      </c>
      <c r="P31" s="5">
        <f t="shared" si="4"/>
        <v>91577.392659342659</v>
      </c>
      <c r="Q31" s="5">
        <f t="shared" si="4"/>
        <v>96170.252896279781</v>
      </c>
      <c r="R31" s="5">
        <f t="shared" si="4"/>
        <v>101490.81202658126</v>
      </c>
      <c r="S31" s="5">
        <f t="shared" si="4"/>
        <v>106975.21039028528</v>
      </c>
    </row>
    <row r="32" spans="1:19" ht="15.75" thickTop="1">
      <c r="A32" s="2"/>
      <c r="B32" s="2" t="s">
        <v>54</v>
      </c>
      <c r="C32" s="2"/>
      <c r="D32" s="7">
        <f>D31/Resultados!C6</f>
        <v>0.15140476012891524</v>
      </c>
      <c r="E32" s="7">
        <f>E31/Resultados!D6</f>
        <v>0.25218848139582228</v>
      </c>
      <c r="F32" s="7">
        <f>F31/Resultados!E6</f>
        <v>0.24352858052121715</v>
      </c>
      <c r="G32" s="7">
        <f>G31/Resultados!F6</f>
        <v>0.26793633774968145</v>
      </c>
      <c r="H32" s="151">
        <f>H31/Resultados!G6</f>
        <v>0.26056961490564584</v>
      </c>
      <c r="I32" s="151">
        <f>I31/Resultados!H6</f>
        <v>0.21727678789290103</v>
      </c>
      <c r="J32" s="151">
        <f>J31/Resultados!I6</f>
        <v>0.21774234982344487</v>
      </c>
      <c r="K32" s="151">
        <f>K31/Resultados!J6</f>
        <v>0.21726700557016237</v>
      </c>
      <c r="L32" s="7">
        <f>L31/Resultados!K6</f>
        <v>0.20998057079919608</v>
      </c>
      <c r="M32" s="7">
        <f>M31/Resultados!L6</f>
        <v>0.19965239819930541</v>
      </c>
      <c r="N32" s="7">
        <f>N31/Resultados!M6</f>
        <v>0.2004250261228985</v>
      </c>
      <c r="O32" s="7">
        <f>O31/Resultados!N6</f>
        <v>0.20285895429076087</v>
      </c>
      <c r="P32" s="7">
        <f>P31/Resultados!O6</f>
        <v>0.20253363066648447</v>
      </c>
      <c r="Q32" s="7">
        <f>Q31/Resultados!P6</f>
        <v>0.2020932967620665</v>
      </c>
      <c r="R32" s="7">
        <f>R31/Resultados!Q6</f>
        <v>0.20260474094445063</v>
      </c>
      <c r="S32" s="7">
        <f>S31/Resultados!R6</f>
        <v>0.20282797674318617</v>
      </c>
    </row>
    <row r="34" spans="1:19" ht="15.75">
      <c r="A34" s="1" t="s">
        <v>55</v>
      </c>
      <c r="B34" s="2"/>
      <c r="C34" s="2"/>
      <c r="D34" s="2"/>
      <c r="E34" s="2"/>
      <c r="F34" s="2"/>
      <c r="G34" s="2"/>
      <c r="H34" s="2"/>
      <c r="I34" s="111"/>
      <c r="J34" s="111"/>
      <c r="K34" s="111"/>
      <c r="L34" s="2"/>
      <c r="M34" s="2"/>
      <c r="N34" s="2"/>
      <c r="O34" s="2"/>
      <c r="P34" s="2"/>
      <c r="Q34" s="2"/>
      <c r="R34" s="2"/>
      <c r="S34" s="2"/>
    </row>
    <row r="35" spans="1:19" ht="15.75">
      <c r="A35" s="1"/>
      <c r="B35" s="2" t="s">
        <v>56</v>
      </c>
      <c r="C35" s="2"/>
      <c r="D35" s="151">
        <v>0.18333333333333332</v>
      </c>
      <c r="E35" s="151">
        <f>(Resultados!D6-Resultados!C6)/Resultados!C6</f>
        <v>0.17624175142595813</v>
      </c>
      <c r="F35" s="151">
        <f>(Resultados!E6-Resultados!D6)/Resultados!D6</f>
        <v>0.14306978110179985</v>
      </c>
      <c r="G35" s="151">
        <f>(Resultados!F6-Resultados!E6)/Resultados!E6</f>
        <v>-0.16128184615743957</v>
      </c>
      <c r="H35" s="151">
        <f>(Resultados!G6-Resultados!F6)/Resultados!F6</f>
        <v>-5.2380024089171709E-2</v>
      </c>
      <c r="I35" s="151">
        <f>(Resultados!H6-Resultados!F6)/Resultados!F6</f>
        <v>7.7091595794605963E-2</v>
      </c>
      <c r="J35" s="151">
        <f>(Resultados!I6-Resultados!H6)/Resultados!H6</f>
        <v>6.5132768578736858E-2</v>
      </c>
      <c r="K35" s="151">
        <f>(Resultados!J6-Resultados!I6)/Resultados!I6</f>
        <v>6.0585044431543736E-2</v>
      </c>
      <c r="L35" s="151">
        <f>(Resultados!K6-Resultados!J6)/Resultados!J6</f>
        <v>5.7511692315409466E-2</v>
      </c>
      <c r="M35" s="151">
        <f>(Resultados!L6-Resultados!K6)/Resultados!K6</f>
        <v>5.020022861004831E-2</v>
      </c>
      <c r="N35" s="151">
        <f>(Resultados!M6-Resultados!L6)/Resultados!L6</f>
        <v>5.2268127339224736E-2</v>
      </c>
      <c r="O35" s="151">
        <f>(Resultados!N6-Resultados!M6)/Resultados!M6</f>
        <v>5.1997651663561899E-2</v>
      </c>
      <c r="P35" s="151">
        <f>(Resultados!O6-Resultados!N6)/Resultados!N6</f>
        <v>5.2219981248254839E-2</v>
      </c>
      <c r="Q35" s="151">
        <f>(Resultados!P6-Resultados!O6)/Resultados!O6</f>
        <v>5.2440914125340521E-2</v>
      </c>
      <c r="R35" s="151">
        <f>(Resultados!Q6-Resultados!P6)/Resultados!P6</f>
        <v>5.2660372570221547E-2</v>
      </c>
      <c r="S35" s="151">
        <f>(Resultados!R6-Resultados!Q6)/Resultados!Q6</f>
        <v>5.2878281146684039E-2</v>
      </c>
    </row>
    <row r="36" spans="1:19" ht="15.75">
      <c r="A36" s="1"/>
      <c r="B36" s="11" t="s">
        <v>57</v>
      </c>
      <c r="C36" s="11"/>
      <c r="D36" s="111">
        <f>+D25-C25</f>
        <v>-34995</v>
      </c>
      <c r="E36" s="111">
        <f>E25-D25</f>
        <v>36996</v>
      </c>
      <c r="F36" s="111">
        <f>F25-E25</f>
        <v>10144</v>
      </c>
      <c r="G36" s="111">
        <f t="shared" ref="G36:P36" si="5">G25-F25</f>
        <v>-6350</v>
      </c>
      <c r="H36" s="111">
        <f t="shared" si="5"/>
        <v>-6188</v>
      </c>
      <c r="I36" s="111">
        <f>I25-G25</f>
        <v>-10051.84352031094</v>
      </c>
      <c r="J36" s="111">
        <f t="shared" si="5"/>
        <v>4466.1765021066967</v>
      </c>
      <c r="K36" s="111">
        <f t="shared" si="5"/>
        <v>4068.9682537894842</v>
      </c>
      <c r="L36" s="111">
        <f>L25-K25</f>
        <v>1920.137493438262</v>
      </c>
      <c r="M36" s="111">
        <f>M25-L25</f>
        <v>2506.4390208466211</v>
      </c>
      <c r="N36" s="111">
        <f t="shared" si="5"/>
        <v>3007.156439787228</v>
      </c>
      <c r="O36" s="111">
        <f t="shared" si="5"/>
        <v>5632.5247651569516</v>
      </c>
      <c r="P36" s="111">
        <f t="shared" si="5"/>
        <v>4873.3075305710227</v>
      </c>
      <c r="Q36" s="111">
        <f>Q25-P25</f>
        <v>5108.9834461901337</v>
      </c>
      <c r="R36" s="111">
        <f>R25-Q25</f>
        <v>5611.3137205823441</v>
      </c>
      <c r="S36" s="111">
        <f>S25-R25</f>
        <v>5939.3238814926881</v>
      </c>
    </row>
    <row r="37" spans="1:19">
      <c r="A37" s="2"/>
      <c r="B37" s="2" t="s">
        <v>58</v>
      </c>
      <c r="C37" s="2"/>
      <c r="D37" s="111">
        <v>22</v>
      </c>
      <c r="E37" s="111">
        <f t="shared" ref="E37:P37" si="6">D25*E35</f>
        <v>6797.4681107477791</v>
      </c>
      <c r="F37" s="111">
        <f t="shared" si="6"/>
        <v>10811.068008957505</v>
      </c>
      <c r="G37" s="111">
        <f t="shared" si="6"/>
        <v>-13823.305752307988</v>
      </c>
      <c r="H37" s="111">
        <f t="shared" si="6"/>
        <v>-4156.8263316925777</v>
      </c>
      <c r="I37" s="111">
        <f>G25*I35</f>
        <v>6117.9119506641346</v>
      </c>
      <c r="J37" s="111">
        <f t="shared" si="6"/>
        <v>4514.1669838418902</v>
      </c>
      <c r="K37" s="111">
        <f t="shared" si="6"/>
        <v>4469.5606565651669</v>
      </c>
      <c r="L37" s="111">
        <f t="shared" si="6"/>
        <v>4476.8424777843966</v>
      </c>
      <c r="M37" s="111">
        <f t="shared" si="6"/>
        <v>4004.0926586919509</v>
      </c>
      <c r="N37" s="111">
        <f t="shared" si="6"/>
        <v>4300.0401782853241</v>
      </c>
      <c r="O37" s="111">
        <f t="shared" si="6"/>
        <v>4434.1535210437978</v>
      </c>
      <c r="P37" s="111">
        <f t="shared" si="6"/>
        <v>4747.243243926272</v>
      </c>
      <c r="Q37" s="111">
        <f>P25*Q35</f>
        <v>5022.888635124923</v>
      </c>
      <c r="R37" s="111">
        <f>Q25*R35</f>
        <v>5312.9497463230746</v>
      </c>
      <c r="S37" s="111">
        <f>R25*S35</f>
        <v>5631.6513523289541</v>
      </c>
    </row>
    <row r="38" spans="1:19">
      <c r="A38" s="2"/>
      <c r="B38" s="2" t="s">
        <v>59</v>
      </c>
      <c r="C38" s="2"/>
      <c r="D38" s="111">
        <f t="shared" ref="D38:P38" si="7">D36-D37</f>
        <v>-35017</v>
      </c>
      <c r="E38" s="111">
        <f>E36-E37</f>
        <v>30198.531889252219</v>
      </c>
      <c r="F38" s="111">
        <f t="shared" si="7"/>
        <v>-667.0680089575053</v>
      </c>
      <c r="G38" s="111">
        <f t="shared" si="7"/>
        <v>7473.3057523079879</v>
      </c>
      <c r="H38" s="111">
        <f>H36-H37</f>
        <v>-2031.1736683074223</v>
      </c>
      <c r="I38" s="111">
        <f t="shared" si="7"/>
        <v>-16169.755470975075</v>
      </c>
      <c r="J38" s="111">
        <f t="shared" si="7"/>
        <v>-47.990481735193498</v>
      </c>
      <c r="K38" s="111">
        <f t="shared" si="7"/>
        <v>-400.59240277568279</v>
      </c>
      <c r="L38" s="111">
        <f t="shared" si="7"/>
        <v>-2556.7049843461346</v>
      </c>
      <c r="M38" s="111">
        <f t="shared" si="7"/>
        <v>-1497.6536378453297</v>
      </c>
      <c r="N38" s="111">
        <f t="shared" si="7"/>
        <v>-1292.8837384980961</v>
      </c>
      <c r="O38" s="111">
        <f t="shared" si="7"/>
        <v>1198.3712441131538</v>
      </c>
      <c r="P38" s="111">
        <f t="shared" si="7"/>
        <v>126.06428664475061</v>
      </c>
      <c r="Q38" s="111">
        <f>Q36-Q37</f>
        <v>86.094811065210706</v>
      </c>
      <c r="R38" s="111">
        <f>R36-R37</f>
        <v>298.36397425926953</v>
      </c>
      <c r="S38" s="111">
        <f>S36-S37</f>
        <v>307.672529163734</v>
      </c>
    </row>
    <row r="39" spans="1:19">
      <c r="B39" s="2" t="s">
        <v>277</v>
      </c>
      <c r="C39" s="2"/>
      <c r="D39" s="405">
        <f t="shared" ref="D39:P39" si="8">D38/D36</f>
        <v>1.0006286612373196</v>
      </c>
      <c r="E39" s="405">
        <f t="shared" si="8"/>
        <v>0.8162647823886966</v>
      </c>
      <c r="F39" s="405">
        <f t="shared" si="8"/>
        <v>-6.5759858927198864E-2</v>
      </c>
      <c r="G39" s="405">
        <f t="shared" si="8"/>
        <v>-1.1768985436705492</v>
      </c>
      <c r="H39" s="405">
        <f>H38/H36</f>
        <v>0.32824396708264741</v>
      </c>
      <c r="I39" s="405">
        <f t="shared" si="8"/>
        <v>1.6086358127543638</v>
      </c>
      <c r="J39" s="405">
        <f t="shared" si="8"/>
        <v>-1.0745316875084622E-2</v>
      </c>
      <c r="K39" s="405">
        <f t="shared" si="8"/>
        <v>-9.8450609046311865E-2</v>
      </c>
      <c r="L39" s="405">
        <f t="shared" si="8"/>
        <v>-1.3315218275166398</v>
      </c>
      <c r="M39" s="405">
        <f t="shared" si="8"/>
        <v>-0.59752247127857694</v>
      </c>
      <c r="N39" s="405">
        <f t="shared" si="8"/>
        <v>-0.42993564331810236</v>
      </c>
      <c r="O39" s="405">
        <f t="shared" si="8"/>
        <v>0.21275916113610926</v>
      </c>
      <c r="P39" s="405">
        <f t="shared" si="8"/>
        <v>2.5868321638626245E-2</v>
      </c>
      <c r="Q39" s="405">
        <f>Q38/Q36</f>
        <v>1.6851651991437407E-2</v>
      </c>
      <c r="R39" s="405">
        <f>R38/R36</f>
        <v>5.3171857628431657E-2</v>
      </c>
      <c r="S39" s="405">
        <f>S38/S36</f>
        <v>5.1802618497108939E-2</v>
      </c>
    </row>
    <row r="40" spans="1:19">
      <c r="E40" s="66"/>
      <c r="F40" s="66"/>
      <c r="G40" s="66"/>
      <c r="H40" s="66"/>
      <c r="I40" s="152"/>
      <c r="J40" s="152"/>
      <c r="K40" s="152"/>
      <c r="L40" s="66"/>
      <c r="M40" s="66"/>
    </row>
  </sheetData>
  <phoneticPr fontId="0" type="noConversion"/>
  <printOptions horizontalCentered="1" verticalCentered="1"/>
  <pageMargins left="0.51181102362204722" right="0.51181102362204722" top="0.51181102362204722" bottom="0.51181102362204722" header="0.51181102362204722" footer="0.51181102362204722"/>
  <pageSetup scale="95" firstPageNumber="4" orientation="landscape" blackAndWhite="1" horizontalDpi="300" verticalDpi="300"/>
  <headerFooter>
    <oddHeader>&amp;C&amp;A</oddHeader>
    <oddFooter>&amp;CCompañía Modelo - EVA&amp;RPágina &amp;P</oddFooter>
  </headerFooter>
</worksheet>
</file>

<file path=xl/worksheets/sheet23.xml><?xml version="1.0" encoding="utf-8"?>
<worksheet xmlns="http://schemas.openxmlformats.org/spreadsheetml/2006/main" xmlns:r="http://schemas.openxmlformats.org/officeDocument/2006/relationships">
  <sheetPr transitionEvaluation="1" enableFormatConditionsCalculation="0"/>
  <dimension ref="A1:Q32"/>
  <sheetViews>
    <sheetView showGridLines="0" zoomScale="70" zoomScaleNormal="70" workbookViewId="0">
      <pane xSplit="1" ySplit="4" topLeftCell="F8" activePane="bottomRight" state="frozen"/>
      <selection pane="topRight" activeCell="B1" sqref="B1"/>
      <selection pane="bottomLeft" activeCell="A5" sqref="A5"/>
      <selection pane="bottomRight" activeCell="Q31" sqref="Q31"/>
    </sheetView>
  </sheetViews>
  <sheetFormatPr baseColWidth="10" defaultColWidth="8.88671875" defaultRowHeight="15"/>
  <cols>
    <col min="1" max="1" width="30.88671875" customWidth="1"/>
    <col min="2" max="17" width="11.77734375" customWidth="1"/>
  </cols>
  <sheetData>
    <row r="1" spans="1:17" ht="15.75">
      <c r="A1" s="1" t="str">
        <f>+Balance!A1</f>
        <v>ENKA de Colombia S.A.</v>
      </c>
      <c r="B1" s="2"/>
      <c r="C1" s="2"/>
      <c r="D1" s="2"/>
      <c r="E1" s="2"/>
    </row>
    <row r="2" spans="1:17" ht="15.75">
      <c r="A2" s="1" t="s">
        <v>161</v>
      </c>
      <c r="B2" s="2"/>
      <c r="C2" s="2"/>
      <c r="D2" s="2"/>
      <c r="E2" s="2"/>
    </row>
    <row r="3" spans="1:17" ht="15.75">
      <c r="A3" s="1"/>
      <c r="B3" s="2"/>
      <c r="C3" s="2"/>
      <c r="D3" s="2"/>
      <c r="E3" s="2"/>
    </row>
    <row r="4" spans="1:17" ht="16.5" thickBot="1">
      <c r="A4" s="2"/>
      <c r="B4" s="3">
        <f>'KWOp.%'!$C$4</f>
        <v>2009</v>
      </c>
      <c r="C4" s="3">
        <f t="shared" ref="C4:H4" si="0">B4+1</f>
        <v>2010</v>
      </c>
      <c r="D4" s="3">
        <f t="shared" si="0"/>
        <v>2011</v>
      </c>
      <c r="E4" s="3">
        <f t="shared" si="0"/>
        <v>2012</v>
      </c>
      <c r="F4" s="3">
        <f t="shared" si="0"/>
        <v>2013</v>
      </c>
      <c r="G4" s="3">
        <f t="shared" si="0"/>
        <v>2014</v>
      </c>
      <c r="H4" s="3">
        <f t="shared" si="0"/>
        <v>2015</v>
      </c>
      <c r="I4" s="3">
        <f t="shared" ref="I4:Q4" si="1">H4+1</f>
        <v>2016</v>
      </c>
      <c r="J4" s="3">
        <f t="shared" si="1"/>
        <v>2017</v>
      </c>
      <c r="K4" s="3">
        <f t="shared" si="1"/>
        <v>2018</v>
      </c>
      <c r="L4" s="3">
        <f t="shared" si="1"/>
        <v>2019</v>
      </c>
      <c r="M4" s="3">
        <f t="shared" si="1"/>
        <v>2020</v>
      </c>
      <c r="N4" s="3">
        <f t="shared" si="1"/>
        <v>2021</v>
      </c>
      <c r="O4" s="3">
        <f t="shared" si="1"/>
        <v>2022</v>
      </c>
      <c r="P4" s="3">
        <f t="shared" si="1"/>
        <v>2023</v>
      </c>
      <c r="Q4" s="3">
        <f t="shared" si="1"/>
        <v>2024</v>
      </c>
    </row>
    <row r="6" spans="1:17" ht="15.75">
      <c r="A6" s="27" t="s">
        <v>162</v>
      </c>
      <c r="B6" s="39">
        <f>+AnalVr.!C32</f>
        <v>159556</v>
      </c>
      <c r="C6" s="39">
        <f>AnalVr.!C15</f>
        <v>206652</v>
      </c>
      <c r="D6" s="39">
        <f>AnalVr.!E15</f>
        <v>207281</v>
      </c>
      <c r="E6" s="39">
        <f>AnalVr.!G15</f>
        <v>203214</v>
      </c>
      <c r="F6" s="39">
        <f>AnalVr.!I15</f>
        <v>221580</v>
      </c>
      <c r="G6" s="39">
        <f>AnalVr.!K15</f>
        <v>225213</v>
      </c>
      <c r="H6" s="39">
        <f>AnalVr.!M15</f>
        <v>198073.38090180967</v>
      </c>
      <c r="I6" s="39">
        <f>AnalVr.!O15</f>
        <v>182236.86880627202</v>
      </c>
      <c r="J6" s="39">
        <f>AnalVr.!Q15</f>
        <v>171049.05256440051</v>
      </c>
      <c r="K6" s="39">
        <f>AnalVr.!S15</f>
        <v>167192.83965617756</v>
      </c>
      <c r="L6" s="39">
        <f>AnalVr.!U15</f>
        <v>169945.2283840288</v>
      </c>
      <c r="M6" s="39">
        <f>AnalVr.!W15</f>
        <v>181258.81325611772</v>
      </c>
      <c r="N6" s="39">
        <f>AnalVr.!Y15</f>
        <v>196548.93084063003</v>
      </c>
      <c r="O6" s="39">
        <f>AnalVr.!AA15</f>
        <v>216022.41679706509</v>
      </c>
      <c r="P6" s="39">
        <f>AnalVr.!AC15</f>
        <v>241141.13849155395</v>
      </c>
      <c r="Q6" s="39">
        <f>AnalVr.!AE15</f>
        <v>268873.93862416071</v>
      </c>
    </row>
    <row r="7" spans="1:17" ht="15.75">
      <c r="A7" s="27" t="s">
        <v>76</v>
      </c>
      <c r="B7" s="39">
        <f>+Impuestos!C9</f>
        <v>-18388</v>
      </c>
      <c r="C7" s="39">
        <f>+Impuestos!D9</f>
        <v>-8401</v>
      </c>
      <c r="D7" s="39">
        <f>+Impuestos!E9</f>
        <v>-11162</v>
      </c>
      <c r="E7" s="39">
        <f>+Impuestos!F9</f>
        <v>-7205</v>
      </c>
      <c r="F7" s="39">
        <f>+Impuestos!G9</f>
        <v>-5449</v>
      </c>
      <c r="G7" s="39">
        <f>+Impuestos!H9</f>
        <v>-7713.5368572440793</v>
      </c>
      <c r="H7" s="39">
        <f>+Impuestos!I9</f>
        <v>-4101.4688377653647</v>
      </c>
      <c r="I7" s="39">
        <f>+Impuestos!J9</f>
        <v>-455.60145695430379</v>
      </c>
      <c r="J7" s="39">
        <f>+Impuestos!K9</f>
        <v>6683.3700510631752</v>
      </c>
      <c r="K7" s="39">
        <f>+Impuestos!L9</f>
        <v>15255.489921050992</v>
      </c>
      <c r="L7" s="39">
        <f>+Impuestos!M9</f>
        <v>20161.993821860768</v>
      </c>
      <c r="M7" s="39">
        <f>+Impuestos!N9</f>
        <v>24096.48021668561</v>
      </c>
      <c r="N7" s="39">
        <f>+Impuestos!O9</f>
        <v>28355.889992256791</v>
      </c>
      <c r="O7" s="39">
        <f>+Impuestos!P9</f>
        <v>32964.384596733988</v>
      </c>
      <c r="P7" s="39">
        <f>+Impuestos!Q9</f>
        <v>35505.594735698483</v>
      </c>
      <c r="Q7" s="39">
        <f>+Impuestos!R9</f>
        <v>38864.195952435657</v>
      </c>
    </row>
    <row r="8" spans="1:17" ht="15.75">
      <c r="A8" s="27" t="s">
        <v>158</v>
      </c>
      <c r="B8" s="39">
        <f>+AnalVr.!C31</f>
        <v>-18388</v>
      </c>
      <c r="C8" s="39">
        <f>+AnalVr.!E31</f>
        <v>-8401</v>
      </c>
      <c r="D8" s="39">
        <f>+AnalVr.!G31</f>
        <v>-11162</v>
      </c>
      <c r="E8" s="39">
        <f>+AnalVr.!I31</f>
        <v>-9504</v>
      </c>
      <c r="F8" s="39">
        <f>+AnalVr.!K31</f>
        <v>-7785</v>
      </c>
      <c r="G8" s="39">
        <f>+AnalVr.!M31</f>
        <v>-9952.5368572440784</v>
      </c>
      <c r="H8" s="39">
        <f>+AnalVr.!O31</f>
        <v>-6180.6245032707457</v>
      </c>
      <c r="I8" s="39">
        <f>+AnalVr.!Q31</f>
        <v>-2468.7550549499456</v>
      </c>
      <c r="J8" s="39">
        <f>+AnalVr.!S31</f>
        <v>4782.6941468019531</v>
      </c>
      <c r="K8" s="39">
        <f>+AnalVr.!U31</f>
        <v>13108.89776058212</v>
      </c>
      <c r="L8" s="39">
        <f>+AnalVr.!W31</f>
        <v>15289.433748005857</v>
      </c>
      <c r="M8" s="39">
        <f>+AnalVr.!Y31</f>
        <v>20689.874804445175</v>
      </c>
      <c r="N8" s="39">
        <f>+AnalVr.!AA31</f>
        <v>24619.683093605978</v>
      </c>
      <c r="O8" s="39">
        <f>+AnalVr.!AC31</f>
        <v>28759.910770691313</v>
      </c>
      <c r="P8" s="39">
        <f>+AnalVr.!AE31</f>
        <v>30784.997700402808</v>
      </c>
      <c r="Q8" s="39">
        <f>+AnalVr.!AG31</f>
        <v>33852.844326859122</v>
      </c>
    </row>
    <row r="9" spans="1:17" ht="15.75">
      <c r="A9" s="27"/>
      <c r="B9" s="39"/>
      <c r="C9" s="62"/>
      <c r="D9" s="62"/>
      <c r="E9" s="62"/>
    </row>
    <row r="10" spans="1:17" ht="15.75">
      <c r="A10" s="27" t="s">
        <v>163</v>
      </c>
      <c r="B10" s="39"/>
      <c r="C10" s="49">
        <f t="shared" ref="C10:L10" si="2">+(C8/B8)-1</f>
        <v>-0.54312595170763545</v>
      </c>
      <c r="D10" s="49">
        <f t="shared" si="2"/>
        <v>0.32865135102963938</v>
      </c>
      <c r="E10" s="49">
        <f t="shared" si="2"/>
        <v>-0.14853968822791619</v>
      </c>
      <c r="F10" s="49">
        <f t="shared" si="2"/>
        <v>-0.18087121212121215</v>
      </c>
      <c r="G10" s="49">
        <f t="shared" si="2"/>
        <v>0.27842477292794832</v>
      </c>
      <c r="H10" s="49">
        <f t="shared" si="2"/>
        <v>-0.37899004124037972</v>
      </c>
      <c r="I10" s="49">
        <f t="shared" si="2"/>
        <v>-0.60056543579965149</v>
      </c>
      <c r="J10" s="49">
        <f t="shared" si="2"/>
        <v>-2.9372898648703418</v>
      </c>
      <c r="K10" s="49">
        <f t="shared" si="2"/>
        <v>1.7409023780765187</v>
      </c>
      <c r="L10" s="49">
        <f t="shared" si="2"/>
        <v>0.1663401475279267</v>
      </c>
      <c r="M10" s="49">
        <f>+(M8/L8)-1</f>
        <v>0.35321393489433039</v>
      </c>
      <c r="N10" s="49">
        <f>+(N8/M8)-1</f>
        <v>0.18993871767249604</v>
      </c>
      <c r="O10" s="49">
        <f>+(O8/N8)-1</f>
        <v>0.16816738303835432</v>
      </c>
      <c r="P10" s="49">
        <f>+(P8/O8)-1</f>
        <v>7.0413533124561223E-2</v>
      </c>
      <c r="Q10" s="49">
        <f>+(Q8/P8)-1</f>
        <v>9.9653950158202331E-2</v>
      </c>
    </row>
    <row r="11" spans="1:17" ht="15.75">
      <c r="A11" s="27" t="s">
        <v>164</v>
      </c>
      <c r="B11" s="39"/>
      <c r="C11" s="49">
        <f t="shared" ref="C11:Q11" si="3">+(C7/B7)-1</f>
        <v>-0.54312595170763545</v>
      </c>
      <c r="D11" s="49">
        <f t="shared" si="3"/>
        <v>0.32865135102963938</v>
      </c>
      <c r="E11" s="49">
        <f t="shared" si="3"/>
        <v>-0.35450636086722809</v>
      </c>
      <c r="F11" s="49">
        <f t="shared" si="3"/>
        <v>-0.24371963913948647</v>
      </c>
      <c r="G11" s="49">
        <f t="shared" si="3"/>
        <v>0.41558760455938315</v>
      </c>
      <c r="H11" s="49">
        <f t="shared" si="3"/>
        <v>-0.46827649706327423</v>
      </c>
      <c r="I11" s="49">
        <f t="shared" si="3"/>
        <v>-0.88891748908117207</v>
      </c>
      <c r="J11" s="49">
        <f t="shared" si="3"/>
        <v>-15.669334237299219</v>
      </c>
      <c r="K11" s="49">
        <f t="shared" si="3"/>
        <v>1.282604405336524</v>
      </c>
      <c r="L11" s="49">
        <f t="shared" si="3"/>
        <v>0.32162217838965046</v>
      </c>
      <c r="M11" s="49">
        <f t="shared" si="3"/>
        <v>0.19514371592351409</v>
      </c>
      <c r="N11" s="49">
        <f t="shared" si="3"/>
        <v>0.17676481117859488</v>
      </c>
      <c r="O11" s="49">
        <f t="shared" si="3"/>
        <v>0.16252336307326809</v>
      </c>
      <c r="P11" s="49">
        <f t="shared" si="3"/>
        <v>7.708956712076076E-2</v>
      </c>
      <c r="Q11" s="49">
        <f t="shared" si="3"/>
        <v>9.4593577202083168E-2</v>
      </c>
    </row>
    <row r="12" spans="1:17" ht="15.75" thickBot="1">
      <c r="A12" s="28"/>
      <c r="B12" s="28"/>
      <c r="C12" s="28"/>
      <c r="D12" s="28"/>
      <c r="E12" s="28"/>
      <c r="F12" s="28"/>
      <c r="G12" s="28"/>
      <c r="H12" s="28"/>
      <c r="I12" s="28"/>
      <c r="J12" s="28"/>
      <c r="K12" s="28"/>
      <c r="L12" s="28"/>
      <c r="M12" s="28"/>
      <c r="N12" s="28"/>
      <c r="O12" s="28"/>
      <c r="P12" s="28"/>
      <c r="Q12" s="28"/>
    </row>
    <row r="13" spans="1:17" ht="17.25" thickTop="1" thickBot="1">
      <c r="A13" s="29" t="s">
        <v>160</v>
      </c>
      <c r="B13" s="31">
        <f t="shared" ref="B13:G13" si="4">B8/B6</f>
        <v>-0.11524480433202136</v>
      </c>
      <c r="C13" s="31">
        <f t="shared" si="4"/>
        <v>-4.0652885043454698E-2</v>
      </c>
      <c r="D13" s="31">
        <f t="shared" si="4"/>
        <v>-5.3849605125409469E-2</v>
      </c>
      <c r="E13" s="31">
        <f t="shared" si="4"/>
        <v>-4.6768431308866515E-2</v>
      </c>
      <c r="F13" s="31">
        <f t="shared" si="4"/>
        <v>-3.5134037367993504E-2</v>
      </c>
      <c r="G13" s="31">
        <f t="shared" si="4"/>
        <v>-4.419166236959713E-2</v>
      </c>
      <c r="H13" s="31">
        <f t="shared" ref="H13:M13" si="5">H8/H6</f>
        <v>-3.1203710842572271E-2</v>
      </c>
      <c r="I13" s="31">
        <f t="shared" si="5"/>
        <v>-1.3546957161420339E-2</v>
      </c>
      <c r="J13" s="31">
        <f t="shared" si="5"/>
        <v>2.7960950821409862E-2</v>
      </c>
      <c r="K13" s="31">
        <f t="shared" si="5"/>
        <v>7.8405856300663435E-2</v>
      </c>
      <c r="L13" s="31">
        <f t="shared" si="5"/>
        <v>8.9966831627987826E-2</v>
      </c>
      <c r="M13" s="31">
        <f t="shared" si="5"/>
        <v>0.11414548309554744</v>
      </c>
      <c r="N13" s="31">
        <f>N8/N6</f>
        <v>0.12525981692349489</v>
      </c>
      <c r="O13" s="31">
        <f>O8/O6</f>
        <v>0.1331339182160379</v>
      </c>
      <c r="P13" s="31">
        <f>P8/P6</f>
        <v>0.12766381502955815</v>
      </c>
      <c r="Q13" s="31">
        <f>Q8/Q6</f>
        <v>0.12590600822112233</v>
      </c>
    </row>
    <row r="14" spans="1:17" ht="15.75" thickTop="1">
      <c r="A14" s="28"/>
      <c r="B14" s="28"/>
      <c r="C14" s="28"/>
      <c r="D14" s="28"/>
      <c r="E14" s="28"/>
      <c r="F14" s="28"/>
      <c r="G14" s="28"/>
      <c r="H14" s="28"/>
      <c r="I14" s="28"/>
      <c r="J14" s="28"/>
      <c r="K14" s="28"/>
      <c r="L14" s="28"/>
      <c r="M14" s="28"/>
      <c r="N14" s="28"/>
      <c r="O14" s="28"/>
      <c r="P14" s="28"/>
      <c r="Q14" s="28"/>
    </row>
    <row r="15" spans="1:17">
      <c r="A15" s="28" t="s">
        <v>165</v>
      </c>
      <c r="B15" s="49">
        <f>+WACC!C30</f>
        <v>0.12975403841637392</v>
      </c>
      <c r="C15" s="49">
        <f>+WACC!D30</f>
        <v>0.1173558618554205</v>
      </c>
      <c r="D15" s="49">
        <f>+WACC!E30</f>
        <v>0.10652338535546396</v>
      </c>
      <c r="E15" s="49">
        <f>+WACC!F30</f>
        <v>9.5197925705498523E-2</v>
      </c>
      <c r="F15" s="49">
        <f>+WACC!G30</f>
        <v>9.893977656564068E-2</v>
      </c>
      <c r="G15" s="49">
        <f>+WACC!H30</f>
        <v>0.12136750586087716</v>
      </c>
      <c r="H15" s="49">
        <f>+WACC!I30</f>
        <v>0.11660496481028976</v>
      </c>
      <c r="I15" s="49">
        <f>+WACC!J30</f>
        <v>0.11854457043821189</v>
      </c>
      <c r="J15" s="49">
        <f>+WACC!K30</f>
        <v>0.12015777640710752</v>
      </c>
      <c r="K15" s="49">
        <f>+WACC!L30</f>
        <v>0.1220814083276502</v>
      </c>
      <c r="L15" s="49">
        <f>+WACC!M30</f>
        <v>0.12267692409830372</v>
      </c>
      <c r="M15" s="49">
        <f>+WACC!N30</f>
        <v>0.12485633344957546</v>
      </c>
      <c r="N15" s="49">
        <f>+WACC!O30</f>
        <v>0.12377970313073336</v>
      </c>
      <c r="O15" s="49">
        <f>+WACC!P30</f>
        <v>0.1287524900180613</v>
      </c>
      <c r="P15" s="49">
        <f>+WACC!Q30</f>
        <v>0.12733817781205278</v>
      </c>
      <c r="Q15" s="49">
        <f>+WACC!R30</f>
        <v>0.12733817781205278</v>
      </c>
    </row>
    <row r="16" spans="1:17">
      <c r="A16" s="28" t="s">
        <v>166</v>
      </c>
      <c r="B16" s="49">
        <f t="shared" ref="B16:M16" si="6">+B13-B15</f>
        <v>-0.24499884274839528</v>
      </c>
      <c r="C16" s="49">
        <f t="shared" si="6"/>
        <v>-0.1580087468988752</v>
      </c>
      <c r="D16" s="49">
        <f t="shared" si="6"/>
        <v>-0.16037299048087345</v>
      </c>
      <c r="E16" s="49">
        <f t="shared" si="6"/>
        <v>-0.14196635701436505</v>
      </c>
      <c r="F16" s="49">
        <f t="shared" si="6"/>
        <v>-0.13407381393363418</v>
      </c>
      <c r="G16" s="49">
        <f t="shared" si="6"/>
        <v>-0.16555916823047429</v>
      </c>
      <c r="H16" s="49">
        <f t="shared" si="6"/>
        <v>-0.14780867565286204</v>
      </c>
      <c r="I16" s="49">
        <f t="shared" si="6"/>
        <v>-0.13209152759963222</v>
      </c>
      <c r="J16" s="49">
        <f t="shared" si="6"/>
        <v>-9.2196825585697667E-2</v>
      </c>
      <c r="K16" s="49">
        <f t="shared" si="6"/>
        <v>-4.3675552026986766E-2</v>
      </c>
      <c r="L16" s="49">
        <f t="shared" si="6"/>
        <v>-3.2710092470315894E-2</v>
      </c>
      <c r="M16" s="49">
        <f t="shared" si="6"/>
        <v>-1.0710850354028023E-2</v>
      </c>
      <c r="N16" s="49">
        <f>+N13-N15</f>
        <v>1.4801137927615282E-3</v>
      </c>
      <c r="O16" s="49">
        <f>+O13-O15</f>
        <v>4.3814281979766001E-3</v>
      </c>
      <c r="P16" s="49">
        <f>+P13-P15</f>
        <v>3.2563721750536456E-4</v>
      </c>
      <c r="Q16" s="49">
        <f>+Q13-Q15</f>
        <v>-1.4321695909304544E-3</v>
      </c>
    </row>
    <row r="17" spans="1:17" ht="15.75" thickBot="1">
      <c r="A17" s="28"/>
      <c r="B17" s="49"/>
      <c r="C17" s="49"/>
      <c r="D17" s="49"/>
      <c r="E17" s="49"/>
      <c r="F17" s="49"/>
      <c r="G17" s="49"/>
      <c r="H17" s="49"/>
      <c r="I17" s="49"/>
      <c r="J17" s="49"/>
      <c r="K17" s="49"/>
      <c r="L17" s="49"/>
      <c r="M17" s="49"/>
      <c r="N17" s="49"/>
      <c r="O17" s="49"/>
      <c r="P17" s="49"/>
      <c r="Q17" s="49"/>
    </row>
    <row r="18" spans="1:17" ht="17.25" thickTop="1" thickBot="1">
      <c r="A18" s="29" t="s">
        <v>167</v>
      </c>
      <c r="B18" s="64">
        <f t="shared" ref="B18:G18" si="7">+B6*B16</f>
        <v>-39091.035353562955</v>
      </c>
      <c r="C18" s="64">
        <f t="shared" si="7"/>
        <v>-32652.823564146358</v>
      </c>
      <c r="D18" s="64">
        <f t="shared" si="7"/>
        <v>-33242.273839865928</v>
      </c>
      <c r="E18" s="64">
        <f t="shared" si="7"/>
        <v>-28849.551274317178</v>
      </c>
      <c r="F18" s="64">
        <f t="shared" si="7"/>
        <v>-29708.075691414662</v>
      </c>
      <c r="G18" s="64">
        <f t="shared" si="7"/>
        <v>-37286.076954689808</v>
      </c>
      <c r="H18" s="64">
        <f t="shared" ref="H18:M18" si="8">+H6*H16</f>
        <v>-29276.964113181384</v>
      </c>
      <c r="I18" s="64">
        <f t="shared" si="8"/>
        <v>-24071.946385594238</v>
      </c>
      <c r="J18" s="64">
        <f t="shared" si="8"/>
        <v>-15770.179665878866</v>
      </c>
      <c r="K18" s="64">
        <f t="shared" si="8"/>
        <v>-7302.2395669430389</v>
      </c>
      <c r="L18" s="64">
        <f t="shared" si="8"/>
        <v>-5558.9241353305351</v>
      </c>
      <c r="M18" s="64">
        <f t="shared" si="8"/>
        <v>-1941.4360241349877</v>
      </c>
      <c r="N18" s="64">
        <f>+N6*N16</f>
        <v>290.91478348974823</v>
      </c>
      <c r="O18" s="64">
        <f>+O6*O16</f>
        <v>946.48670834971495</v>
      </c>
      <c r="P18" s="64">
        <f>+P6*P16</f>
        <v>78.524529364465394</v>
      </c>
      <c r="Q18" s="64">
        <f>+Q6*Q16</f>
        <v>-385.07307869122434</v>
      </c>
    </row>
    <row r="19" spans="1:17" ht="15.75" thickTop="1">
      <c r="A19" s="28"/>
      <c r="B19" s="28"/>
      <c r="C19" s="28"/>
      <c r="D19" s="28"/>
      <c r="E19" s="28"/>
      <c r="F19" s="28"/>
      <c r="G19" s="28"/>
      <c r="H19" s="28"/>
      <c r="I19" s="28"/>
      <c r="J19" s="28"/>
      <c r="K19" s="28"/>
      <c r="L19" s="28"/>
      <c r="M19" s="28"/>
      <c r="N19" s="28"/>
      <c r="O19" s="28"/>
      <c r="P19" s="28"/>
      <c r="Q19" s="28"/>
    </row>
    <row r="20" spans="1:17">
      <c r="A20" s="28" t="s">
        <v>168</v>
      </c>
      <c r="B20" s="7">
        <f>Impuestos!C31</f>
        <v>0</v>
      </c>
      <c r="C20" s="7">
        <f>Impuestos!D31</f>
        <v>0</v>
      </c>
      <c r="D20" s="7">
        <f>Impuestos!E31</f>
        <v>0</v>
      </c>
      <c r="E20" s="7">
        <f>Impuestos!F31</f>
        <v>1.4404761904761905</v>
      </c>
      <c r="F20" s="7">
        <f>Impuestos!H31</f>
        <v>0.19961728698508663</v>
      </c>
      <c r="G20" s="7">
        <f>Impuestos!I31</f>
        <v>0.26812735910577684</v>
      </c>
      <c r="H20" s="7">
        <f>Impuestos!J31</f>
        <v>0.68239248564913091</v>
      </c>
      <c r="I20" s="7">
        <f>Impuestos!K31</f>
        <v>-0.3869155467571499</v>
      </c>
      <c r="J20" s="7">
        <f>Impuestos!L31</f>
        <v>-0.14863155955843058</v>
      </c>
      <c r="K20" s="7">
        <f>Impuestos!M31</f>
        <v>-0.24167054691643677</v>
      </c>
      <c r="L20" s="7">
        <f>Impuestos!N31</f>
        <v>-0.14178165242484983</v>
      </c>
      <c r="M20" s="7">
        <f>Impuestos!O31</f>
        <v>-0.13028238352612387</v>
      </c>
      <c r="N20" s="7">
        <f>Impuestos!P31</f>
        <v>-0.12487255717109776</v>
      </c>
      <c r="O20" s="7">
        <f>Impuestos!Q31</f>
        <v>-0.1290663912971392</v>
      </c>
      <c r="P20" s="7">
        <f>Impuestos!R31</f>
        <v>-0.12433891607802755</v>
      </c>
      <c r="Q20" s="7">
        <f>Impuestos!S31</f>
        <v>0</v>
      </c>
    </row>
    <row r="22" spans="1:17">
      <c r="A22" s="28" t="s">
        <v>169</v>
      </c>
      <c r="B22" s="7">
        <f t="shared" ref="B22:G22" si="9">B7/B6</f>
        <v>-0.11524480433202136</v>
      </c>
      <c r="C22" s="7">
        <f t="shared" si="9"/>
        <v>-4.0652885043454698E-2</v>
      </c>
      <c r="D22" s="7">
        <f t="shared" si="9"/>
        <v>-5.3849605125409469E-2</v>
      </c>
      <c r="E22" s="7">
        <f t="shared" si="9"/>
        <v>-3.545523438345783E-2</v>
      </c>
      <c r="F22" s="7">
        <f t="shared" si="9"/>
        <v>-2.4591569636248759E-2</v>
      </c>
      <c r="G22" s="7">
        <f t="shared" si="9"/>
        <v>-3.4249962734140924E-2</v>
      </c>
      <c r="H22" s="7">
        <f t="shared" ref="H22:M22" si="10">H7/H6</f>
        <v>-2.0706814914208858E-2</v>
      </c>
      <c r="I22" s="7">
        <f t="shared" si="10"/>
        <v>-2.5000509498362463E-3</v>
      </c>
      <c r="J22" s="7">
        <f t="shared" si="10"/>
        <v>3.9072827068404051E-2</v>
      </c>
      <c r="K22" s="7">
        <f t="shared" si="10"/>
        <v>9.1244875991238789E-2</v>
      </c>
      <c r="L22" s="7">
        <f t="shared" si="10"/>
        <v>0.11863818721818001</v>
      </c>
      <c r="M22" s="7">
        <f t="shared" si="10"/>
        <v>0.13293963357598185</v>
      </c>
      <c r="N22" s="7">
        <f>N7/N6</f>
        <v>0.14426885901123987</v>
      </c>
      <c r="O22" s="7">
        <f>O7/O6</f>
        <v>0.15259705490519188</v>
      </c>
      <c r="P22" s="7">
        <f>P7/P6</f>
        <v>0.14723989012327765</v>
      </c>
      <c r="Q22" s="7">
        <f>Q7/Q6</f>
        <v>0.1445443026248858</v>
      </c>
    </row>
    <row r="24" spans="1:17">
      <c r="A24" s="28" t="s">
        <v>170</v>
      </c>
      <c r="B24" s="32">
        <f>Resultados!C$6/B6</f>
        <v>1.5965617087417583</v>
      </c>
      <c r="C24" s="32">
        <f>Resultados!D$6/C6</f>
        <v>1.4499593519540097</v>
      </c>
      <c r="D24" s="32">
        <f>Resultados!E$6/D6</f>
        <v>1.6523752780042551</v>
      </c>
      <c r="E24" s="32">
        <f>Resultados!F$6/E6</f>
        <v>1.4136132353085908</v>
      </c>
      <c r="F24" s="32">
        <f>Resultados!H$6/F6</f>
        <v>1.3963886377720609</v>
      </c>
      <c r="G24" s="32">
        <f>Resultados!I$6/G6</f>
        <v>1.4633464371726064</v>
      </c>
      <c r="H24" s="32">
        <f>Resultados!J$6/H6</f>
        <v>1.7646557452142699</v>
      </c>
      <c r="I24" s="32">
        <f>Resultados!K$6/I6</f>
        <v>2.0283133170866345</v>
      </c>
      <c r="J24" s="32">
        <f>Resultados!L$6/J6</f>
        <v>2.2694609916443196</v>
      </c>
      <c r="K24" s="32">
        <f>Resultados!M$6/K6</f>
        <v>2.4431612821741586</v>
      </c>
      <c r="L24" s="32">
        <f>Resultados!N$6/L6</f>
        <v>2.5285736417243547</v>
      </c>
      <c r="M24" s="32">
        <f>Resultados!O$6/M6</f>
        <v>2.494548741300644</v>
      </c>
      <c r="N24" s="32">
        <f>Resultados!P$6/N6</f>
        <v>2.4211303048036577</v>
      </c>
      <c r="O24" s="32">
        <f>Resultados!Q$6/O6</f>
        <v>2.3188801510645334</v>
      </c>
      <c r="P24" s="32">
        <f>Resultados!R$6/P6</f>
        <v>2.1871772695713458</v>
      </c>
      <c r="Q24" s="32">
        <f>Resultados!S$6/Q6</f>
        <v>0</v>
      </c>
    </row>
    <row r="25" spans="1:17">
      <c r="A25" s="28" t="s">
        <v>171</v>
      </c>
      <c r="B25" s="32">
        <f>Resultados!C$6/+KWOp.!D31</f>
        <v>6.6048121548393786</v>
      </c>
      <c r="C25" s="32">
        <f>Resultados!D$6/+KWOp.!E31</f>
        <v>3.9652881625090983</v>
      </c>
      <c r="D25" s="32">
        <f>Resultados!E$6/+KWOp.!F31</f>
        <v>4.1062942093274186</v>
      </c>
      <c r="E25" s="32">
        <f>Resultados!F$6/+KWOp.!G31</f>
        <v>3.7322298587743119</v>
      </c>
      <c r="F25" s="32">
        <f>Resultados!G$6/+KWOp.!H31</f>
        <v>3.8377460102633507</v>
      </c>
      <c r="G25" s="32">
        <f>Resultados!H$6/+KWOp.!I31</f>
        <v>4.6024244453250791</v>
      </c>
      <c r="H25" s="32">
        <f>Resultados!I$6/+KWOp.!J31</f>
        <v>4.5925838533975787</v>
      </c>
      <c r="I25" s="32">
        <f>Resultados!J$6/+KWOp.!K31</f>
        <v>4.6026316668550411</v>
      </c>
      <c r="J25" s="32">
        <f>Resultados!K$6/+KWOp.!L31</f>
        <v>4.7623453741170065</v>
      </c>
      <c r="K25" s="32">
        <f>Resultados!L$6/+KWOp.!M31</f>
        <v>5.0087051746893518</v>
      </c>
      <c r="L25" s="32">
        <f>Resultados!M$6/+KWOp.!N31</f>
        <v>4.9893968799425803</v>
      </c>
      <c r="M25" s="32">
        <f>Resultados!N$6/+KWOp.!O31</f>
        <v>4.9295334460153262</v>
      </c>
      <c r="N25" s="32">
        <f>Resultados!O$6/+KWOp.!P31</f>
        <v>4.9374516059839797</v>
      </c>
      <c r="O25" s="32">
        <f>Resultados!P$6/+KWOp.!Q31</f>
        <v>4.9482096438722794</v>
      </c>
      <c r="P25" s="32">
        <f>Resultados!Q$6/+KWOp.!R31</f>
        <v>4.9357186576111562</v>
      </c>
      <c r="Q25" s="32">
        <f>Resultados!R$6/+KWOp.!S31</f>
        <v>4.9302863246827417</v>
      </c>
    </row>
    <row r="26" spans="1:17">
      <c r="A26" s="28" t="s">
        <v>172</v>
      </c>
      <c r="B26" s="32">
        <f>Resultados!C$6/AnalVr.!C9</f>
        <v>3.2031611507896591</v>
      </c>
      <c r="C26" s="32">
        <f>Resultados!D$6/AnalVr.!E9</f>
        <v>4.2966101694915251</v>
      </c>
      <c r="D26" s="32">
        <f>Resultados!E$6/AnalVr.!G9</f>
        <v>5.0131143701882266</v>
      </c>
      <c r="E26" s="32">
        <f>Resultados!F$6/AnalVr.!I9</f>
        <v>3.0627332238735954</v>
      </c>
      <c r="F26" s="32">
        <f>Resultados!H$6/AnalVr.!K9</f>
        <v>2.4472004931983493</v>
      </c>
      <c r="G26" s="32">
        <f>Resultados!I$6/AnalVr.!M9</f>
        <v>2.9799852169522691</v>
      </c>
      <c r="H26" s="32">
        <f>Resultados!J$6/AnalVr.!O9</f>
        <v>3.6889686500368861</v>
      </c>
      <c r="I26" s="32">
        <f>Resultados!K$6/AnalVr.!Q9</f>
        <v>4.6812487723046745</v>
      </c>
      <c r="J26" s="32">
        <f>Resultados!L$6/AnalVr.!S9</f>
        <v>5.8336791905368122</v>
      </c>
      <c r="K26" s="32">
        <f>Resultados!M$6/AnalVr.!U9</f>
        <v>6.9867107956634396</v>
      </c>
      <c r="L26" s="32">
        <f>Resultados!N$6/AnalVr.!W9</f>
        <v>7.321748846834554</v>
      </c>
      <c r="M26" s="32">
        <f>Resultados!O$6/AnalVr.!Y9</f>
        <v>7.6745881790380164</v>
      </c>
      <c r="N26" s="32">
        <f>Resultados!P$6/AnalVr.!AA9</f>
        <v>8.0462381136889238</v>
      </c>
      <c r="O26" s="32">
        <f>Resultados!Q$6/AnalVr.!AC9</f>
        <v>8.4377674560787721</v>
      </c>
      <c r="P26" s="32">
        <f>Resultados!R$6/AnalVr.!AE9</f>
        <v>8.8503080813195893</v>
      </c>
      <c r="Q26" s="32">
        <f>Resultados!S$6/AnalVr.!AG9</f>
        <v>0</v>
      </c>
    </row>
    <row r="28" spans="1:17">
      <c r="A28" s="28" t="s">
        <v>173</v>
      </c>
      <c r="B28" s="7">
        <f>'Resultados%'!C7</f>
        <v>-0.93245296202809913</v>
      </c>
      <c r="C28" s="7">
        <f>'Resultados%'!D7</f>
        <v>-0.92956477337578469</v>
      </c>
      <c r="D28" s="7">
        <f>'Resultados%'!E7</f>
        <v>-0.94031929367660716</v>
      </c>
      <c r="E28" s="7">
        <f>'Resultados%'!F7</f>
        <v>-0.92972367074418827</v>
      </c>
      <c r="F28" s="7">
        <f>'Resultados%'!H7</f>
        <v>-0.9285988128719157</v>
      </c>
      <c r="G28" s="7">
        <f>'Resultados%'!I7</f>
        <v>-0.92096891517011981</v>
      </c>
      <c r="H28" s="7">
        <f>'Resultados%'!J7</f>
        <v>-0.91360538222042187</v>
      </c>
      <c r="I28" s="7">
        <f>'Resultados%'!K7</f>
        <v>-0.89724092101862973</v>
      </c>
      <c r="J28" s="7">
        <f>'Resultados%'!L7</f>
        <v>-0.879645221720184</v>
      </c>
      <c r="K28" s="7">
        <f>'Resultados%'!M7</f>
        <v>-0.87150716490735081</v>
      </c>
      <c r="L28" s="7">
        <f>'Resultados%'!N7</f>
        <v>-0.86636011395974577</v>
      </c>
      <c r="M28" s="7">
        <f>'Resultados%'!O7</f>
        <v>-0.86127442916692287</v>
      </c>
      <c r="N28" s="7">
        <f>'Resultados%'!P7</f>
        <v>-0.85624838395947156</v>
      </c>
      <c r="O28" s="7">
        <f>'Resultados%'!Q7</f>
        <v>-0.85615807335945271</v>
      </c>
      <c r="P28" s="7">
        <f>'Resultados%'!R7</f>
        <v>-0.85619635204579825</v>
      </c>
      <c r="Q28" s="7">
        <f>'Resultados%'!S7</f>
        <v>0</v>
      </c>
    </row>
    <row r="29" spans="1:17">
      <c r="A29" s="28" t="s">
        <v>174</v>
      </c>
      <c r="B29" s="7">
        <f>'Resultados%'!C11+'Resultados%'!C12</f>
        <v>-0.102629729803997</v>
      </c>
      <c r="C29" s="7">
        <f>'Resultados%'!D11+'Resultados%'!D12</f>
        <v>-8.9354785957675459E-2</v>
      </c>
      <c r="D29" s="7">
        <f>'Resultados%'!E11+'Resultados%'!E12</f>
        <v>-8.1143104062410584E-2</v>
      </c>
      <c r="E29" s="7">
        <f>'Resultados%'!F11+'Resultados%'!F12</f>
        <v>-9.4818043207340941E-2</v>
      </c>
      <c r="F29" s="7">
        <f>'Resultados%'!H11+'Resultados%'!H12</f>
        <v>-9.2038042890806526E-2</v>
      </c>
      <c r="G29" s="7">
        <f>'Resultados%'!I11+'Resultados%'!I12</f>
        <v>-8.9373785663344529E-2</v>
      </c>
      <c r="H29" s="7">
        <f>'Resultados%'!J11+'Resultados%'!J12</f>
        <v>-8.7327324262398864E-2</v>
      </c>
      <c r="I29" s="7">
        <f>'Resultados%'!K11+'Resultados%'!K12</f>
        <v>-8.5451835476990645E-2</v>
      </c>
      <c r="J29" s="7">
        <f>'Resultados%'!L11+'Resultados%'!L12</f>
        <v>-8.4076711462191422E-2</v>
      </c>
      <c r="K29" s="7">
        <f>'Resultados%'!M11+'Resultados%'!M12</f>
        <v>-8.2449288640162877E-2</v>
      </c>
      <c r="L29" s="7">
        <f>'Resultados%'!N11+'Resultados%'!N12</f>
        <v>-8.0874154817023314E-2</v>
      </c>
      <c r="M29" s="7">
        <f>'Resultados%'!O11+'Resultados%'!O12</f>
        <v>-7.9312350879979121E-2</v>
      </c>
      <c r="N29" s="7">
        <f>'Resultados%'!P11+'Resultados%'!P12</f>
        <v>-7.7764379714435172E-2</v>
      </c>
      <c r="O29" s="7">
        <f>'Resultados%'!Q11+'Resultados%'!Q12</f>
        <v>-7.6230725045150161E-2</v>
      </c>
      <c r="P29" s="7">
        <f>'Resultados%'!R11+'Resultados%'!R12</f>
        <v>-7.4711850916346467E-2</v>
      </c>
      <c r="Q29" s="7">
        <f>'Resultados%'!S11+'Resultados%'!S12</f>
        <v>0</v>
      </c>
    </row>
    <row r="30" spans="1:17" ht="15.75" thickBot="1">
      <c r="A30" s="28"/>
      <c r="B30" s="7"/>
      <c r="C30" s="7"/>
      <c r="D30" s="7"/>
      <c r="E30" s="7"/>
      <c r="F30" s="7"/>
      <c r="G30" s="7"/>
      <c r="H30" s="7"/>
      <c r="I30" s="7"/>
      <c r="J30" s="7"/>
      <c r="K30" s="7"/>
      <c r="L30" s="7"/>
      <c r="M30" s="7"/>
      <c r="N30" s="7"/>
      <c r="O30" s="7"/>
      <c r="P30" s="7"/>
      <c r="Q30" s="7"/>
    </row>
    <row r="31" spans="1:17" ht="17.25" thickTop="1" thickBot="1">
      <c r="A31" s="29" t="s">
        <v>175</v>
      </c>
      <c r="B31" s="31">
        <f>+Generadores!B9</f>
        <v>-7.218311932511845E-2</v>
      </c>
      <c r="C31" s="31">
        <f>+Generadores!C9</f>
        <v>-2.8037258416016713E-2</v>
      </c>
      <c r="D31" s="31">
        <f>+Generadores!D9</f>
        <v>-3.2589210116027167E-2</v>
      </c>
      <c r="E31" s="31">
        <f>+Generadores!E9</f>
        <v>-2.5081283549045135E-2</v>
      </c>
      <c r="F31" s="31">
        <f>+Generadores!F9</f>
        <v>-2.0016971629460104E-2</v>
      </c>
      <c r="G31" s="31">
        <f>+Generadores!G9</f>
        <v>-2.4929679468943866E-2</v>
      </c>
      <c r="H31" s="31">
        <f>+Generadores!H9</f>
        <v>-1.244511190093643E-2</v>
      </c>
      <c r="I31" s="31">
        <f>+Generadores!I9</f>
        <v>-1.3034638625917727E-3</v>
      </c>
      <c r="J31" s="31">
        <f>+Generadores!J9</f>
        <v>1.8081073907310365E-2</v>
      </c>
      <c r="K31" s="31">
        <f>+Generadores!K9</f>
        <v>3.9299114425699361E-2</v>
      </c>
      <c r="L31" s="31">
        <f>+Generadores!L9</f>
        <v>4.9358694677381625E-2</v>
      </c>
      <c r="M31" s="31">
        <f>+Generadores!M9</f>
        <v>5.6074967160407503E-2</v>
      </c>
      <c r="N31" s="31">
        <f>+Generadores!N9</f>
        <v>6.2712217329385839E-2</v>
      </c>
      <c r="O31" s="31">
        <f>+Generadores!O9</f>
        <v>6.927174420630397E-2</v>
      </c>
      <c r="P31" s="31">
        <f>+Generadores!P9</f>
        <v>7.0879340502476018E-2</v>
      </c>
      <c r="Q31" s="31">
        <f>+Generadores!Q9</f>
        <v>7.3687597379094319E-2</v>
      </c>
    </row>
    <row r="32" spans="1:17" ht="15.75" thickTop="1">
      <c r="A32" s="28"/>
      <c r="B32" s="28"/>
      <c r="C32" s="28"/>
      <c r="D32" s="28"/>
      <c r="E32" s="28"/>
      <c r="F32" s="28"/>
      <c r="G32" s="28"/>
      <c r="H32" s="28"/>
      <c r="I32" s="28"/>
      <c r="J32" s="28"/>
      <c r="K32" s="28"/>
      <c r="L32" s="28"/>
    </row>
  </sheetData>
  <phoneticPr fontId="0" type="noConversion"/>
  <printOptions horizontalCentered="1" verticalCentered="1"/>
  <pageMargins left="0.51181102362204722" right="0.51181102362204722" top="0.51181102362204722" bottom="0.51181102362204722" header="0.51181102362204722" footer="0.27559055118110237"/>
  <pageSetup scale="95" firstPageNumber="13" orientation="landscape" blackAndWhite="1" horizontalDpi="300" verticalDpi="300"/>
  <headerFooter>
    <oddHeader>&amp;C&amp;A</oddHeader>
    <oddFooter>&amp;CCia.Modelo -  EVA&amp;RPágina &amp;P</oddFooter>
  </headerFooter>
</worksheet>
</file>

<file path=xl/worksheets/sheet24.xml><?xml version="1.0" encoding="utf-8"?>
<worksheet xmlns="http://schemas.openxmlformats.org/spreadsheetml/2006/main" xmlns:r="http://schemas.openxmlformats.org/officeDocument/2006/relationships">
  <sheetPr transitionEvaluation="1" enableFormatConditionsCalculation="0">
    <pageSetUpPr fitToPage="1"/>
  </sheetPr>
  <dimension ref="A1:AH41"/>
  <sheetViews>
    <sheetView showGridLines="0" zoomScale="70" zoomScaleNormal="70" workbookViewId="0">
      <pane xSplit="2" ySplit="4" topLeftCell="C5" activePane="bottomRight" state="frozen"/>
      <selection activeCell="A33" sqref="A33"/>
      <selection pane="topRight" activeCell="A33" sqref="A33"/>
      <selection pane="bottomLeft" activeCell="A33" sqref="A33"/>
      <selection pane="bottomRight" activeCell="C15" sqref="C15"/>
    </sheetView>
  </sheetViews>
  <sheetFormatPr baseColWidth="10" defaultColWidth="8.88671875" defaultRowHeight="15"/>
  <cols>
    <col min="1" max="1" width="3.6640625" customWidth="1"/>
    <col min="2" max="2" width="26.33203125" bestFit="1" customWidth="1"/>
    <col min="3" max="3" width="10.44140625" bestFit="1" customWidth="1"/>
    <col min="4" max="4" width="7" customWidth="1"/>
    <col min="5" max="5" width="10.44140625" bestFit="1" customWidth="1"/>
    <col min="6" max="6" width="7" customWidth="1"/>
    <col min="7" max="7" width="10.5546875" bestFit="1" customWidth="1"/>
    <col min="8" max="8" width="7" customWidth="1"/>
    <col min="9" max="9" width="10.44140625" bestFit="1" customWidth="1"/>
    <col min="10" max="10" width="7" customWidth="1"/>
    <col min="11" max="11" width="10.44140625" bestFit="1" customWidth="1"/>
    <col min="12" max="12" width="8" bestFit="1" customWidth="1"/>
    <col min="13" max="13" width="10.44140625" bestFit="1" customWidth="1"/>
    <col min="14" max="14" width="8" bestFit="1" customWidth="1"/>
    <col min="15" max="15" width="10.44140625" bestFit="1" customWidth="1"/>
    <col min="16" max="16" width="8" bestFit="1" customWidth="1"/>
    <col min="17" max="17" width="10.44140625" bestFit="1" customWidth="1"/>
    <col min="18" max="18" width="8.109375" bestFit="1" customWidth="1"/>
    <col min="19" max="19" width="10.44140625" bestFit="1" customWidth="1"/>
    <col min="20" max="20" width="8.109375" bestFit="1" customWidth="1"/>
    <col min="21" max="21" width="10.44140625" bestFit="1" customWidth="1"/>
    <col min="22" max="22" width="8.109375" bestFit="1" customWidth="1"/>
    <col min="23" max="23" width="10.44140625" bestFit="1" customWidth="1"/>
    <col min="24" max="24" width="8.109375" bestFit="1" customWidth="1"/>
    <col min="25" max="25" width="10.44140625" bestFit="1" customWidth="1"/>
    <col min="26" max="26" width="9" bestFit="1" customWidth="1"/>
    <col min="27" max="27" width="10.44140625" bestFit="1" customWidth="1"/>
    <col min="28" max="28" width="9" bestFit="1" customWidth="1"/>
    <col min="29" max="29" width="10.44140625" bestFit="1" customWidth="1"/>
    <col min="30" max="30" width="9" bestFit="1" customWidth="1"/>
    <col min="31" max="31" width="10.44140625" bestFit="1" customWidth="1"/>
    <col min="32" max="32" width="9" bestFit="1" customWidth="1"/>
    <col min="33" max="33" width="10.44140625" bestFit="1" customWidth="1"/>
    <col min="34" max="34" width="9" bestFit="1" customWidth="1"/>
  </cols>
  <sheetData>
    <row r="1" spans="1:34" ht="15.75">
      <c r="A1" s="1" t="str">
        <f>+Balance!A1</f>
        <v>ENKA de Colombia S.A.</v>
      </c>
      <c r="B1" s="2"/>
      <c r="C1" s="2"/>
      <c r="D1" s="2"/>
      <c r="E1" s="2"/>
      <c r="F1" s="2"/>
      <c r="G1" s="2"/>
      <c r="H1" s="2"/>
      <c r="I1" s="2"/>
    </row>
    <row r="2" spans="1:34" ht="15.75">
      <c r="A2" s="1" t="s">
        <v>144</v>
      </c>
      <c r="B2" s="2"/>
      <c r="C2" s="2"/>
      <c r="D2" s="2"/>
      <c r="E2" s="2"/>
      <c r="F2" s="2"/>
      <c r="G2" s="2"/>
      <c r="H2" s="2"/>
      <c r="I2" s="2"/>
    </row>
    <row r="3" spans="1:34" ht="15.75">
      <c r="A3" s="1"/>
      <c r="B3" s="2"/>
      <c r="C3" s="2"/>
      <c r="D3" s="2"/>
      <c r="E3" s="2"/>
      <c r="F3" s="2"/>
      <c r="G3" s="2"/>
      <c r="H3" s="2"/>
      <c r="I3" s="2"/>
    </row>
    <row r="4" spans="1:34" ht="16.5" thickBot="1">
      <c r="A4" s="2"/>
      <c r="B4" s="2"/>
      <c r="C4" s="3">
        <f>'KWOp.%'!$C$4</f>
        <v>2009</v>
      </c>
      <c r="D4" s="3"/>
      <c r="E4" s="3">
        <f>C4+1</f>
        <v>2010</v>
      </c>
      <c r="F4" s="3"/>
      <c r="G4" s="3">
        <f>E4+1</f>
        <v>2011</v>
      </c>
      <c r="H4" s="3"/>
      <c r="I4" s="3">
        <f>G4+1</f>
        <v>2012</v>
      </c>
      <c r="J4" s="3"/>
      <c r="K4" s="3">
        <f>I4+1</f>
        <v>2013</v>
      </c>
      <c r="L4" s="3"/>
      <c r="M4" s="3">
        <f>K4+1</f>
        <v>2014</v>
      </c>
      <c r="N4" s="3"/>
      <c r="O4" s="3">
        <f>M4+1</f>
        <v>2015</v>
      </c>
      <c r="P4" s="3"/>
      <c r="Q4" s="3">
        <f>O4+1</f>
        <v>2016</v>
      </c>
      <c r="R4" s="3"/>
      <c r="S4" s="3">
        <f>Q4+1</f>
        <v>2017</v>
      </c>
      <c r="T4" s="3"/>
      <c r="U4" s="3">
        <f>S4+1</f>
        <v>2018</v>
      </c>
      <c r="V4" s="3"/>
      <c r="W4" s="3">
        <f>U4+1</f>
        <v>2019</v>
      </c>
      <c r="X4" s="3"/>
      <c r="Y4" s="3">
        <f>W4+1</f>
        <v>2020</v>
      </c>
      <c r="Z4" s="3"/>
      <c r="AA4" s="3">
        <f>Y4+1</f>
        <v>2021</v>
      </c>
      <c r="AB4" s="3"/>
      <c r="AC4" s="3">
        <f>AA4+1</f>
        <v>2022</v>
      </c>
      <c r="AD4" s="3"/>
      <c r="AE4" s="3">
        <f>AC4+1</f>
        <v>2023</v>
      </c>
      <c r="AF4" s="3"/>
      <c r="AG4" s="3">
        <f>AE4+1</f>
        <v>2024</v>
      </c>
      <c r="AH4" s="3"/>
    </row>
    <row r="6" spans="1:34" ht="15.75">
      <c r="A6" s="27" t="s">
        <v>145</v>
      </c>
      <c r="B6" s="28"/>
      <c r="C6" s="28"/>
      <c r="D6" s="28"/>
      <c r="E6" s="28"/>
      <c r="F6" s="28"/>
      <c r="G6" s="28"/>
      <c r="H6" s="28"/>
      <c r="I6" s="28"/>
      <c r="K6" s="28"/>
      <c r="M6" s="28"/>
      <c r="O6" s="28"/>
      <c r="Q6" s="28"/>
      <c r="S6" s="28"/>
      <c r="U6" s="28"/>
      <c r="W6" s="28"/>
      <c r="Y6" s="28"/>
      <c r="AA6" s="28"/>
      <c r="AC6" s="28"/>
      <c r="AE6" s="28"/>
      <c r="AG6" s="28"/>
    </row>
    <row r="7" spans="1:34" ht="15.75">
      <c r="A7" s="27"/>
      <c r="B7" s="28" t="s">
        <v>1178</v>
      </c>
      <c r="C7" s="581">
        <f>HLOOKUP(C$4,Balance!$C$4:$S$8,4,0)+HLOOKUP(C$4,Balance!$C$4:$S$8,5,0)</f>
        <v>84087</v>
      </c>
      <c r="D7" s="28"/>
      <c r="E7" s="581">
        <f>HLOOKUP(E$4,Balance!$C$4:$S$8,4,0)+HLOOKUP(E$4,Balance!$C$4:$S$8,5,0)</f>
        <v>57428</v>
      </c>
      <c r="F7" s="28"/>
      <c r="G7" s="581">
        <f>HLOOKUP(G$4,Balance!$C$4:$S$8,4,0)+HLOOKUP(G$4,Balance!$C$4:$S$8,5,0)</f>
        <v>47161</v>
      </c>
      <c r="H7" s="28"/>
      <c r="I7" s="581">
        <f>HLOOKUP(I$4,Balance!$C$4:$S$8,4,0)+HLOOKUP(I$4,Balance!$C$4:$S$8,5,0)</f>
        <v>47054</v>
      </c>
      <c r="K7" s="581">
        <f>HLOOKUP(K$4,Balance!$C$4:$S$8,4,0)+HLOOKUP(K$4,Balance!$C$4:$S$8,5,0)</f>
        <v>23069</v>
      </c>
      <c r="M7" s="581">
        <f>HLOOKUP(M$4,Balance!$C$4:$S$8,4,0)+HLOOKUP(M$4,Balance!$C$4:$S$8,5,0)</f>
        <v>15674.170002972947</v>
      </c>
      <c r="O7" s="581">
        <f>HLOOKUP(O$4,Balance!$C$4:$S$8,4,0)+HLOOKUP(O$4,Balance!$C$4:$S$8,5,0)</f>
        <v>11346.269253165798</v>
      </c>
      <c r="Q7" s="581">
        <f>HLOOKUP(Q$4,Balance!$C$4:$S$8,4,0)+HLOOKUP(Q$4,Balance!$C$4:$S$8,5,0)</f>
        <v>11766.986153600745</v>
      </c>
      <c r="S7" s="581">
        <f>HLOOKUP(S$4,Balance!$C$4:$S$8,4,0)+HLOOKUP(S$4,Balance!$C$4:$S$8,5,0)</f>
        <v>18654.226546341</v>
      </c>
      <c r="U7" s="581">
        <f>HLOOKUP(U$4,Balance!$C$4:$S$8,4,0)+HLOOKUP(U$4,Balance!$C$4:$S$8,5,0)</f>
        <v>29597.186315124367</v>
      </c>
      <c r="W7" s="581">
        <f>HLOOKUP(W$4,Balance!$C$4:$S$8,4,0)+HLOOKUP(W$4,Balance!$C$4:$S$8,5,0)</f>
        <v>36318.621654397793</v>
      </c>
      <c r="Y7" s="581">
        <f>HLOOKUP(Y$4,Balance!$C$4:$S$8,4,0)+HLOOKUP(Y$4,Balance!$C$4:$S$8,5,0)</f>
        <v>46080.199962642444</v>
      </c>
      <c r="AA7" s="581">
        <f>HLOOKUP(AA$4,Balance!$C$4:$S$8,4,0)+HLOOKUP(AA$4,Balance!$C$4:$S$8,5,0)</f>
        <v>60923.029318377303</v>
      </c>
      <c r="AC7" s="581">
        <f>HLOOKUP(AC$4,Balance!$C$4:$S$8,4,0)+HLOOKUP(AC$4,Balance!$C$4:$S$8,5,0)</f>
        <v>81223.274778407969</v>
      </c>
      <c r="AE7" s="581">
        <f>HLOOKUP(AE$4,Balance!$C$4:$S$8,4,0)+HLOOKUP(AE$4,Balance!$C$4:$S$8,5,0)</f>
        <v>103409.89978319222</v>
      </c>
      <c r="AG7" s="581">
        <f>HLOOKUP(AG$4,Balance!$C$4:$S$8,4,0)+HLOOKUP(AG$4,Balance!$C$4:$S$8,5,0)</f>
        <v>132749.91058530868</v>
      </c>
    </row>
    <row r="8" spans="1:34">
      <c r="A8" s="28"/>
      <c r="B8" s="28" t="s">
        <v>47</v>
      </c>
      <c r="C8" s="35">
        <f>KWOp.!D31</f>
        <v>38569</v>
      </c>
      <c r="D8" s="35"/>
      <c r="E8" s="35">
        <f>KWOp.!E31</f>
        <v>75565</v>
      </c>
      <c r="F8" s="35"/>
      <c r="G8" s="35">
        <f>KWOp.!F31</f>
        <v>83410</v>
      </c>
      <c r="H8" s="35"/>
      <c r="I8" s="35">
        <f>KWOp.!G31</f>
        <v>76969</v>
      </c>
      <c r="K8" s="35">
        <f>KWOp.!H31</f>
        <v>70932</v>
      </c>
      <c r="M8" s="35">
        <f>KWOp.!I31</f>
        <v>67228.000814183673</v>
      </c>
      <c r="O8" s="35">
        <f>KWOp.!J31</f>
        <v>71760.179383800118</v>
      </c>
      <c r="Q8" s="35">
        <f>KWOp.!K31</f>
        <v>75941.625331324016</v>
      </c>
      <c r="S8" s="35">
        <f>KWOp.!L31</f>
        <v>77615.846568554625</v>
      </c>
      <c r="U8" s="35">
        <f>KWOp.!M31</f>
        <v>77502.895242122511</v>
      </c>
      <c r="W8" s="35">
        <f>KWOp.!N31</f>
        <v>81869.428777416921</v>
      </c>
      <c r="Y8" s="35">
        <f>KWOp.!O31</f>
        <v>87172.352056163494</v>
      </c>
      <c r="AA8" s="35">
        <f>KWOp.!P31</f>
        <v>91577.392659342659</v>
      </c>
      <c r="AC8" s="35">
        <f>KWOp.!Q31</f>
        <v>96170.252896279781</v>
      </c>
      <c r="AE8" s="35">
        <f>KWOp.!R31</f>
        <v>101490.81202658126</v>
      </c>
      <c r="AG8" s="35">
        <f>KWOp.!S31</f>
        <v>106975.21039028528</v>
      </c>
    </row>
    <row r="9" spans="1:34">
      <c r="A9" s="28"/>
      <c r="B9" s="28" t="s">
        <v>146</v>
      </c>
      <c r="C9" s="35">
        <f>CapitalFijo!C8</f>
        <v>79528</v>
      </c>
      <c r="D9" s="35"/>
      <c r="E9" s="35">
        <f>CapitalFijo!D8</f>
        <v>69738</v>
      </c>
      <c r="F9" s="35"/>
      <c r="G9" s="35">
        <f>CapitalFijo!E8</f>
        <v>68322</v>
      </c>
      <c r="H9" s="35"/>
      <c r="I9" s="35">
        <f>CapitalFijo!F8</f>
        <v>93794</v>
      </c>
      <c r="K9" s="35">
        <f>CapitalFijo!G8</f>
        <v>126435</v>
      </c>
      <c r="M9" s="35">
        <f>CapitalFijo!H8</f>
        <v>110592.71008465305</v>
      </c>
      <c r="O9" s="35">
        <f>CapitalFijo!I8</f>
        <v>94750.420169306104</v>
      </c>
      <c r="Q9" s="35">
        <f>CapitalFijo!J8</f>
        <v>78960.441079475742</v>
      </c>
      <c r="S9" s="35">
        <f>CapitalFijo!K8</f>
        <v>66542.766541281948</v>
      </c>
      <c r="U9" s="35">
        <f>CapitalFijo!L8</f>
        <v>58465.146826781915</v>
      </c>
      <c r="W9" s="35">
        <f>CapitalFijo!M8</f>
        <v>58690.762824303005</v>
      </c>
      <c r="Y9" s="35">
        <f>CapitalFijo!N8</f>
        <v>58916.378821824095</v>
      </c>
      <c r="AA9" s="35">
        <f>CapitalFijo!O8</f>
        <v>59141.994819345127</v>
      </c>
      <c r="AC9" s="35">
        <f>CapitalFijo!P8</f>
        <v>59367.610816866218</v>
      </c>
      <c r="AE9" s="35">
        <f>CapitalFijo!Q8</f>
        <v>59593.22681438725</v>
      </c>
      <c r="AG9" s="35">
        <f>CapitalFijo!R8</f>
        <v>59606.50794876297</v>
      </c>
    </row>
    <row r="10" spans="1:34">
      <c r="A10" s="28"/>
      <c r="B10" s="28" t="s">
        <v>147</v>
      </c>
      <c r="C10" s="35">
        <v>0</v>
      </c>
      <c r="D10" s="35"/>
      <c r="E10" s="35">
        <v>0</v>
      </c>
      <c r="F10" s="35"/>
      <c r="G10" s="35">
        <v>0</v>
      </c>
      <c r="H10" s="35"/>
      <c r="I10" s="35">
        <v>0</v>
      </c>
      <c r="K10" s="35">
        <v>0</v>
      </c>
      <c r="M10" s="35">
        <v>0</v>
      </c>
      <c r="O10" s="35">
        <v>0</v>
      </c>
      <c r="Q10" s="35">
        <v>0</v>
      </c>
      <c r="S10" s="35">
        <v>0</v>
      </c>
      <c r="U10" s="35">
        <v>0</v>
      </c>
      <c r="W10" s="35">
        <v>0</v>
      </c>
      <c r="Y10" s="35">
        <v>0</v>
      </c>
      <c r="AA10" s="35">
        <v>0</v>
      </c>
      <c r="AC10" s="35">
        <v>0</v>
      </c>
      <c r="AE10" s="35">
        <v>0</v>
      </c>
      <c r="AG10" s="35">
        <v>0</v>
      </c>
    </row>
    <row r="11" spans="1:34">
      <c r="A11" s="28"/>
      <c r="B11" s="28" t="s">
        <v>306</v>
      </c>
      <c r="C11" s="35">
        <f>HLOOKUP(C$4,Balance!$C$4:$S$22,17,0)</f>
        <v>1299</v>
      </c>
      <c r="D11" s="35"/>
      <c r="E11" s="35">
        <f>HLOOKUP(E$4,Balance!$C$4:$S$22,17,0)</f>
        <v>1051</v>
      </c>
      <c r="F11" s="35"/>
      <c r="G11" s="35">
        <f>HLOOKUP(G$4,Balance!$C$4:$S$22,17,0)</f>
        <v>822</v>
      </c>
      <c r="H11" s="35"/>
      <c r="I11" s="35">
        <f>HLOOKUP(I$4,Balance!$C$4:$S$22,17,0)</f>
        <v>594</v>
      </c>
      <c r="K11" s="35">
        <f>HLOOKUP(K$4,Balance!$C$4:$S$22,17,0)</f>
        <v>397</v>
      </c>
      <c r="M11" s="35">
        <f>HLOOKUP(M$4,Balance!$C$4:$S$22,17,0)</f>
        <v>198.5</v>
      </c>
      <c r="O11" s="35">
        <f>HLOOKUP(O$4,Balance!$C$4:$S$22,17,0)</f>
        <v>0</v>
      </c>
      <c r="Q11" s="35">
        <f>HLOOKUP(Q$4,Balance!$C$4:$S$22,17,0)</f>
        <v>0</v>
      </c>
      <c r="S11" s="35">
        <f>HLOOKUP(S$4,Balance!$C$4:$S$22,17,0)</f>
        <v>0</v>
      </c>
      <c r="U11" s="35">
        <f>HLOOKUP(U$4,Balance!$C$4:$S$22,17,0)</f>
        <v>0</v>
      </c>
      <c r="W11" s="35">
        <f>HLOOKUP(W$4,Balance!$C$4:$S$22,17,0)</f>
        <v>0</v>
      </c>
      <c r="Y11" s="35">
        <f>HLOOKUP(Y$4,Balance!$C$4:$S$22,17,0)</f>
        <v>0</v>
      </c>
      <c r="AA11" s="35">
        <f>HLOOKUP(AA$4,Balance!$C$4:$S$22,17,0)</f>
        <v>0</v>
      </c>
      <c r="AC11" s="35">
        <f>HLOOKUP(AC$4,Balance!$C$4:$S$22,17,0)</f>
        <v>0</v>
      </c>
      <c r="AE11" s="35">
        <f>HLOOKUP(AE$4,Balance!$C$4:$S$22,17,0)</f>
        <v>0</v>
      </c>
      <c r="AG11" s="35">
        <f>HLOOKUP(AG$4,Balance!$C$4:$S$22,17,0)</f>
        <v>0</v>
      </c>
    </row>
    <row r="12" spans="1:34">
      <c r="A12" s="28"/>
      <c r="B12" s="28" t="s">
        <v>1073</v>
      </c>
      <c r="C12" s="35">
        <f>HLOOKUP(C$4,Balance!$C$4:$S$22,18,0)</f>
        <v>0</v>
      </c>
      <c r="D12" s="35"/>
      <c r="E12" s="35">
        <f>HLOOKUP(E$4,Balance!$C$4:$S$22,18,0)</f>
        <v>0</v>
      </c>
      <c r="F12" s="35"/>
      <c r="G12" s="35">
        <f>HLOOKUP(G$4,Balance!$C$4:$S$22,18,0)</f>
        <v>0</v>
      </c>
      <c r="H12" s="35"/>
      <c r="I12" s="35">
        <f>HLOOKUP(I$4,Balance!$C$4:$S$22,18,0)</f>
        <v>0</v>
      </c>
      <c r="K12" s="35">
        <f>HLOOKUP(K$4,Balance!$C$4:$S$22,18,0)</f>
        <v>1211</v>
      </c>
      <c r="M12" s="35">
        <f>HLOOKUP(M$4,Balance!$C$4:$S$22,18,0)</f>
        <v>1211</v>
      </c>
      <c r="O12" s="35">
        <f>HLOOKUP(O$4,Balance!$C$4:$S$22,18,0)</f>
        <v>1211</v>
      </c>
      <c r="Q12" s="35">
        <f>HLOOKUP(Q$4,Balance!$C$4:$S$22,18,0)</f>
        <v>1211</v>
      </c>
      <c r="S12" s="35">
        <f>HLOOKUP(S$4,Balance!$C$4:$S$22,18,0)</f>
        <v>1211</v>
      </c>
      <c r="U12" s="35">
        <f>HLOOKUP(U$4,Balance!$C$4:$S$22,18,0)</f>
        <v>1211</v>
      </c>
      <c r="W12" s="35">
        <f>HLOOKUP(W$4,Balance!$C$4:$S$22,18,0)</f>
        <v>1211</v>
      </c>
      <c r="Y12" s="35">
        <f>HLOOKUP(Y$4,Balance!$C$4:$S$22,18,0)</f>
        <v>1211</v>
      </c>
      <c r="AA12" s="35">
        <f>HLOOKUP(AA$4,Balance!$C$4:$S$22,18,0)</f>
        <v>1211</v>
      </c>
      <c r="AC12" s="35">
        <f>HLOOKUP(AC$4,Balance!$C$4:$S$22,18,0)</f>
        <v>1211</v>
      </c>
      <c r="AE12" s="35">
        <f>HLOOKUP(AE$4,Balance!$C$4:$S$22,18,0)</f>
        <v>1211</v>
      </c>
      <c r="AG12" s="35">
        <f>HLOOKUP(AG$4,Balance!$C$4:$S$22,18,0)</f>
        <v>1211</v>
      </c>
    </row>
    <row r="13" spans="1:34">
      <c r="A13" s="28"/>
      <c r="B13" s="28" t="s">
        <v>304</v>
      </c>
      <c r="C13" s="35">
        <f>HLOOKUP(C$4,Balance!$C$4:$S$22,19,0)</f>
        <v>3169</v>
      </c>
      <c r="D13" s="35"/>
      <c r="E13" s="35">
        <f>HLOOKUP(E$4,Balance!$C$4:$S$22,19,0)</f>
        <v>3499</v>
      </c>
      <c r="F13" s="35"/>
      <c r="G13" s="35">
        <f>HLOOKUP(G$4,Balance!$C$4:$S$22,19,0)</f>
        <v>3499</v>
      </c>
      <c r="H13" s="35"/>
      <c r="I13" s="35">
        <f>HLOOKUP(I$4,Balance!$C$4:$S$22,19,0)</f>
        <v>3169</v>
      </c>
      <c r="K13" s="35">
        <f>HLOOKUP(K$4,Balance!$C$4:$S$22,19,0)</f>
        <v>3169</v>
      </c>
      <c r="M13" s="35">
        <f>HLOOKUP(M$4,Balance!$C$4:$S$22,19,0)</f>
        <v>3169</v>
      </c>
      <c r="O13" s="35">
        <f>HLOOKUP(O$4,Balance!$C$4:$S$22,19,0)</f>
        <v>3169</v>
      </c>
      <c r="Q13" s="35">
        <f>HLOOKUP(Q$4,Balance!$C$4:$S$22,19,0)</f>
        <v>3169</v>
      </c>
      <c r="S13" s="35">
        <f>HLOOKUP(S$4,Balance!$C$4:$S$22,19,0)</f>
        <v>3169</v>
      </c>
      <c r="U13" s="35">
        <f>HLOOKUP(U$4,Balance!$C$4:$S$22,19,0)</f>
        <v>3169</v>
      </c>
      <c r="W13" s="35">
        <f>HLOOKUP(W$4,Balance!$C$4:$S$22,19,0)</f>
        <v>3169</v>
      </c>
      <c r="Y13" s="35">
        <f>HLOOKUP(Y$4,Balance!$C$4:$S$22,19,0)</f>
        <v>3169</v>
      </c>
      <c r="AA13" s="35">
        <f>HLOOKUP(AA$4,Balance!$C$4:$S$22,19,0)</f>
        <v>3169</v>
      </c>
      <c r="AC13" s="35">
        <f>HLOOKUP(AC$4,Balance!$C$4:$S$22,19,0)</f>
        <v>3169</v>
      </c>
      <c r="AE13" s="35">
        <f>HLOOKUP(AE$4,Balance!$C$4:$S$22,19,0)</f>
        <v>3169</v>
      </c>
      <c r="AG13" s="35">
        <f>HLOOKUP(AG$4,Balance!$C$4:$S$22,19,0)</f>
        <v>3169</v>
      </c>
    </row>
    <row r="14" spans="1:34" ht="15.75" thickBot="1">
      <c r="A14" s="28"/>
      <c r="B14" s="28"/>
      <c r="C14" s="35"/>
      <c r="D14" s="35"/>
      <c r="E14" s="35"/>
      <c r="F14" s="35"/>
      <c r="G14" s="35"/>
      <c r="H14" s="35"/>
      <c r="I14" s="35"/>
      <c r="K14" s="35"/>
      <c r="M14" s="35"/>
      <c r="O14" s="35"/>
      <c r="Q14" s="35"/>
      <c r="S14" s="35"/>
      <c r="U14" s="35"/>
      <c r="W14" s="35"/>
      <c r="Y14" s="35"/>
      <c r="AA14" s="35"/>
      <c r="AC14" s="35"/>
      <c r="AE14" s="35"/>
      <c r="AG14" s="35"/>
    </row>
    <row r="15" spans="1:34" ht="17.25" thickTop="1" thickBot="1">
      <c r="A15" s="29" t="s">
        <v>148</v>
      </c>
      <c r="B15" s="30"/>
      <c r="C15" s="36">
        <f>SUM(C7:C13)</f>
        <v>206652</v>
      </c>
      <c r="D15" s="36"/>
      <c r="E15" s="36">
        <f>SUM(E7:E13)</f>
        <v>207281</v>
      </c>
      <c r="F15" s="36"/>
      <c r="G15" s="36">
        <f>SUM(G7:G13)</f>
        <v>203214</v>
      </c>
      <c r="H15" s="36"/>
      <c r="I15" s="36">
        <f>SUM(I7:I13)</f>
        <v>221580</v>
      </c>
      <c r="J15" s="36"/>
      <c r="K15" s="36">
        <f>SUM(K7:K13)</f>
        <v>225213</v>
      </c>
      <c r="L15" s="36"/>
      <c r="M15" s="36">
        <f>SUM(M7:M13)</f>
        <v>198073.38090180967</v>
      </c>
      <c r="N15" s="36"/>
      <c r="O15" s="36">
        <f>SUM(O7:O13)</f>
        <v>182236.86880627202</v>
      </c>
      <c r="P15" s="36"/>
      <c r="Q15" s="36">
        <f>SUM(Q7:Q13)</f>
        <v>171049.05256440051</v>
      </c>
      <c r="R15" s="36"/>
      <c r="S15" s="36">
        <f>SUM(S7:S13)</f>
        <v>167192.83965617756</v>
      </c>
      <c r="T15" s="36"/>
      <c r="U15" s="36">
        <f>SUM(U7:U13)</f>
        <v>169945.2283840288</v>
      </c>
      <c r="V15" s="36"/>
      <c r="W15" s="36">
        <f>SUM(W7:W13)</f>
        <v>181258.81325611772</v>
      </c>
      <c r="X15" s="36"/>
      <c r="Y15" s="36">
        <f>SUM(Y7:Y13)</f>
        <v>196548.93084063003</v>
      </c>
      <c r="Z15" s="36"/>
      <c r="AA15" s="36">
        <f>SUM(AA7:AA13)</f>
        <v>216022.41679706509</v>
      </c>
      <c r="AB15" s="36"/>
      <c r="AC15" s="36">
        <f>SUM(AC7:AC13)</f>
        <v>241141.13849155395</v>
      </c>
      <c r="AD15" s="36"/>
      <c r="AE15" s="36">
        <f>SUM(AE7:AE13)</f>
        <v>268873.93862416071</v>
      </c>
      <c r="AF15" s="36"/>
      <c r="AG15" s="36">
        <f>SUM(AG7:AG13)</f>
        <v>303711.62892435695</v>
      </c>
      <c r="AH15" s="36"/>
    </row>
    <row r="16" spans="1:34" ht="15.75" thickTop="1">
      <c r="A16" s="28"/>
      <c r="B16" s="28"/>
      <c r="C16" s="35"/>
      <c r="D16" s="35"/>
      <c r="E16" s="35"/>
      <c r="F16" s="35"/>
      <c r="G16" s="35"/>
      <c r="H16" s="35"/>
      <c r="I16" s="35"/>
      <c r="K16" s="35"/>
    </row>
    <row r="17" spans="1:34" ht="15.75">
      <c r="A17" s="27" t="s">
        <v>149</v>
      </c>
      <c r="B17" s="28"/>
      <c r="C17" s="35"/>
      <c r="D17" s="35"/>
      <c r="E17" s="35"/>
      <c r="F17" s="35"/>
      <c r="G17" s="35"/>
      <c r="H17" s="35"/>
      <c r="I17" s="35"/>
      <c r="K17" s="35"/>
    </row>
    <row r="18" spans="1:34" ht="15.75">
      <c r="A18" s="27"/>
      <c r="B18" s="28" t="s">
        <v>150</v>
      </c>
      <c r="C18" s="35">
        <f>+PasivoFciero!D20</f>
        <v>17457</v>
      </c>
      <c r="D18" s="49">
        <f>+C18/C$28</f>
        <v>8.4475349863538704E-2</v>
      </c>
      <c r="E18" s="35">
        <f>+PasivoFciero!E20</f>
        <v>17621</v>
      </c>
      <c r="F18" s="49">
        <f>+E18/E$28</f>
        <v>8.501020354012187E-2</v>
      </c>
      <c r="G18" s="35">
        <f>+PasivoFciero!F20</f>
        <v>19674</v>
      </c>
      <c r="H18" s="49">
        <f>+G18/G$28</f>
        <v>9.6814195872331629E-2</v>
      </c>
      <c r="I18" s="35">
        <f>+PasivoFciero!G20</f>
        <v>19297</v>
      </c>
      <c r="J18" s="49">
        <f>+I18/I$28</f>
        <v>8.7088184854228715E-2</v>
      </c>
      <c r="K18" s="35">
        <f>+PasivoFciero!H20</f>
        <v>18529</v>
      </c>
      <c r="L18" s="49">
        <f>+K18/K$28</f>
        <v>8.2273225790695917E-2</v>
      </c>
      <c r="M18" s="35">
        <f>+PasivoFciero!I20</f>
        <v>8189</v>
      </c>
      <c r="N18" s="49">
        <f>+M18/M$28</f>
        <v>4.1343263606226366E-2</v>
      </c>
      <c r="O18" s="35">
        <f>PasivoFciero!J20</f>
        <v>7019</v>
      </c>
      <c r="P18" s="49">
        <f>+O18/O$28</f>
        <v>3.8515806631102684E-2</v>
      </c>
      <c r="Q18" s="35">
        <f>PasivoFciero!K20</f>
        <v>5849.0000000000118</v>
      </c>
      <c r="R18" s="49">
        <f>+Q18/Q$28</f>
        <v>3.4194869321464649E-2</v>
      </c>
      <c r="S18" s="35">
        <f>PasivoFciero!L20</f>
        <v>4679.0000000000027</v>
      </c>
      <c r="T18" s="49">
        <f>+S18/S$28</f>
        <v>2.7985648246791534E-2</v>
      </c>
      <c r="U18" s="35">
        <f>PasivoFciero!M20</f>
        <v>3509.0000000000009</v>
      </c>
      <c r="V18" s="49">
        <f>+U18/U$28</f>
        <v>2.0647828911504601E-2</v>
      </c>
      <c r="W18" s="35">
        <f>PasivoFciero!N20</f>
        <v>2339</v>
      </c>
      <c r="X18" s="49">
        <f>+W18/W$28</f>
        <v>1.290420012126531E-2</v>
      </c>
      <c r="Y18" s="35">
        <f>PasivoFciero!O20</f>
        <v>1169</v>
      </c>
      <c r="Z18" s="49">
        <f>+Y18/Y$28</f>
        <v>5.9476283844447546E-3</v>
      </c>
      <c r="AA18" s="35">
        <f>PasivoFciero!P20</f>
        <v>1.546140993013978E-11</v>
      </c>
      <c r="AB18" s="49">
        <f>+AA18/AA$28</f>
        <v>7.1573173559411087E-17</v>
      </c>
      <c r="AC18" s="35">
        <f>PasivoFciero!Q20</f>
        <v>7.73070496506989E-12</v>
      </c>
      <c r="AD18" s="49">
        <f>+AC18/AC$28</f>
        <v>3.2058839123962492E-17</v>
      </c>
      <c r="AE18" s="35">
        <f>PasivoFciero!R20</f>
        <v>3.637978807091713E-12</v>
      </c>
      <c r="AF18" s="49">
        <f>+AE18/AE$28</f>
        <v>1.3530425543313732E-17</v>
      </c>
      <c r="AG18" s="35">
        <f>PasivoFciero!S20</f>
        <v>0</v>
      </c>
      <c r="AH18" s="49">
        <f>+AG18/AG$28</f>
        <v>0</v>
      </c>
    </row>
    <row r="19" spans="1:34">
      <c r="A19" s="28"/>
      <c r="B19" s="28" t="s">
        <v>151</v>
      </c>
      <c r="C19" s="35">
        <f>+PasivoFciero!D21</f>
        <v>0</v>
      </c>
      <c r="D19" s="49">
        <f>+C19/C$28</f>
        <v>0</v>
      </c>
      <c r="E19" s="35">
        <f>+PasivoFciero!E21</f>
        <v>0</v>
      </c>
      <c r="F19" s="49">
        <f>+E19/E$28</f>
        <v>0</v>
      </c>
      <c r="G19" s="35">
        <f>+PasivoFciero!F21</f>
        <v>6362</v>
      </c>
      <c r="H19" s="49">
        <f>+G19/G$28</f>
        <v>3.1306898146781226E-2</v>
      </c>
      <c r="I19" s="35">
        <f>+PasivoFciero!G21</f>
        <v>29089</v>
      </c>
      <c r="J19" s="49">
        <f>+I19/I$28</f>
        <v>0.13127989890784367</v>
      </c>
      <c r="K19" s="35">
        <f>+PasivoFciero!H21</f>
        <v>43930</v>
      </c>
      <c r="L19" s="49">
        <f>+K19/K$28</f>
        <v>0.19505978784528424</v>
      </c>
      <c r="M19" s="35">
        <f>+PasivoFciero!I21</f>
        <v>40426</v>
      </c>
      <c r="N19" s="49">
        <f>+M19/M$28</f>
        <v>0.20409607699906057</v>
      </c>
      <c r="O19" s="35">
        <f>PasivoFciero!J21</f>
        <v>35527</v>
      </c>
      <c r="P19" s="49">
        <f>+O19/O$28</f>
        <v>0.19494957432443152</v>
      </c>
      <c r="Q19" s="35">
        <f>PasivoFciero!K21</f>
        <v>30360</v>
      </c>
      <c r="R19" s="49">
        <f>+Q19/Q$28</f>
        <v>0.17749294453747044</v>
      </c>
      <c r="S19" s="35">
        <f>PasivoFciero!L21</f>
        <v>24908</v>
      </c>
      <c r="T19" s="49">
        <f>+S19/S$28</f>
        <v>0.14897767183823105</v>
      </c>
      <c r="U19" s="35">
        <f>PasivoFciero!M21</f>
        <v>19154</v>
      </c>
      <c r="V19" s="49">
        <f>+U19/U$28</f>
        <v>0.11270690081817014</v>
      </c>
      <c r="W19" s="35">
        <f>PasivoFciero!N21</f>
        <v>15323.2</v>
      </c>
      <c r="X19" s="49">
        <f>+W19/W$28</f>
        <v>8.453768247036024E-2</v>
      </c>
      <c r="Y19" s="35">
        <f>PasivoFciero!O21</f>
        <v>11492.400000000001</v>
      </c>
      <c r="Z19" s="49">
        <f>+Y19/Y$28</f>
        <v>5.8470936223603859E-2</v>
      </c>
      <c r="AA19" s="35">
        <f>PasivoFciero!P21</f>
        <v>7661.6000000000013</v>
      </c>
      <c r="AB19" s="49">
        <f>+AA19/AA$28</f>
        <v>3.5466689585263882E-2</v>
      </c>
      <c r="AC19" s="35">
        <f>PasivoFciero!Q21</f>
        <v>3830.8</v>
      </c>
      <c r="AD19" s="49">
        <f>+AC19/AC$28</f>
        <v>1.5886132179533417E-2</v>
      </c>
      <c r="AE19" s="35">
        <f>PasivoFciero!R21</f>
        <v>0</v>
      </c>
      <c r="AF19" s="49">
        <f>+AE19/AE$28</f>
        <v>0</v>
      </c>
      <c r="AG19" s="35">
        <f>PasivoFciero!S21</f>
        <v>0</v>
      </c>
      <c r="AH19" s="49">
        <f>+AG19/AG$28</f>
        <v>0</v>
      </c>
    </row>
    <row r="20" spans="1:34" ht="15.75" thickBot="1">
      <c r="A20" s="28"/>
      <c r="B20" s="28" t="s">
        <v>136</v>
      </c>
      <c r="C20" s="35">
        <v>0</v>
      </c>
      <c r="D20" s="49">
        <f>+C20/C$28</f>
        <v>0</v>
      </c>
      <c r="E20" s="35">
        <v>0</v>
      </c>
      <c r="F20" s="49">
        <f>+E20/E$28</f>
        <v>0</v>
      </c>
      <c r="G20" s="35">
        <v>0</v>
      </c>
      <c r="H20" s="49">
        <f>+G20/G$28</f>
        <v>0</v>
      </c>
      <c r="I20" s="35">
        <v>0</v>
      </c>
      <c r="J20" s="49">
        <f>+I20/I$28</f>
        <v>0</v>
      </c>
      <c r="K20" s="35">
        <v>0</v>
      </c>
      <c r="L20" s="49">
        <f>+K20/K$28</f>
        <v>0</v>
      </c>
      <c r="M20" s="35">
        <v>0</v>
      </c>
      <c r="N20" s="49">
        <f>+M20/M$28</f>
        <v>0</v>
      </c>
      <c r="O20" s="35">
        <v>0</v>
      </c>
      <c r="P20" s="49">
        <f>+O20/O$28</f>
        <v>0</v>
      </c>
      <c r="Q20" s="35">
        <v>0</v>
      </c>
      <c r="R20" s="49">
        <f>+Q20/Q$28</f>
        <v>0</v>
      </c>
      <c r="S20" s="35">
        <v>0</v>
      </c>
      <c r="T20" s="49">
        <f>+S20/S$28</f>
        <v>0</v>
      </c>
      <c r="U20" s="35">
        <v>0</v>
      </c>
      <c r="V20" s="49">
        <f>+U20/U$28</f>
        <v>0</v>
      </c>
      <c r="W20" s="35">
        <v>0</v>
      </c>
      <c r="X20" s="49">
        <f>+W20/W$28</f>
        <v>0</v>
      </c>
      <c r="Y20" s="35">
        <v>0</v>
      </c>
      <c r="Z20" s="49">
        <f>+Y20/Y$28</f>
        <v>0</v>
      </c>
      <c r="AA20" s="35">
        <v>0</v>
      </c>
      <c r="AB20" s="49">
        <f>+AA20/AA$28</f>
        <v>0</v>
      </c>
      <c r="AC20" s="35">
        <v>0</v>
      </c>
      <c r="AD20" s="49">
        <f>+AC20/AC$28</f>
        <v>0</v>
      </c>
      <c r="AE20" s="35">
        <v>0</v>
      </c>
      <c r="AF20" s="49">
        <f>+AE20/AE$28</f>
        <v>0</v>
      </c>
      <c r="AG20" s="35">
        <v>0</v>
      </c>
      <c r="AH20" s="49">
        <f>+AG20/AG$28</f>
        <v>0</v>
      </c>
    </row>
    <row r="21" spans="1:34" ht="15.75">
      <c r="A21" s="28"/>
      <c r="B21" s="27" t="s">
        <v>152</v>
      </c>
      <c r="C21" s="38">
        <f>SUM(C18:C20)</f>
        <v>17457</v>
      </c>
      <c r="D21" s="49">
        <f>+C21/C$28</f>
        <v>8.4475349863538704E-2</v>
      </c>
      <c r="E21" s="38">
        <f>SUM(E18:E20)</f>
        <v>17621</v>
      </c>
      <c r="F21" s="49">
        <f>+E21/E$28</f>
        <v>8.501020354012187E-2</v>
      </c>
      <c r="G21" s="38">
        <f>SUM(G18:G20)</f>
        <v>26036</v>
      </c>
      <c r="H21" s="49">
        <f>+G21/G$28</f>
        <v>0.12812109401911287</v>
      </c>
      <c r="I21" s="38">
        <f>SUM(I18:I20)</f>
        <v>48386</v>
      </c>
      <c r="J21" s="49">
        <f>+I21/I$28</f>
        <v>0.2183680837620724</v>
      </c>
      <c r="K21" s="38">
        <f>SUM(K18:K20)</f>
        <v>62459</v>
      </c>
      <c r="L21" s="49">
        <f>+K21/K$28</f>
        <v>0.27733301363598017</v>
      </c>
      <c r="M21" s="38">
        <f>SUM(M18:M20)</f>
        <v>48615</v>
      </c>
      <c r="N21" s="49">
        <f>+M21/M$28</f>
        <v>0.24543934060528694</v>
      </c>
      <c r="O21" s="38">
        <f>SUM(O18:O20)</f>
        <v>42546</v>
      </c>
      <c r="P21" s="49">
        <f>+O21/O$28</f>
        <v>0.23346538095553421</v>
      </c>
      <c r="Q21" s="38">
        <f>SUM(Q18:Q20)</f>
        <v>36209.000000000015</v>
      </c>
      <c r="R21" s="49">
        <f>+Q21/Q$28</f>
        <v>0.21168781385893509</v>
      </c>
      <c r="S21" s="38">
        <f>SUM(S18:S20)</f>
        <v>29587.000000000004</v>
      </c>
      <c r="T21" s="49">
        <f>+S21/S$28</f>
        <v>0.17696332008502261</v>
      </c>
      <c r="U21" s="38">
        <f>SUM(U18:U20)</f>
        <v>22663</v>
      </c>
      <c r="V21" s="49">
        <f>+U21/U$28</f>
        <v>0.13335472972967474</v>
      </c>
      <c r="W21" s="38">
        <f>SUM(W18:W20)</f>
        <v>17662.2</v>
      </c>
      <c r="X21" s="49">
        <f>+W21/W$28</f>
        <v>9.7441882591625548E-2</v>
      </c>
      <c r="Y21" s="38">
        <f>SUM(Y18:Y20)</f>
        <v>12661.400000000001</v>
      </c>
      <c r="Z21" s="49">
        <f>+Y21/Y$28</f>
        <v>6.4418564608048609E-2</v>
      </c>
      <c r="AA21" s="38">
        <f>SUM(AA18:AA20)</f>
        <v>7661.6000000000167</v>
      </c>
      <c r="AB21" s="49">
        <f>+AA21/AA$28</f>
        <v>3.5466689585263951E-2</v>
      </c>
      <c r="AC21" s="38">
        <f>SUM(AC18:AC20)</f>
        <v>3830.8000000000079</v>
      </c>
      <c r="AD21" s="49">
        <f>+AC21/AC$28</f>
        <v>1.5886132179533448E-2</v>
      </c>
      <c r="AE21" s="38">
        <f>SUM(AE18:AE20)</f>
        <v>3.637978807091713E-12</v>
      </c>
      <c r="AF21" s="49">
        <f>+AE21/AE$28</f>
        <v>1.3530425543313732E-17</v>
      </c>
      <c r="AG21" s="38">
        <f>SUM(AG18:AG20)</f>
        <v>0</v>
      </c>
      <c r="AH21" s="49">
        <f>+AG21/AG$28</f>
        <v>0</v>
      </c>
    </row>
    <row r="22" spans="1:34">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row>
    <row r="23" spans="1:34" ht="15.75">
      <c r="A23" s="27" t="s">
        <v>153</v>
      </c>
      <c r="B23" s="28"/>
      <c r="C23" s="582">
        <f>HLOOKUP(C$4,Balance!$C$4:$S$67,60,0)</f>
        <v>328144</v>
      </c>
      <c r="D23" s="582"/>
      <c r="E23" s="582">
        <f>HLOOKUP(E$4,Balance!$C$4:$S$67,60,0)</f>
        <v>269112</v>
      </c>
      <c r="F23" s="582"/>
      <c r="G23" s="582">
        <f>HLOOKUP(G$4,Balance!$C$4:$S$67,60,0)</f>
        <v>269112</v>
      </c>
      <c r="H23" s="582"/>
      <c r="I23" s="582">
        <f>HLOOKUP(I$4,Balance!$C$4:$S$67,60,0)</f>
        <v>269112</v>
      </c>
      <c r="J23" s="582"/>
      <c r="K23" s="582">
        <f>HLOOKUP(K$4,Balance!$C$4:$S$67,60,0)</f>
        <v>246601</v>
      </c>
      <c r="L23" s="582"/>
      <c r="M23" s="582">
        <f>HLOOKUP(M$4,Balance!$C$4:$S$67,60,0)</f>
        <v>246601</v>
      </c>
      <c r="N23" s="582"/>
      <c r="O23" s="582">
        <f>HLOOKUP(O$4,Balance!$C$4:$S$67,60,0)</f>
        <v>246601</v>
      </c>
      <c r="P23" s="582"/>
      <c r="Q23" s="582">
        <f>HLOOKUP(Q$4,Balance!$C$4:$S$67,60,0)</f>
        <v>225973.02684755789</v>
      </c>
      <c r="R23" s="582"/>
      <c r="S23" s="582">
        <f>HLOOKUP(S$4,Balance!$C$4:$S$67,60,0)</f>
        <v>225973.02684755789</v>
      </c>
      <c r="T23" s="582"/>
      <c r="U23" s="582">
        <f>HLOOKUP(U$4,Balance!$C$4:$S$67,60,0)</f>
        <v>225973.02684755789</v>
      </c>
      <c r="V23" s="582"/>
      <c r="W23" s="582">
        <f>HLOOKUP(W$4,Balance!$C$4:$S$67,60,0)</f>
        <v>207070.56687785988</v>
      </c>
      <c r="X23" s="582"/>
      <c r="Y23" s="582">
        <f>HLOOKUP(Y$4,Balance!$C$4:$S$67,60,0)</f>
        <v>207070.56687785988</v>
      </c>
      <c r="Z23" s="582"/>
      <c r="AA23" s="582">
        <f>HLOOKUP(AA$4,Balance!$C$4:$S$67,60,0)</f>
        <v>207070.56687785988</v>
      </c>
      <c r="AB23" s="582"/>
      <c r="AC23" s="582">
        <f>HLOOKUP(AC$4,Balance!$C$4:$S$67,60,0)</f>
        <v>189749.28231608818</v>
      </c>
      <c r="AD23" s="582"/>
      <c r="AE23" s="582">
        <f>HLOOKUP(AE$4,Balance!$C$4:$S$67,60,0)</f>
        <v>189749.28231608818</v>
      </c>
      <c r="AF23" s="582"/>
      <c r="AG23" s="582">
        <f>HLOOKUP(AG$4,Balance!$C$4:$S$67,60,0)</f>
        <v>189749.28231608818</v>
      </c>
      <c r="AH23" s="582"/>
    </row>
    <row r="24" spans="1:34">
      <c r="A24" s="28"/>
      <c r="B24" s="28" t="s">
        <v>154</v>
      </c>
      <c r="C24" s="35">
        <f>Balance!D67-C23</f>
        <v>189195</v>
      </c>
      <c r="D24" s="49">
        <f>+C24/C$28</f>
        <v>0.91552465013646134</v>
      </c>
      <c r="E24" s="35">
        <f>Balance!E67-E23</f>
        <v>189660</v>
      </c>
      <c r="F24" s="49">
        <f>+E24/E$28</f>
        <v>0.9149897964598781</v>
      </c>
      <c r="G24" s="35">
        <f>Balance!F67-G23</f>
        <v>177178</v>
      </c>
      <c r="H24" s="49">
        <f>+G24/G$28</f>
        <v>0.87187890598088713</v>
      </c>
      <c r="I24" s="35">
        <f>Balance!G67-I23</f>
        <v>173194</v>
      </c>
      <c r="J24" s="49">
        <f>+I24/I$28</f>
        <v>0.7816319162379276</v>
      </c>
      <c r="K24" s="35">
        <f>Balance!H67-K23</f>
        <v>162754</v>
      </c>
      <c r="L24" s="49">
        <f>+K24/K$28</f>
        <v>0.72266698636401983</v>
      </c>
      <c r="M24" s="35">
        <f>Balance!I67-M23</f>
        <v>149458.38090180967</v>
      </c>
      <c r="N24" s="49">
        <f>+M24/M$28</f>
        <v>0.75456065939471306</v>
      </c>
      <c r="O24" s="35">
        <f>Balance!J67-O23</f>
        <v>139690.86880627199</v>
      </c>
      <c r="P24" s="49">
        <f>+O24/O$28</f>
        <v>0.76653461904446574</v>
      </c>
      <c r="Q24" s="35">
        <f>Balance!K67-Q23</f>
        <v>134840.05256440045</v>
      </c>
      <c r="R24" s="49">
        <f>+Q24/Q$28</f>
        <v>0.7883121861410648</v>
      </c>
      <c r="S24" s="35">
        <f>Balance!L67-S23</f>
        <v>137605.83965617753</v>
      </c>
      <c r="T24" s="49">
        <f>+S24/S$28</f>
        <v>0.82303667991497742</v>
      </c>
      <c r="U24" s="35">
        <f>Balance!M67-U23</f>
        <v>147282.22838402874</v>
      </c>
      <c r="V24" s="49">
        <f>+U24/U$28</f>
        <v>0.86664527027032523</v>
      </c>
      <c r="W24" s="35">
        <f>Balance!N67-W23</f>
        <v>163596.61325611768</v>
      </c>
      <c r="X24" s="49">
        <f>+W24/W$28</f>
        <v>0.90255811740837444</v>
      </c>
      <c r="Y24" s="35">
        <f>Balance!O67-Y23</f>
        <v>183887.53084063</v>
      </c>
      <c r="Z24" s="49">
        <f>+Y24/Y$28</f>
        <v>0.93558143539195138</v>
      </c>
      <c r="AA24" s="35">
        <f>Balance!P67-AA23</f>
        <v>208360.81679706508</v>
      </c>
      <c r="AB24" s="49">
        <f>+AA24/AA$28</f>
        <v>0.96453331041473611</v>
      </c>
      <c r="AC24" s="35">
        <f>Balance!Q67-AC23</f>
        <v>237310.33849155399</v>
      </c>
      <c r="AD24" s="49">
        <f>+AC24/AC$28</f>
        <v>0.9841138678204665</v>
      </c>
      <c r="AE24" s="35">
        <f>Balance!R67-AE23</f>
        <v>268873.93862416071</v>
      </c>
      <c r="AF24" s="49">
        <f>+AE24/AE$28</f>
        <v>1</v>
      </c>
      <c r="AG24" s="35">
        <f>Balance!S67-AG23</f>
        <v>303711.62892435689</v>
      </c>
      <c r="AH24" s="49">
        <f>+AG24/AG$28</f>
        <v>1</v>
      </c>
    </row>
    <row r="25" spans="1:34" ht="15.75" thickBot="1">
      <c r="A25" s="28"/>
      <c r="B25" s="28" t="s">
        <v>147</v>
      </c>
      <c r="C25" s="35">
        <v>0</v>
      </c>
      <c r="D25" s="49">
        <f>+C25/C$28</f>
        <v>0</v>
      </c>
      <c r="E25" s="35">
        <v>0</v>
      </c>
      <c r="F25" s="49">
        <f>+E25/E$28</f>
        <v>0</v>
      </c>
      <c r="G25" s="35">
        <v>0</v>
      </c>
      <c r="H25" s="49">
        <f>+G25/G$28</f>
        <v>0</v>
      </c>
      <c r="I25" s="35">
        <v>0</v>
      </c>
      <c r="J25" s="49">
        <f>+I25/I$28</f>
        <v>0</v>
      </c>
      <c r="K25" s="35">
        <v>0</v>
      </c>
      <c r="L25" s="49">
        <f>+K25/K$28</f>
        <v>0</v>
      </c>
      <c r="M25" s="35">
        <v>0</v>
      </c>
      <c r="N25" s="49">
        <f>+M25/M$28</f>
        <v>0</v>
      </c>
      <c r="O25" s="35">
        <v>0</v>
      </c>
      <c r="P25" s="49">
        <f>+O25/O$28</f>
        <v>0</v>
      </c>
      <c r="Q25" s="35">
        <v>0</v>
      </c>
      <c r="R25" s="49">
        <f>+Q25/Q$28</f>
        <v>0</v>
      </c>
      <c r="S25" s="35">
        <v>0</v>
      </c>
      <c r="T25" s="49">
        <f>+S25/S$28</f>
        <v>0</v>
      </c>
      <c r="U25" s="35">
        <v>0</v>
      </c>
      <c r="V25" s="49">
        <f>+U25/U$28</f>
        <v>0</v>
      </c>
      <c r="W25" s="35">
        <v>0</v>
      </c>
      <c r="X25" s="49">
        <f>+W25/W$28</f>
        <v>0</v>
      </c>
      <c r="Y25" s="35">
        <v>0</v>
      </c>
      <c r="Z25" s="49">
        <f>+Y25/Y$28</f>
        <v>0</v>
      </c>
      <c r="AA25" s="35">
        <v>0</v>
      </c>
      <c r="AB25" s="49">
        <f>+AA25/AA$28</f>
        <v>0</v>
      </c>
      <c r="AC25" s="35">
        <v>0</v>
      </c>
      <c r="AD25" s="49">
        <f>+AC25/AC$28</f>
        <v>0</v>
      </c>
      <c r="AE25" s="35">
        <v>0</v>
      </c>
      <c r="AF25" s="49">
        <f>+AE25/AE$28</f>
        <v>0</v>
      </c>
      <c r="AG25" s="35">
        <v>0</v>
      </c>
      <c r="AH25" s="49">
        <f>+AG25/AG$28</f>
        <v>0</v>
      </c>
    </row>
    <row r="26" spans="1:34" ht="15.75">
      <c r="A26" s="28"/>
      <c r="B26" s="27" t="s">
        <v>155</v>
      </c>
      <c r="C26" s="38">
        <f t="shared" ref="C26:K26" si="0">SUM(C24:C25)</f>
        <v>189195</v>
      </c>
      <c r="D26" s="49">
        <f>+C26/C$28</f>
        <v>0.91552465013646134</v>
      </c>
      <c r="E26" s="38">
        <f t="shared" si="0"/>
        <v>189660</v>
      </c>
      <c r="F26" s="49">
        <f>+E26/E$28</f>
        <v>0.9149897964598781</v>
      </c>
      <c r="G26" s="38">
        <f t="shared" si="0"/>
        <v>177178</v>
      </c>
      <c r="H26" s="49">
        <f>+G26/G$28</f>
        <v>0.87187890598088713</v>
      </c>
      <c r="I26" s="38">
        <f t="shared" si="0"/>
        <v>173194</v>
      </c>
      <c r="J26" s="49">
        <f>+I26/I$28</f>
        <v>0.7816319162379276</v>
      </c>
      <c r="K26" s="38">
        <f t="shared" si="0"/>
        <v>162754</v>
      </c>
      <c r="L26" s="49">
        <f>+K26/K$28</f>
        <v>0.72266698636401983</v>
      </c>
      <c r="M26" s="38">
        <f>SUM(M24:M25)</f>
        <v>149458.38090180967</v>
      </c>
      <c r="N26" s="49">
        <f>+M26/M$28</f>
        <v>0.75456065939471306</v>
      </c>
      <c r="O26" s="38">
        <f>SUM(O24:O25)</f>
        <v>139690.86880627199</v>
      </c>
      <c r="P26" s="49">
        <f>+O26/O$28</f>
        <v>0.76653461904446574</v>
      </c>
      <c r="Q26" s="38">
        <f>SUM(Q24:Q25)</f>
        <v>134840.05256440045</v>
      </c>
      <c r="R26" s="49">
        <f>+Q26/Q$28</f>
        <v>0.7883121861410648</v>
      </c>
      <c r="S26" s="38">
        <f>SUM(S24:S25)</f>
        <v>137605.83965617753</v>
      </c>
      <c r="T26" s="49">
        <f>+S26/S$28</f>
        <v>0.82303667991497742</v>
      </c>
      <c r="U26" s="38">
        <f>SUM(U24:U25)</f>
        <v>147282.22838402874</v>
      </c>
      <c r="V26" s="49">
        <f>+U26/U$28</f>
        <v>0.86664527027032523</v>
      </c>
      <c r="W26" s="38">
        <f>SUM(W24:W25)</f>
        <v>163596.61325611768</v>
      </c>
      <c r="X26" s="49">
        <f>+W26/W$28</f>
        <v>0.90255811740837444</v>
      </c>
      <c r="Y26" s="38">
        <f>SUM(Y24:Y25)</f>
        <v>183887.53084063</v>
      </c>
      <c r="Z26" s="49">
        <f>+Y26/Y$28</f>
        <v>0.93558143539195138</v>
      </c>
      <c r="AA26" s="38">
        <f>SUM(AA24:AA25)</f>
        <v>208360.81679706508</v>
      </c>
      <c r="AB26" s="49">
        <f>+AA26/AA$28</f>
        <v>0.96453331041473611</v>
      </c>
      <c r="AC26" s="38">
        <f>SUM(AC24:AC25)</f>
        <v>237310.33849155399</v>
      </c>
      <c r="AD26" s="49">
        <f>+AC26/AC$28</f>
        <v>0.9841138678204665</v>
      </c>
      <c r="AE26" s="38">
        <f>SUM(AE24:AE25)</f>
        <v>268873.93862416071</v>
      </c>
      <c r="AF26" s="49">
        <f>+AE26/AE$28</f>
        <v>1</v>
      </c>
      <c r="AG26" s="38">
        <f>SUM(AG24:AG25)</f>
        <v>303711.62892435689</v>
      </c>
      <c r="AH26" s="49">
        <f>+AG26/AG$28</f>
        <v>1</v>
      </c>
    </row>
    <row r="27" spans="1:34" ht="15.75" thickBot="1">
      <c r="A27" s="28"/>
      <c r="B27" s="28"/>
      <c r="C27" s="35"/>
      <c r="D27" s="35"/>
      <c r="E27" s="35"/>
      <c r="F27" s="35"/>
      <c r="G27" s="35"/>
      <c r="H27" s="35"/>
      <c r="I27" s="35"/>
      <c r="K27" s="35"/>
      <c r="M27" s="35"/>
      <c r="O27" s="35"/>
      <c r="Q27" s="35"/>
      <c r="S27" s="35"/>
      <c r="U27" s="35"/>
      <c r="W27" s="35"/>
      <c r="Y27" s="35"/>
      <c r="AA27" s="35"/>
      <c r="AC27" s="35"/>
      <c r="AE27" s="35"/>
      <c r="AG27" s="35"/>
    </row>
    <row r="28" spans="1:34" ht="17.25" thickTop="1" thickBot="1">
      <c r="A28" s="29" t="s">
        <v>156</v>
      </c>
      <c r="B28" s="30"/>
      <c r="C28" s="36">
        <f t="shared" ref="C28:K28" si="1">C26+C21</f>
        <v>206652</v>
      </c>
      <c r="D28" s="36"/>
      <c r="E28" s="36">
        <f t="shared" si="1"/>
        <v>207281</v>
      </c>
      <c r="F28" s="36"/>
      <c r="G28" s="36">
        <f t="shared" si="1"/>
        <v>203214</v>
      </c>
      <c r="H28" s="36"/>
      <c r="I28" s="36">
        <f t="shared" si="1"/>
        <v>221580</v>
      </c>
      <c r="J28" s="36"/>
      <c r="K28" s="36">
        <f t="shared" si="1"/>
        <v>225213</v>
      </c>
      <c r="L28" s="36"/>
      <c r="M28" s="36">
        <f>M26+M21</f>
        <v>198073.38090180967</v>
      </c>
      <c r="N28" s="36"/>
      <c r="O28" s="36">
        <f>O26+O21</f>
        <v>182236.86880627199</v>
      </c>
      <c r="P28" s="36"/>
      <c r="Q28" s="36">
        <f>Q26+Q21</f>
        <v>171049.05256440048</v>
      </c>
      <c r="R28" s="36"/>
      <c r="S28" s="36">
        <f>S26+S21</f>
        <v>167192.83965617753</v>
      </c>
      <c r="T28" s="36"/>
      <c r="U28" s="36">
        <f>U26+U21</f>
        <v>169945.22838402874</v>
      </c>
      <c r="V28" s="36"/>
      <c r="W28" s="36">
        <f>W26+W21</f>
        <v>181258.81325611769</v>
      </c>
      <c r="X28" s="36"/>
      <c r="Y28" s="36">
        <f>Y26+Y21</f>
        <v>196548.93084063</v>
      </c>
      <c r="Z28" s="36"/>
      <c r="AA28" s="36">
        <f>AA26+AA21</f>
        <v>216022.41679706509</v>
      </c>
      <c r="AB28" s="36"/>
      <c r="AC28" s="36">
        <f>AC26+AC21</f>
        <v>241141.13849155401</v>
      </c>
      <c r="AD28" s="36"/>
      <c r="AE28" s="36">
        <f>AE26+AE21</f>
        <v>268873.93862416071</v>
      </c>
      <c r="AF28" s="36"/>
      <c r="AG28" s="36">
        <f>AG26+AG21</f>
        <v>303711.62892435689</v>
      </c>
      <c r="AH28" s="36"/>
    </row>
    <row r="29" spans="1:34" ht="16.5" thickTop="1">
      <c r="A29" s="28"/>
      <c r="B29" s="28" t="s">
        <v>157</v>
      </c>
      <c r="C29" s="28"/>
      <c r="D29" s="28"/>
      <c r="E29" s="21">
        <f>(E28/C28)-1</f>
        <v>3.0437643961829242E-3</v>
      </c>
      <c r="F29" s="27"/>
      <c r="G29" s="21">
        <f>(G28/E28)-1</f>
        <v>-1.9620708120860142E-2</v>
      </c>
      <c r="H29" s="27"/>
      <c r="I29" s="21">
        <f>(I28/G28)-1</f>
        <v>9.0377631462399188E-2</v>
      </c>
      <c r="K29" s="21">
        <f>(K28/I28)-1</f>
        <v>1.6395884105063541E-2</v>
      </c>
      <c r="M29" s="21">
        <f>(M28/K28)-1</f>
        <v>-0.12050644988606485</v>
      </c>
      <c r="O29" s="21">
        <f>(O28/M28)-1</f>
        <v>-7.9952752981927722E-2</v>
      </c>
      <c r="Q29" s="21">
        <f>(Q28/O28)-1</f>
        <v>-6.1391618036220619E-2</v>
      </c>
      <c r="S29" s="21">
        <f>(S28/Q28)-1</f>
        <v>-2.2544485633856803E-2</v>
      </c>
      <c r="U29" s="21">
        <f>(U28/S28)-1</f>
        <v>1.6462360071826998E-2</v>
      </c>
      <c r="W29" s="21">
        <f>(W28/U28)-1</f>
        <v>6.6571947795576847E-2</v>
      </c>
      <c r="Y29" s="21">
        <f>(Y28/W28)-1</f>
        <v>8.4355167673460629E-2</v>
      </c>
      <c r="AA29" s="21">
        <f>(AA28/Y28)-1</f>
        <v>9.907703833924697E-2</v>
      </c>
      <c r="AC29" s="21">
        <f>(AC28/AA28)-1</f>
        <v>0.11627831068145977</v>
      </c>
      <c r="AE29" s="21">
        <f>(AE28/AC28)-1</f>
        <v>0.11500650741755547</v>
      </c>
      <c r="AG29" s="21">
        <f>(AG28/AE28)-1</f>
        <v>0.12956886219044539</v>
      </c>
    </row>
    <row r="30" spans="1:34">
      <c r="A30" s="28"/>
      <c r="B30" s="28"/>
      <c r="C30" s="28"/>
      <c r="D30" s="28"/>
      <c r="E30" s="28"/>
      <c r="F30" s="28"/>
      <c r="G30" s="28"/>
      <c r="H30" s="28"/>
      <c r="I30" s="28"/>
    </row>
    <row r="31" spans="1:34">
      <c r="A31" t="s">
        <v>158</v>
      </c>
      <c r="C31" s="41">
        <f>+FCL!C7+FCL!C17</f>
        <v>-18388</v>
      </c>
      <c r="E31" s="41">
        <f>+FCL!D7+FCL!D17</f>
        <v>-8401</v>
      </c>
      <c r="G31" s="41">
        <f>+FCL!E7+FCL!E17</f>
        <v>-11162</v>
      </c>
      <c r="H31" s="41"/>
      <c r="I31" s="41">
        <f>+FCL!F7+FCL!F17</f>
        <v>-9504</v>
      </c>
      <c r="K31" s="41">
        <f>+FCL!G7+FCL!G17</f>
        <v>-7785</v>
      </c>
      <c r="M31" s="41">
        <f>+FCL!H7+FCL!H17</f>
        <v>-9952.5368572440784</v>
      </c>
      <c r="O31" s="41">
        <f>+FCL!I7+FCL!I17</f>
        <v>-6180.6245032707457</v>
      </c>
      <c r="Q31" s="41">
        <f>+FCL!J7+FCL!J17</f>
        <v>-2468.7550549499456</v>
      </c>
      <c r="S31" s="41">
        <f>+FCL!K7+FCL!K17</f>
        <v>4782.6941468019531</v>
      </c>
      <c r="U31" s="41">
        <f>FCL!L7+FCL!L17</f>
        <v>13108.89776058212</v>
      </c>
      <c r="W31" s="41">
        <f>FCL!M7+FCL!M17</f>
        <v>15289.433748005857</v>
      </c>
      <c r="Y31" s="41">
        <f>FCL!N7+FCL!N17</f>
        <v>20689.874804445175</v>
      </c>
      <c r="AA31" s="41">
        <f>FCL!O7+FCL!O17</f>
        <v>24619.683093605978</v>
      </c>
      <c r="AC31" s="41">
        <f>FCL!P7+FCL!P17</f>
        <v>28759.910770691313</v>
      </c>
      <c r="AE31" s="41">
        <f>FCL!Q7+FCL!Q17</f>
        <v>30784.997700402808</v>
      </c>
      <c r="AG31" s="41">
        <f>FCL!R7+FCL!R17</f>
        <v>33852.844326859122</v>
      </c>
    </row>
    <row r="32" spans="1:34">
      <c r="A32" t="s">
        <v>159</v>
      </c>
      <c r="C32" s="41">
        <f>+C39</f>
        <v>159556</v>
      </c>
      <c r="D32" s="41"/>
      <c r="E32" s="41">
        <f>+C15</f>
        <v>206652</v>
      </c>
      <c r="F32" s="41"/>
      <c r="G32" s="41">
        <f>+E15</f>
        <v>207281</v>
      </c>
      <c r="H32" s="41"/>
      <c r="I32" s="41">
        <f>+G15</f>
        <v>203214</v>
      </c>
      <c r="K32" s="41">
        <f>+I15</f>
        <v>221580</v>
      </c>
      <c r="M32" s="41">
        <f>+K15</f>
        <v>225213</v>
      </c>
      <c r="O32" s="41">
        <f>+M15</f>
        <v>198073.38090180967</v>
      </c>
      <c r="Q32" s="41">
        <f>+O15</f>
        <v>182236.86880627202</v>
      </c>
      <c r="S32" s="41">
        <f>+Q15</f>
        <v>171049.05256440051</v>
      </c>
      <c r="U32" s="41">
        <f>+S15</f>
        <v>167192.83965617756</v>
      </c>
      <c r="W32" s="41">
        <f>+U15</f>
        <v>169945.2283840288</v>
      </c>
      <c r="Y32" s="41">
        <f>+W15</f>
        <v>181258.81325611772</v>
      </c>
      <c r="AA32" s="41">
        <f>+Y15</f>
        <v>196548.93084063003</v>
      </c>
      <c r="AC32" s="41">
        <f>+AA15</f>
        <v>216022.41679706509</v>
      </c>
      <c r="AE32" s="41">
        <f>+AC15</f>
        <v>241141.13849155395</v>
      </c>
      <c r="AG32" s="41">
        <f>+AE15</f>
        <v>268873.93862416071</v>
      </c>
    </row>
    <row r="33" spans="1:34" ht="15.75" thickBot="1"/>
    <row r="34" spans="1:34" ht="17.25" thickTop="1" thickBot="1">
      <c r="A34" s="29" t="s">
        <v>160</v>
      </c>
      <c r="B34" s="30"/>
      <c r="C34" s="50">
        <f>+C31/C32</f>
        <v>-0.11524480433202136</v>
      </c>
      <c r="D34" s="50"/>
      <c r="E34" s="50">
        <f>+E31/E32</f>
        <v>-4.0652885043454698E-2</v>
      </c>
      <c r="F34" s="50"/>
      <c r="G34" s="50">
        <f>+G31/G32</f>
        <v>-5.3849605125409469E-2</v>
      </c>
      <c r="H34" s="50"/>
      <c r="I34" s="50">
        <f>+I31/I32</f>
        <v>-4.6768431308866515E-2</v>
      </c>
      <c r="J34" s="50"/>
      <c r="K34" s="50">
        <f>+K31/K32</f>
        <v>-3.5134037367993504E-2</v>
      </c>
      <c r="L34" s="50"/>
      <c r="M34" s="50">
        <f>+M31/M32</f>
        <v>-4.419166236959713E-2</v>
      </c>
      <c r="N34" s="36"/>
      <c r="O34" s="50">
        <f>+O31/O32</f>
        <v>-3.1203710842572271E-2</v>
      </c>
      <c r="P34" s="36"/>
      <c r="Q34" s="50">
        <f>+Q31/Q32</f>
        <v>-1.3546957161420339E-2</v>
      </c>
      <c r="R34" s="36"/>
      <c r="S34" s="50">
        <f>+S31/S32</f>
        <v>2.7960950821409862E-2</v>
      </c>
      <c r="T34" s="36"/>
      <c r="U34" s="50">
        <f>+U31/U32</f>
        <v>7.8405856300663435E-2</v>
      </c>
      <c r="V34" s="36"/>
      <c r="W34" s="50">
        <f>+W31/W32</f>
        <v>8.9966831627987826E-2</v>
      </c>
      <c r="X34" s="36"/>
      <c r="Y34" s="50">
        <f>+Y31/Y32</f>
        <v>0.11414548309554744</v>
      </c>
      <c r="Z34" s="36"/>
      <c r="AA34" s="50">
        <f>+AA31/AA32</f>
        <v>0.12525981692349489</v>
      </c>
      <c r="AB34" s="36"/>
      <c r="AC34" s="50">
        <f>+AC31/AC32</f>
        <v>0.1331339182160379</v>
      </c>
      <c r="AD34" s="36"/>
      <c r="AE34" s="50">
        <f>+AE31/AE32</f>
        <v>0.12766381502955815</v>
      </c>
      <c r="AF34" s="36"/>
      <c r="AG34" s="50">
        <f>+AG31/AG32</f>
        <v>0.12590600822112233</v>
      </c>
      <c r="AH34" s="36"/>
    </row>
    <row r="35" spans="1:34" ht="15.75" thickTop="1"/>
    <row r="37" spans="1:34">
      <c r="B37" t="s">
        <v>1160</v>
      </c>
      <c r="C37" s="342">
        <f>KWOp.!C31</f>
        <v>73564</v>
      </c>
    </row>
    <row r="38" spans="1:34">
      <c r="B38" t="s">
        <v>1161</v>
      </c>
      <c r="C38" s="342">
        <f>+Balance!C18+Balance!C19</f>
        <v>85992</v>
      </c>
    </row>
    <row r="39" spans="1:34">
      <c r="B39" t="s">
        <v>1162</v>
      </c>
      <c r="C39" s="342">
        <f>+C37+C38</f>
        <v>159556</v>
      </c>
    </row>
    <row r="41" spans="1:34" ht="15.75">
      <c r="B41" s="51" t="s">
        <v>1179</v>
      </c>
      <c r="C41" s="343">
        <f>+C15-C28</f>
        <v>0</v>
      </c>
      <c r="D41" s="343"/>
      <c r="E41" s="343">
        <f>+E15-E28</f>
        <v>0</v>
      </c>
      <c r="F41" s="343"/>
      <c r="G41" s="343">
        <f>+G15-G28</f>
        <v>0</v>
      </c>
      <c r="H41" s="343"/>
      <c r="I41" s="343">
        <f>+I15-I28</f>
        <v>0</v>
      </c>
      <c r="J41" s="343"/>
      <c r="K41" s="343">
        <f>+K15-K28</f>
        <v>0</v>
      </c>
      <c r="L41" s="343"/>
      <c r="M41" s="343">
        <f>+M15-M28</f>
        <v>0</v>
      </c>
      <c r="N41" s="343"/>
      <c r="O41" s="343">
        <f>+O15-O28</f>
        <v>0</v>
      </c>
      <c r="P41" s="343"/>
      <c r="Q41" s="343">
        <f>+Q15-Q28</f>
        <v>0</v>
      </c>
      <c r="R41" s="343"/>
      <c r="S41" s="343">
        <f>+S15-S28</f>
        <v>0</v>
      </c>
      <c r="T41" s="343"/>
      <c r="U41" s="343">
        <f>+U15-U28</f>
        <v>0</v>
      </c>
      <c r="V41" s="343"/>
      <c r="W41" s="343">
        <f>+W15-W28</f>
        <v>0</v>
      </c>
      <c r="X41" s="343"/>
      <c r="Y41" s="343">
        <f>+Y15-Y28</f>
        <v>0</v>
      </c>
      <c r="Z41" s="343"/>
      <c r="AA41" s="343">
        <f>+AA15-AA28</f>
        <v>0</v>
      </c>
      <c r="AB41" s="343"/>
      <c r="AC41" s="343">
        <f>+AC15-AC28</f>
        <v>0</v>
      </c>
      <c r="AD41" s="343"/>
      <c r="AE41" s="343">
        <f>+AE15-AE28</f>
        <v>0</v>
      </c>
      <c r="AF41" s="343"/>
      <c r="AG41" s="343">
        <f>+AG15-AG28</f>
        <v>0</v>
      </c>
      <c r="AH41" s="343"/>
    </row>
  </sheetData>
  <phoneticPr fontId="0" type="noConversion"/>
  <printOptions horizontalCentered="1" verticalCentered="1"/>
  <pageMargins left="0.51181102362204722" right="0.51181102362204722" top="0.51181102362204722" bottom="0.51181102362204722" header="0.51181102362204722" footer="0.51181102362204722"/>
  <pageSetup scale="63" firstPageNumber="11" orientation="landscape" blackAndWhite="1" horizontalDpi="300" verticalDpi="300" r:id="rId1"/>
  <headerFooter>
    <oddHeader>&amp;C&amp;A</oddHeader>
    <oddFooter>&amp;CCia.Modelo -  EVA&amp;RPágina &amp;P</oddFooter>
  </headerFooter>
</worksheet>
</file>

<file path=xl/worksheets/sheet25.xml><?xml version="1.0" encoding="utf-8"?>
<worksheet xmlns="http://schemas.openxmlformats.org/spreadsheetml/2006/main" xmlns:r="http://schemas.openxmlformats.org/officeDocument/2006/relationships">
  <sheetPr enableFormatConditionsCalculation="0">
    <pageSetUpPr fitToPage="1"/>
  </sheetPr>
  <dimension ref="A1:M40"/>
  <sheetViews>
    <sheetView showGridLines="0" zoomScale="70" zoomScaleNormal="70" workbookViewId="0">
      <pane xSplit="2" ySplit="4" topLeftCell="C5" activePane="bottomRight" state="frozen"/>
      <selection activeCell="B11" sqref="B11"/>
      <selection pane="topRight" activeCell="B11" sqref="B11"/>
      <selection pane="bottomLeft" activeCell="B11" sqref="B11"/>
      <selection pane="bottomRight" activeCell="C23" sqref="C23"/>
    </sheetView>
  </sheetViews>
  <sheetFormatPr baseColWidth="10" defaultColWidth="11.5546875" defaultRowHeight="15"/>
  <cols>
    <col min="1" max="1" width="3.6640625" customWidth="1"/>
    <col min="2" max="2" width="26.33203125" customWidth="1"/>
    <col min="3" max="10" width="9.109375" bestFit="1" customWidth="1"/>
    <col min="11" max="13" width="11.6640625" bestFit="1" customWidth="1"/>
  </cols>
  <sheetData>
    <row r="1" spans="1:13" ht="15.75">
      <c r="A1" s="1" t="str">
        <f>+Balance!A1</f>
        <v>ENKA de Colombia S.A.</v>
      </c>
      <c r="B1" s="2"/>
      <c r="C1" s="2"/>
      <c r="D1" s="2"/>
      <c r="E1" s="2"/>
      <c r="F1" s="2"/>
    </row>
    <row r="2" spans="1:13" ht="15.75">
      <c r="A2" s="1" t="s">
        <v>231</v>
      </c>
      <c r="B2" s="2"/>
      <c r="C2" s="2"/>
      <c r="D2" s="2"/>
      <c r="E2" s="2"/>
      <c r="F2" s="2"/>
    </row>
    <row r="3" spans="1:13" ht="15.75">
      <c r="A3" s="1"/>
      <c r="B3" s="2"/>
      <c r="C3" s="2"/>
      <c r="D3" s="2"/>
      <c r="E3" s="2"/>
      <c r="F3" s="2"/>
    </row>
    <row r="4" spans="1:13" ht="16.5" thickBot="1">
      <c r="A4" s="2"/>
      <c r="B4" s="2"/>
      <c r="C4" s="3">
        <f>Proy.Cifras!B4</f>
        <v>2014</v>
      </c>
      <c r="D4" s="3">
        <f t="shared" ref="D4:J4" si="0">+C4+1</f>
        <v>2015</v>
      </c>
      <c r="E4" s="3">
        <f t="shared" si="0"/>
        <v>2016</v>
      </c>
      <c r="F4" s="3">
        <f t="shared" si="0"/>
        <v>2017</v>
      </c>
      <c r="G4" s="3">
        <f t="shared" si="0"/>
        <v>2018</v>
      </c>
      <c r="H4" s="3">
        <f t="shared" si="0"/>
        <v>2019</v>
      </c>
      <c r="I4" s="3">
        <f t="shared" si="0"/>
        <v>2020</v>
      </c>
      <c r="J4" s="3">
        <f t="shared" si="0"/>
        <v>2021</v>
      </c>
      <c r="K4" s="3">
        <f>+J4+1</f>
        <v>2022</v>
      </c>
      <c r="L4" s="3">
        <f>+K4+1</f>
        <v>2023</v>
      </c>
      <c r="M4" s="3">
        <f>+L4+1</f>
        <v>2024</v>
      </c>
    </row>
    <row r="6" spans="1:13" ht="15.75">
      <c r="A6" s="27" t="s">
        <v>232</v>
      </c>
      <c r="B6" s="28"/>
      <c r="C6" s="28"/>
      <c r="D6" s="28"/>
      <c r="E6" s="28"/>
      <c r="F6" s="28"/>
    </row>
    <row r="7" spans="1:13">
      <c r="A7" s="28"/>
      <c r="B7" s="28" t="s">
        <v>47</v>
      </c>
      <c r="C7" s="35">
        <f>+Proy.Cifras!B18</f>
        <v>112594.2093783999</v>
      </c>
      <c r="D7" s="35">
        <f>+Proy.Cifras!C18</f>
        <v>134586.32146833156</v>
      </c>
      <c r="E7" s="35">
        <f>+Proy.Cifras!D18</f>
        <v>149567.38604861021</v>
      </c>
      <c r="F7" s="35">
        <f>+Proy.Cifras!E18</f>
        <v>164653.29648687685</v>
      </c>
      <c r="G7" s="35">
        <f>+Proy.Cifras!F18</f>
        <v>177862.0372438179</v>
      </c>
      <c r="H7" s="35">
        <f>+Proy.Cifras!G18</f>
        <v>191450.69688924559</v>
      </c>
      <c r="I7" s="35">
        <f>+Proy.Cifras!H18</f>
        <v>206077.53013158398</v>
      </c>
      <c r="J7" s="35">
        <f>+Proy.Cifras!I18</f>
        <v>221821.85343363698</v>
      </c>
      <c r="K7" s="35">
        <f>+Proy.Cifras!J18</f>
        <v>238769.04303596687</v>
      </c>
      <c r="L7" s="35">
        <f>+Proy.Cifras!K18</f>
        <v>257010.99792391475</v>
      </c>
      <c r="M7" s="35">
        <f>+Proy.Cifras!L18</f>
        <v>276646.63816530182</v>
      </c>
    </row>
    <row r="8" spans="1:13">
      <c r="A8" s="28"/>
      <c r="B8" s="28" t="s">
        <v>146</v>
      </c>
      <c r="C8" s="35">
        <f>+Proy.Cifras!B24+Proy.Cifras!B28</f>
        <v>113335.98815703194</v>
      </c>
      <c r="D8" s="35">
        <f>+Proy.Cifras!C24+Proy.Cifras!C28</f>
        <v>101657.23967116309</v>
      </c>
      <c r="E8" s="35">
        <f>+Proy.Cifras!D24+Proy.Cifras!D28</f>
        <v>91196.533552101813</v>
      </c>
      <c r="F8" s="35">
        <f>+Proy.Cifras!E24+Proy.Cifras!E28</f>
        <v>81764.706014013849</v>
      </c>
      <c r="G8" s="35">
        <f>+Proy.Cifras!F24+Proy.Cifras!F28</f>
        <v>65040.80447371013</v>
      </c>
      <c r="H8" s="35">
        <f>+Proy.Cifras!G24+Proy.Cifras!G28</f>
        <v>47966.025599433691</v>
      </c>
      <c r="I8" s="35">
        <f>+Proy.Cifras!H24+Proy.Cifras!H28</f>
        <v>30513.562362869037</v>
      </c>
      <c r="J8" s="35">
        <f>+Proy.Cifras!I24+Proy.Cifras!I28</f>
        <v>12654.559678737307</v>
      </c>
      <c r="K8" s="35">
        <f>+Proy.Cifras!J24+Proy.Cifras!J28</f>
        <v>-5642.0420667557046</v>
      </c>
      <c r="L8" s="35">
        <f>+Proy.Cifras!K24+Proy.Cifras!K28</f>
        <v>-24409.67544189794</v>
      </c>
      <c r="M8" s="35">
        <f>+Proy.Cifras!L24+Proy.Cifras!L28</f>
        <v>-43684.327263194486</v>
      </c>
    </row>
    <row r="9" spans="1:13">
      <c r="A9" s="28"/>
      <c r="B9" s="28" t="s">
        <v>147</v>
      </c>
      <c r="C9" s="35">
        <v>0</v>
      </c>
      <c r="D9" s="35">
        <v>0</v>
      </c>
      <c r="E9" s="35">
        <v>0</v>
      </c>
      <c r="F9" s="35">
        <v>0</v>
      </c>
      <c r="G9" s="35">
        <v>0</v>
      </c>
      <c r="H9" s="35">
        <v>0</v>
      </c>
      <c r="I9" s="35">
        <v>0</v>
      </c>
      <c r="J9" s="35">
        <v>0</v>
      </c>
      <c r="K9" s="35">
        <v>0</v>
      </c>
      <c r="L9" s="35">
        <v>0</v>
      </c>
      <c r="M9" s="35">
        <v>0</v>
      </c>
    </row>
    <row r="10" spans="1:13" ht="15.75" thickBot="1">
      <c r="A10" s="28"/>
      <c r="B10" s="28"/>
      <c r="C10" s="35"/>
      <c r="D10" s="35"/>
      <c r="E10" s="35"/>
      <c r="F10" s="35"/>
    </row>
    <row r="11" spans="1:13" ht="17.25" thickTop="1" thickBot="1">
      <c r="A11" s="29" t="s">
        <v>148</v>
      </c>
      <c r="B11" s="30"/>
      <c r="C11" s="36">
        <f t="shared" ref="C11:H11" si="1">SUM(C7:C9)</f>
        <v>225930.19753543183</v>
      </c>
      <c r="D11" s="36">
        <f t="shared" si="1"/>
        <v>236243.56113949465</v>
      </c>
      <c r="E11" s="36">
        <f t="shared" si="1"/>
        <v>240763.91960071202</v>
      </c>
      <c r="F11" s="36">
        <f t="shared" si="1"/>
        <v>246418.0025008907</v>
      </c>
      <c r="G11" s="36">
        <f t="shared" si="1"/>
        <v>242902.84171752803</v>
      </c>
      <c r="H11" s="36">
        <f t="shared" si="1"/>
        <v>239416.72248867928</v>
      </c>
      <c r="I11" s="36">
        <f>SUM(I7:I9)</f>
        <v>236591.09249445301</v>
      </c>
      <c r="J11" s="36">
        <f>SUM(J7:J9)</f>
        <v>234476.41311237428</v>
      </c>
      <c r="K11" s="36">
        <f>SUM(K7:K9)</f>
        <v>233127.00096921116</v>
      </c>
      <c r="L11" s="36">
        <f>SUM(L7:L9)</f>
        <v>232601.32248201681</v>
      </c>
      <c r="M11" s="36">
        <f>SUM(M7:M9)</f>
        <v>232962.31090210733</v>
      </c>
    </row>
    <row r="12" spans="1:13" ht="15.75" thickTop="1">
      <c r="A12" s="28"/>
      <c r="B12" s="28"/>
      <c r="C12" s="35"/>
      <c r="D12" s="35"/>
      <c r="E12" s="35"/>
      <c r="F12" s="35"/>
    </row>
    <row r="13" spans="1:13" ht="15.75">
      <c r="A13" s="27" t="s">
        <v>149</v>
      </c>
      <c r="B13" s="28"/>
      <c r="C13" s="35"/>
      <c r="D13" s="35"/>
      <c r="E13" s="35"/>
      <c r="F13" s="35"/>
    </row>
    <row r="14" spans="1:13">
      <c r="A14" s="28"/>
      <c r="B14" s="28" t="s">
        <v>233</v>
      </c>
      <c r="C14" s="35">
        <f>AnalVr.!N18*AnalVr.Proy.!C$11</f>
        <v>9340.6917133141524</v>
      </c>
      <c r="D14" s="35">
        <f>AnalVr.!P18*AnalVr.Proy.!D$11</f>
        <v>9099.111318691861</v>
      </c>
      <c r="E14" s="35">
        <f>AnalVr.!R18*AnalVr.Proy.!E$11</f>
        <v>8232.8907680699685</v>
      </c>
      <c r="F14" s="35">
        <f>AnalVr.!T18*AnalVr.Proy.!F$11</f>
        <v>6896.1675396669234</v>
      </c>
      <c r="G14" s="35">
        <f>AnalVr.!V18*AnalVr.Proy.!G$11</f>
        <v>5015.4163179018014</v>
      </c>
      <c r="H14" s="35">
        <f>AnalVr.!X18*AnalVr.Proy.!H$11</f>
        <v>3089.4812993713581</v>
      </c>
      <c r="I14" s="35">
        <f>AnalVr.!Z18*AnalVr.Proy.!I$11</f>
        <v>1407.1558972268031</v>
      </c>
      <c r="J14" s="35">
        <f>AnalVr.!AB18*AnalVr.Proy.!J$11</f>
        <v>1.6782221011280138E-11</v>
      </c>
      <c r="K14" s="35">
        <f>AnalVr.!AD18*AnalVr.Proy.!K$11</f>
        <v>7.4737810195237884E-12</v>
      </c>
      <c r="L14" s="35">
        <f>AnalVr.!AF18*AnalVr.Proy.!L$11</f>
        <v>3.1471948751192348E-12</v>
      </c>
      <c r="M14" s="35">
        <f>AnalVr.!AH18*AnalVr.Proy.!M$11</f>
        <v>0</v>
      </c>
    </row>
    <row r="15" spans="1:13">
      <c r="B15" t="s">
        <v>234</v>
      </c>
      <c r="C15" s="35">
        <f>AnalVr.!N19*AnalVr.Proy.!C$11</f>
        <v>46111.466992604459</v>
      </c>
      <c r="D15" s="35">
        <f>AnalVr.!P19*AnalVr.Proy.!D$11</f>
        <v>46055.581681032294</v>
      </c>
      <c r="E15" s="35">
        <f>AnalVr.!R19*AnalVr.Proy.!E$11</f>
        <v>42733.897028313171</v>
      </c>
      <c r="F15" s="35">
        <f>AnalVr.!T19*AnalVr.Proy.!F$11</f>
        <v>36710.780311610091</v>
      </c>
      <c r="G15" s="35">
        <f>AnalVr.!V19*AnalVr.Proy.!G$11</f>
        <v>27376.826489909112</v>
      </c>
      <c r="H15" s="35">
        <f>AnalVr.!X19*AnalVr.Proy.!H$11</f>
        <v>20239.734863842325</v>
      </c>
      <c r="I15" s="35">
        <f>AnalVr.!Z19*AnalVr.Proy.!I$11</f>
        <v>13833.702680315924</v>
      </c>
      <c r="J15" s="35">
        <f>AnalVr.!AB19*AnalVr.Proy.!J$11</f>
        <v>8316.1021589226766</v>
      </c>
      <c r="K15" s="35">
        <f>AnalVr.!AD19*AnalVr.Proy.!K$11</f>
        <v>3703.4863520151034</v>
      </c>
      <c r="L15" s="35">
        <f>AnalVr.!AF19*AnalVr.Proy.!L$11</f>
        <v>0</v>
      </c>
      <c r="M15" s="35">
        <f>AnalVr.!AH19*AnalVr.Proy.!M$11</f>
        <v>0</v>
      </c>
    </row>
    <row r="16" spans="1:13">
      <c r="B16" t="s">
        <v>153</v>
      </c>
      <c r="C16" s="35">
        <f t="shared" ref="C16:M16" si="2">+C11-C14-C15</f>
        <v>170478.03882951321</v>
      </c>
      <c r="D16" s="35">
        <f t="shared" si="2"/>
        <v>181088.86813977049</v>
      </c>
      <c r="E16" s="35">
        <f t="shared" si="2"/>
        <v>189797.13180432888</v>
      </c>
      <c r="F16" s="35">
        <f t="shared" si="2"/>
        <v>202811.05464961368</v>
      </c>
      <c r="G16" s="35">
        <f t="shared" si="2"/>
        <v>210510.59890971711</v>
      </c>
      <c r="H16" s="35">
        <f t="shared" si="2"/>
        <v>216087.5063254656</v>
      </c>
      <c r="I16" s="35">
        <f t="shared" si="2"/>
        <v>221350.23391691031</v>
      </c>
      <c r="J16" s="35">
        <f t="shared" si="2"/>
        <v>226160.31095345158</v>
      </c>
      <c r="K16" s="35">
        <f t="shared" si="2"/>
        <v>229423.51461719605</v>
      </c>
      <c r="L16" s="35">
        <f t="shared" si="2"/>
        <v>232601.32248201681</v>
      </c>
      <c r="M16" s="35">
        <f t="shared" si="2"/>
        <v>232962.31090210733</v>
      </c>
    </row>
    <row r="17" spans="1:13" ht="15.75" thickBot="1"/>
    <row r="18" spans="1:13" ht="17.25" thickTop="1" thickBot="1">
      <c r="A18" s="29" t="s">
        <v>235</v>
      </c>
      <c r="B18" s="30"/>
      <c r="C18" s="36">
        <f t="shared" ref="C18:M18" si="3">SUM(C14:C17)</f>
        <v>225930.19753543183</v>
      </c>
      <c r="D18" s="36">
        <f t="shared" si="3"/>
        <v>236243.56113949465</v>
      </c>
      <c r="E18" s="36">
        <f t="shared" si="3"/>
        <v>240763.91960071202</v>
      </c>
      <c r="F18" s="36">
        <f t="shared" si="3"/>
        <v>246418.0025008907</v>
      </c>
      <c r="G18" s="36">
        <f t="shared" si="3"/>
        <v>242902.84171752803</v>
      </c>
      <c r="H18" s="36">
        <f t="shared" si="3"/>
        <v>239416.72248867928</v>
      </c>
      <c r="I18" s="36">
        <f t="shared" si="3"/>
        <v>236591.09249445304</v>
      </c>
      <c r="J18" s="36">
        <f t="shared" si="3"/>
        <v>234476.41311237428</v>
      </c>
      <c r="K18" s="36">
        <f t="shared" si="3"/>
        <v>233127.00096921116</v>
      </c>
      <c r="L18" s="36">
        <f t="shared" si="3"/>
        <v>232601.32248201681</v>
      </c>
      <c r="M18" s="36">
        <f t="shared" si="3"/>
        <v>232962.31090210733</v>
      </c>
    </row>
    <row r="19" spans="1:13" ht="15.75" thickTop="1"/>
    <row r="20" spans="1:13">
      <c r="A20" t="s">
        <v>236</v>
      </c>
      <c r="C20" s="48">
        <f>(C11-AnalVr.!Y15)/AnalVr.!Y15</f>
        <v>0.1494857619888319</v>
      </c>
      <c r="D20" s="48">
        <f t="shared" ref="D20:J20" si="4">(D11-C11)/C11</f>
        <v>4.5648451232135144E-2</v>
      </c>
      <c r="E20" s="48">
        <f t="shared" si="4"/>
        <v>1.913431392336758E-2</v>
      </c>
      <c r="F20" s="48">
        <f t="shared" si="4"/>
        <v>2.3483929442399541E-2</v>
      </c>
      <c r="G20" s="48">
        <f t="shared" si="4"/>
        <v>-1.4265032374612956E-2</v>
      </c>
      <c r="H20" s="48">
        <f t="shared" si="4"/>
        <v>-1.4351907965336868E-2</v>
      </c>
      <c r="I20" s="48">
        <f t="shared" si="4"/>
        <v>-1.1802141324359158E-2</v>
      </c>
      <c r="J20" s="48">
        <f t="shared" si="4"/>
        <v>-8.9381191818466606E-3</v>
      </c>
      <c r="K20" s="48">
        <f>(K11-J11)/J11</f>
        <v>-5.7550016449475746E-3</v>
      </c>
      <c r="L20" s="48">
        <f>(L11-K11)/K11</f>
        <v>-2.2549017703177958E-3</v>
      </c>
      <c r="M20" s="48">
        <f>(M11-L11)/L11</f>
        <v>1.5519620277242015E-3</v>
      </c>
    </row>
    <row r="22" spans="1:13">
      <c r="A22" t="s">
        <v>158</v>
      </c>
      <c r="C22" s="41">
        <f>+FCL!H7+FCL!H17</f>
        <v>-9952.5368572440784</v>
      </c>
      <c r="D22" s="41">
        <f>+FCL!I7+FCL!I17</f>
        <v>-6180.6245032707457</v>
      </c>
      <c r="E22" s="41">
        <f>+FCL!J7+FCL!J17</f>
        <v>-2468.7550549499456</v>
      </c>
      <c r="F22" s="41">
        <f>+FCL!K7+FCL!K17</f>
        <v>4782.6941468019531</v>
      </c>
      <c r="G22" s="41">
        <f>+FCL!L7+FCL!L17</f>
        <v>13108.89776058212</v>
      </c>
      <c r="H22" s="41">
        <f>+FCL!M7+FCL!M17</f>
        <v>15289.433748005857</v>
      </c>
      <c r="I22" s="41">
        <f>+FCL!N7+FCL!N17</f>
        <v>20689.874804445175</v>
      </c>
      <c r="J22" s="41">
        <f>+FCL!O7+FCL!O17</f>
        <v>24619.683093605978</v>
      </c>
      <c r="K22" s="41">
        <f>+FCL!P7+FCL!P17</f>
        <v>28759.910770691313</v>
      </c>
      <c r="L22" s="41">
        <f>+FCL!Q7+FCL!Q17</f>
        <v>30784.997700402808</v>
      </c>
      <c r="M22" s="41">
        <f>+FCL!R7+FCL!R17</f>
        <v>33852.844326859122</v>
      </c>
    </row>
    <row r="23" spans="1:13">
      <c r="A23" t="s">
        <v>159</v>
      </c>
      <c r="C23" s="41">
        <f>+AnalVr.!M15</f>
        <v>198073.38090180967</v>
      </c>
      <c r="D23" s="41">
        <f>+AnalVr.!O15</f>
        <v>182236.86880627202</v>
      </c>
      <c r="E23" s="41">
        <f>+AnalVr.!Q15</f>
        <v>171049.05256440051</v>
      </c>
      <c r="F23" s="41">
        <f>+AnalVr.!S15</f>
        <v>167192.83965617756</v>
      </c>
      <c r="G23" s="41">
        <f>+AnalVr.!U15</f>
        <v>169945.2283840288</v>
      </c>
      <c r="H23" s="41">
        <f>+AnalVr.!W15</f>
        <v>181258.81325611772</v>
      </c>
      <c r="I23" s="41">
        <f>+AnalVr.!Y15</f>
        <v>196548.93084063003</v>
      </c>
      <c r="J23" s="41">
        <f>+AnalVr.!AA15</f>
        <v>216022.41679706509</v>
      </c>
      <c r="K23" s="41">
        <f>+AnalVr.!AC15</f>
        <v>241141.13849155395</v>
      </c>
      <c r="L23" s="41">
        <f>+AnalVr.!AE15</f>
        <v>268873.93862416071</v>
      </c>
      <c r="M23" s="41">
        <f>+AnalVr.!AG15</f>
        <v>303711.62892435695</v>
      </c>
    </row>
    <row r="24" spans="1:13" ht="15.75" thickBot="1"/>
    <row r="25" spans="1:13" ht="17.25" thickTop="1" thickBot="1">
      <c r="A25" s="29" t="s">
        <v>160</v>
      </c>
      <c r="B25" s="30"/>
      <c r="C25" s="50">
        <f t="shared" ref="C25:M25" si="5">+C22/C23</f>
        <v>-5.0246715696632756E-2</v>
      </c>
      <c r="D25" s="50">
        <f t="shared" si="5"/>
        <v>-3.3915335265341365E-2</v>
      </c>
      <c r="E25" s="50">
        <f t="shared" si="5"/>
        <v>-1.4433023848643952E-2</v>
      </c>
      <c r="F25" s="50">
        <f t="shared" si="5"/>
        <v>2.8605855111004084E-2</v>
      </c>
      <c r="G25" s="50">
        <f t="shared" si="5"/>
        <v>7.7136015439984398E-2</v>
      </c>
      <c r="H25" s="50">
        <f t="shared" si="5"/>
        <v>8.4351394965837989E-2</v>
      </c>
      <c r="I25" s="50">
        <f t="shared" si="5"/>
        <v>0.10526577130669501</v>
      </c>
      <c r="J25" s="50">
        <f t="shared" si="5"/>
        <v>0.11396818653655792</v>
      </c>
      <c r="K25" s="50">
        <f t="shared" si="5"/>
        <v>0.11926588283773339</v>
      </c>
      <c r="L25" s="50">
        <f t="shared" si="5"/>
        <v>0.11449602686645995</v>
      </c>
      <c r="M25" s="50">
        <f t="shared" si="5"/>
        <v>0.1114637738658686</v>
      </c>
    </row>
    <row r="26" spans="1:13" ht="15.75" thickTop="1"/>
    <row r="27" spans="1:13">
      <c r="A27" t="s">
        <v>165</v>
      </c>
      <c r="C27" s="48">
        <f>+WACC!H30</f>
        <v>0.12136750586087716</v>
      </c>
      <c r="D27" s="48">
        <f>+WACC!I30</f>
        <v>0.11660496481028976</v>
      </c>
      <c r="E27" s="48">
        <f>+WACC!J30</f>
        <v>0.11854457043821189</v>
      </c>
      <c r="F27" s="48">
        <f>+WACC!K30</f>
        <v>0.12015777640710752</v>
      </c>
      <c r="G27" s="48">
        <f>+WACC!L30</f>
        <v>0.1220814083276502</v>
      </c>
      <c r="H27" s="48">
        <f>+WACC!M30</f>
        <v>0.12267692409830372</v>
      </c>
      <c r="I27" s="48">
        <f>+WACC!N30</f>
        <v>0.12485633344957546</v>
      </c>
      <c r="J27" s="48">
        <f>+WACC!O30</f>
        <v>0.12377970313073336</v>
      </c>
      <c r="K27" s="303">
        <f>+WACC!P30</f>
        <v>0.1287524900180613</v>
      </c>
      <c r="L27" s="303">
        <f>+WACC!Q30</f>
        <v>0.12733817781205278</v>
      </c>
      <c r="M27" s="303">
        <f>+WACC!R30</f>
        <v>0.12733817781205278</v>
      </c>
    </row>
    <row r="28" spans="1:13">
      <c r="A28" s="28" t="s">
        <v>166</v>
      </c>
      <c r="B28" s="49"/>
      <c r="C28" s="49">
        <f t="shared" ref="C28:M28" si="6">C25-C27</f>
        <v>-0.17161422155750991</v>
      </c>
      <c r="D28" s="49">
        <f t="shared" si="6"/>
        <v>-0.15052030007563111</v>
      </c>
      <c r="E28" s="49">
        <f t="shared" si="6"/>
        <v>-0.13297759428685585</v>
      </c>
      <c r="F28" s="49">
        <f t="shared" si="6"/>
        <v>-9.1551921296103442E-2</v>
      </c>
      <c r="G28" s="49">
        <f t="shared" si="6"/>
        <v>-4.4945392887665803E-2</v>
      </c>
      <c r="H28" s="49">
        <f t="shared" si="6"/>
        <v>-3.832552913246573E-2</v>
      </c>
      <c r="I28" s="49">
        <f t="shared" si="6"/>
        <v>-1.9590562142880449E-2</v>
      </c>
      <c r="J28" s="49">
        <f t="shared" si="6"/>
        <v>-9.8115165941754373E-3</v>
      </c>
      <c r="K28" s="49">
        <f t="shared" si="6"/>
        <v>-9.4866071803279134E-3</v>
      </c>
      <c r="L28" s="49">
        <f t="shared" si="6"/>
        <v>-1.2842150945592837E-2</v>
      </c>
      <c r="M28" s="49">
        <f t="shared" si="6"/>
        <v>-1.5874403946184182E-2</v>
      </c>
    </row>
    <row r="29" spans="1:13" ht="15.75" thickBot="1">
      <c r="A29" s="28"/>
      <c r="B29" s="49"/>
      <c r="C29" s="49"/>
      <c r="D29" s="49"/>
      <c r="E29" s="49"/>
      <c r="F29" s="49"/>
      <c r="G29" s="49"/>
      <c r="H29" s="49"/>
      <c r="I29" s="49"/>
      <c r="J29" s="49"/>
    </row>
    <row r="30" spans="1:13" ht="17.25" thickTop="1" thickBot="1">
      <c r="A30" s="29" t="s">
        <v>167</v>
      </c>
      <c r="B30" s="64"/>
      <c r="C30" s="45">
        <f t="shared" ref="C30:H30" si="7">C28*C23</f>
        <v>-33992.209074728213</v>
      </c>
      <c r="D30" s="45">
        <f t="shared" si="7"/>
        <v>-27430.348177563483</v>
      </c>
      <c r="E30" s="45">
        <f t="shared" si="7"/>
        <v>-22745.691515059931</v>
      </c>
      <c r="F30" s="45">
        <f t="shared" si="7"/>
        <v>-15306.825697474411</v>
      </c>
      <c r="G30" s="45">
        <f t="shared" si="7"/>
        <v>-7638.2550591042682</v>
      </c>
      <c r="H30" s="45">
        <f t="shared" si="7"/>
        <v>-6946.839927963505</v>
      </c>
      <c r="I30" s="45">
        <f>I28*I23</f>
        <v>-3850.5040437500743</v>
      </c>
      <c r="J30" s="45">
        <f>J28*J23</f>
        <v>-2119.5075271182868</v>
      </c>
      <c r="K30" s="45">
        <f>K28*K23</f>
        <v>-2287.6112558864234</v>
      </c>
      <c r="L30" s="45">
        <f>L28*L23</f>
        <v>-3452.9197051475358</v>
      </c>
      <c r="M30" s="45">
        <f>M28*M23</f>
        <v>-4821.2410806988382</v>
      </c>
    </row>
    <row r="31" spans="1:13" ht="15.75" thickTop="1"/>
    <row r="32" spans="1:13">
      <c r="A32" t="s">
        <v>158</v>
      </c>
      <c r="C32" s="41">
        <f t="shared" ref="C32:H32" si="8">+C22</f>
        <v>-9952.5368572440784</v>
      </c>
      <c r="D32" s="41">
        <f t="shared" si="8"/>
        <v>-6180.6245032707457</v>
      </c>
      <c r="E32" s="41">
        <f t="shared" si="8"/>
        <v>-2468.7550549499456</v>
      </c>
      <c r="F32" s="41">
        <f t="shared" si="8"/>
        <v>4782.6941468019531</v>
      </c>
      <c r="G32" s="41">
        <f t="shared" si="8"/>
        <v>13108.89776058212</v>
      </c>
      <c r="H32" s="41">
        <f t="shared" si="8"/>
        <v>15289.433748005857</v>
      </c>
      <c r="I32" s="41">
        <f>+I22</f>
        <v>20689.874804445175</v>
      </c>
      <c r="J32" s="41">
        <f>+J22</f>
        <v>24619.683093605978</v>
      </c>
      <c r="K32" s="41">
        <f>+K22</f>
        <v>28759.910770691313</v>
      </c>
      <c r="L32" s="41">
        <f>+L22</f>
        <v>30784.997700402808</v>
      </c>
      <c r="M32" s="41">
        <f>+M22</f>
        <v>33852.844326859122</v>
      </c>
    </row>
    <row r="33" spans="1:13">
      <c r="A33" t="s">
        <v>237</v>
      </c>
      <c r="C33" s="41">
        <f>+FCL!H34</f>
        <v>-1745.7265754408631</v>
      </c>
      <c r="D33" s="41">
        <f>+FCL!I34</f>
        <v>-1158.6054597766545</v>
      </c>
      <c r="E33" s="41">
        <f>+FCL!J34</f>
        <v>-842.53338065597109</v>
      </c>
      <c r="F33" s="41">
        <f>+FCL!K34</f>
        <v>-556.59079881722232</v>
      </c>
      <c r="G33" s="41">
        <f>+FCL!L34</f>
        <v>-175.47388545216199</v>
      </c>
      <c r="H33" s="41">
        <f>+FCL!M34</f>
        <v>265.09422857589641</v>
      </c>
      <c r="I33" s="41">
        <f>+FCL!N34</f>
        <v>410.26042647751615</v>
      </c>
      <c r="J33" s="41">
        <f>+FCL!O34</f>
        <v>681.58191022091444</v>
      </c>
      <c r="K33">
        <f>+FCL!P34</f>
        <v>945.54221305058741</v>
      </c>
      <c r="L33">
        <f>+FCL!Q34</f>
        <v>1189.2610624848148</v>
      </c>
      <c r="M33">
        <f>+FCL!R34</f>
        <v>1439.7714911257585</v>
      </c>
    </row>
    <row r="34" spans="1:13" ht="15.75" thickBot="1"/>
    <row r="35" spans="1:13" ht="17.25" thickTop="1" thickBot="1">
      <c r="A35" s="29" t="s">
        <v>238</v>
      </c>
      <c r="B35" s="30"/>
      <c r="C35" s="73">
        <f t="shared" ref="C35:M35" si="9">SUM(C32:C34)</f>
        <v>-11698.263432684942</v>
      </c>
      <c r="D35" s="73">
        <f t="shared" si="9"/>
        <v>-7339.2299630473999</v>
      </c>
      <c r="E35" s="73">
        <f t="shared" si="9"/>
        <v>-3311.2884356059167</v>
      </c>
      <c r="F35" s="73">
        <f t="shared" si="9"/>
        <v>4226.103347984731</v>
      </c>
      <c r="G35" s="73">
        <f t="shared" si="9"/>
        <v>12933.423875129958</v>
      </c>
      <c r="H35" s="73">
        <f t="shared" si="9"/>
        <v>15554.527976581752</v>
      </c>
      <c r="I35" s="73">
        <f t="shared" si="9"/>
        <v>21100.13523092269</v>
      </c>
      <c r="J35" s="73">
        <f t="shared" si="9"/>
        <v>25301.265003826891</v>
      </c>
      <c r="K35" s="73">
        <f t="shared" si="9"/>
        <v>29705.4529837419</v>
      </c>
      <c r="L35" s="73">
        <f t="shared" si="9"/>
        <v>31974.258762887621</v>
      </c>
      <c r="M35" s="73">
        <f t="shared" si="9"/>
        <v>35292.615817984879</v>
      </c>
    </row>
    <row r="36" spans="1:13" ht="15.75" thickTop="1"/>
    <row r="37" spans="1:13">
      <c r="A37" t="s">
        <v>239</v>
      </c>
      <c r="C37" s="41">
        <f>C16-AnalVr.!W26</f>
        <v>6881.425573395536</v>
      </c>
      <c r="D37" s="41">
        <f>D16-C16</f>
        <v>10610.829310257279</v>
      </c>
      <c r="E37" s="41">
        <f t="shared" ref="E37:J37" si="10">E16-D16</f>
        <v>8708.2636645583843</v>
      </c>
      <c r="F37" s="41">
        <f t="shared" si="10"/>
        <v>13013.922845284804</v>
      </c>
      <c r="G37" s="41">
        <f t="shared" si="10"/>
        <v>7699.5442601034301</v>
      </c>
      <c r="H37" s="41">
        <f t="shared" si="10"/>
        <v>5576.9074157484865</v>
      </c>
      <c r="I37" s="41">
        <f t="shared" si="10"/>
        <v>5262.7275914447091</v>
      </c>
      <c r="J37" s="41">
        <f t="shared" si="10"/>
        <v>4810.0770365412754</v>
      </c>
      <c r="K37" s="41">
        <f>K16-J16</f>
        <v>3263.2036637444689</v>
      </c>
      <c r="L37" s="41">
        <f>L16-K16</f>
        <v>3177.8078648207593</v>
      </c>
      <c r="M37" s="41">
        <f>M16-L16</f>
        <v>360.98842009052169</v>
      </c>
    </row>
    <row r="38" spans="1:13" ht="15.75" thickBot="1"/>
    <row r="39" spans="1:13" ht="17.25" thickTop="1" thickBot="1">
      <c r="A39" s="29" t="s">
        <v>240</v>
      </c>
      <c r="B39" s="30"/>
      <c r="C39" s="73">
        <f>IF(AND(C35&gt;0,(C35-C37)&gt;0),C35-C37,0)</f>
        <v>0</v>
      </c>
      <c r="D39" s="73">
        <f t="shared" ref="D39:M39" si="11">IF(AND(D35&gt;0,(D35-D37)&gt;0),D35-D37,0)</f>
        <v>0</v>
      </c>
      <c r="E39" s="73">
        <f t="shared" si="11"/>
        <v>0</v>
      </c>
      <c r="F39" s="73">
        <f t="shared" si="11"/>
        <v>0</v>
      </c>
      <c r="G39" s="73">
        <f t="shared" si="11"/>
        <v>5233.879615026528</v>
      </c>
      <c r="H39" s="73">
        <f t="shared" si="11"/>
        <v>9977.6205608332657</v>
      </c>
      <c r="I39" s="73">
        <f t="shared" si="11"/>
        <v>15837.40763947798</v>
      </c>
      <c r="J39" s="73">
        <f t="shared" si="11"/>
        <v>20491.187967285616</v>
      </c>
      <c r="K39" s="73">
        <f t="shared" si="11"/>
        <v>26442.249319997431</v>
      </c>
      <c r="L39" s="73">
        <f t="shared" si="11"/>
        <v>28796.450898066862</v>
      </c>
      <c r="M39" s="73">
        <f t="shared" si="11"/>
        <v>34931.627397894357</v>
      </c>
    </row>
    <row r="40" spans="1:13" ht="15.75" thickTop="1"/>
  </sheetData>
  <phoneticPr fontId="0" type="noConversion"/>
  <printOptions horizontalCentered="1" verticalCentered="1"/>
  <pageMargins left="0.78740157480314965" right="0.78740157480314965" top="0.98425196850393704" bottom="0.98425196850393704" header="0.51181102362204722" footer="0.51181102362204722"/>
  <pageSetup firstPageNumber="17" orientation="portrait" blackAndWhite="1" horizontalDpi="300" verticalDpi="300"/>
  <headerFooter>
    <oddHeader>&amp;A</oddHeader>
    <oddFooter>&amp;CCia.Modelo -  EVA&amp;RPágina &amp;P</oddFooter>
  </headerFooter>
  <legacyDrawing r:id="rId1"/>
</worksheet>
</file>

<file path=xl/worksheets/sheet26.xml><?xml version="1.0" encoding="utf-8"?>
<worksheet xmlns="http://schemas.openxmlformats.org/spreadsheetml/2006/main" xmlns:r="http://schemas.openxmlformats.org/officeDocument/2006/relationships">
  <sheetPr transitionEvaluation="1" enableFormatConditionsCalculation="0"/>
  <dimension ref="A1:P28"/>
  <sheetViews>
    <sheetView showGridLines="0" zoomScale="75" workbookViewId="0">
      <selection activeCell="G8" sqref="G8"/>
    </sheetView>
  </sheetViews>
  <sheetFormatPr baseColWidth="10" defaultColWidth="8.88671875" defaultRowHeight="15"/>
  <cols>
    <col min="1" max="1" width="26.88671875" customWidth="1"/>
    <col min="2" max="12" width="11.33203125" customWidth="1"/>
    <col min="13" max="13" width="4.6640625" customWidth="1"/>
    <col min="14" max="14" width="7" customWidth="1"/>
  </cols>
  <sheetData>
    <row r="1" spans="1:16" ht="15.75">
      <c r="A1" s="1" t="str">
        <f>+Balance!A1</f>
        <v>ENKA de Colombia S.A.</v>
      </c>
      <c r="B1" s="28"/>
      <c r="C1" s="28"/>
      <c r="D1" s="28"/>
      <c r="E1" s="28"/>
      <c r="F1" s="28"/>
      <c r="G1" s="28"/>
      <c r="H1" s="28"/>
      <c r="I1" s="28"/>
      <c r="J1" s="28"/>
      <c r="K1" s="28"/>
      <c r="L1" s="28"/>
      <c r="M1" s="28"/>
      <c r="N1" s="28"/>
      <c r="O1" s="28"/>
      <c r="P1" s="28"/>
    </row>
    <row r="2" spans="1:16" ht="15.75">
      <c r="A2" s="27" t="s">
        <v>200</v>
      </c>
      <c r="B2" s="28"/>
      <c r="C2" s="28"/>
      <c r="D2" s="28"/>
      <c r="E2" s="28"/>
      <c r="F2" s="28"/>
      <c r="G2" s="28"/>
      <c r="H2" s="28"/>
      <c r="I2" s="28"/>
      <c r="J2" s="28"/>
      <c r="K2" s="28"/>
      <c r="L2" s="28"/>
      <c r="M2" s="28"/>
      <c r="N2" s="28"/>
      <c r="O2" s="28"/>
      <c r="P2" s="28"/>
    </row>
    <row r="4" spans="1:16" ht="16.5" thickBot="1">
      <c r="A4" s="28"/>
      <c r="B4" s="33">
        <v>2014</v>
      </c>
      <c r="C4" s="33">
        <f t="shared" ref="C4:I4" si="0">+B4+1</f>
        <v>2015</v>
      </c>
      <c r="D4" s="33">
        <f t="shared" si="0"/>
        <v>2016</v>
      </c>
      <c r="E4" s="33">
        <f t="shared" si="0"/>
        <v>2017</v>
      </c>
      <c r="F4" s="33">
        <f t="shared" si="0"/>
        <v>2018</v>
      </c>
      <c r="G4" s="33">
        <f t="shared" si="0"/>
        <v>2019</v>
      </c>
      <c r="H4" s="33">
        <f t="shared" si="0"/>
        <v>2020</v>
      </c>
      <c r="I4" s="33">
        <f t="shared" si="0"/>
        <v>2021</v>
      </c>
      <c r="J4" s="33">
        <f>+I4+1</f>
        <v>2022</v>
      </c>
      <c r="K4" s="33">
        <f>+J4+1</f>
        <v>2023</v>
      </c>
      <c r="L4" s="33">
        <f>+K4+1</f>
        <v>2024</v>
      </c>
      <c r="M4" s="28"/>
      <c r="N4" s="33" t="s">
        <v>201</v>
      </c>
      <c r="O4" s="28"/>
      <c r="P4" s="28"/>
    </row>
    <row r="6" spans="1:16">
      <c r="A6" s="28" t="s">
        <v>181</v>
      </c>
      <c r="B6" s="7">
        <f t="shared" ref="B6:G6" si="1">B7+B8+(B7*B8)</f>
        <v>0.13718</v>
      </c>
      <c r="C6" s="7">
        <f t="shared" si="1"/>
        <v>0.14180000000000001</v>
      </c>
      <c r="D6" s="7">
        <f t="shared" si="1"/>
        <v>0.12814999999999999</v>
      </c>
      <c r="E6" s="7">
        <f t="shared" si="1"/>
        <v>0.1178</v>
      </c>
      <c r="F6" s="7">
        <f t="shared" si="1"/>
        <v>9.7100000000000006E-2</v>
      </c>
      <c r="G6" s="7">
        <f t="shared" si="1"/>
        <v>7.640000000000001E-2</v>
      </c>
      <c r="H6" s="7">
        <f>H7+H8+(H7*H8)</f>
        <v>7.640000000000001E-2</v>
      </c>
      <c r="I6" s="7">
        <f>I7+I8+(I7*I8)</f>
        <v>7.640000000000001E-2</v>
      </c>
      <c r="J6" s="7">
        <f>J7+J8+(J7*J8)</f>
        <v>7.640000000000001E-2</v>
      </c>
      <c r="K6" s="7">
        <f>K7+K8+(K7*K8)</f>
        <v>7.640000000000001E-2</v>
      </c>
      <c r="L6" s="7">
        <f>L7+L8+(L7*L8)</f>
        <v>7.640000000000001E-2</v>
      </c>
      <c r="M6" s="28"/>
      <c r="N6" s="85"/>
      <c r="O6" s="28"/>
      <c r="P6" s="28"/>
    </row>
    <row r="7" spans="1:16">
      <c r="A7" s="28" t="s">
        <v>182</v>
      </c>
      <c r="B7" s="7">
        <f>10%*(1+N7)</f>
        <v>0.1</v>
      </c>
      <c r="C7" s="7">
        <f>10%*(1+N7)</f>
        <v>0.1</v>
      </c>
      <c r="D7" s="7">
        <f>9%*(1+N7)</f>
        <v>0.09</v>
      </c>
      <c r="E7" s="7">
        <f>8%*(1+N7)</f>
        <v>0.08</v>
      </c>
      <c r="F7" s="7">
        <f>6%*(1+N7)</f>
        <v>0.06</v>
      </c>
      <c r="G7" s="7">
        <f>4%*(1+N7)</f>
        <v>0.04</v>
      </c>
      <c r="H7" s="7">
        <f>4%*(1+N7)</f>
        <v>0.04</v>
      </c>
      <c r="I7" s="7">
        <f>4%*(1+N7)</f>
        <v>0.04</v>
      </c>
      <c r="J7" s="7">
        <f>4%*(1+O7)</f>
        <v>0.04</v>
      </c>
      <c r="K7" s="7">
        <f>4%*(1+P7)</f>
        <v>0.04</v>
      </c>
      <c r="L7" s="7">
        <f>4%*(1+Q7)</f>
        <v>0.04</v>
      </c>
      <c r="M7" s="28"/>
      <c r="N7" s="87">
        <v>0</v>
      </c>
      <c r="O7" s="28"/>
      <c r="P7" s="28"/>
    </row>
    <row r="8" spans="1:16">
      <c r="A8" s="28" t="s">
        <v>180</v>
      </c>
      <c r="B8" s="7">
        <f>3.38%*(1+N8)</f>
        <v>3.3799999999999997E-2</v>
      </c>
      <c r="C8" s="7">
        <f>3.8%*(1+N8)</f>
        <v>3.7999999999999999E-2</v>
      </c>
      <c r="D8" s="7">
        <f>3.5%*(1+N8)</f>
        <v>3.5000000000000003E-2</v>
      </c>
      <c r="E8" s="7">
        <f>3.5%*(1+N8)</f>
        <v>3.5000000000000003E-2</v>
      </c>
      <c r="F8" s="7">
        <f>3.5%*(1+N8)</f>
        <v>3.5000000000000003E-2</v>
      </c>
      <c r="G8" s="7">
        <f>3.5%*(1+N8)</f>
        <v>3.5000000000000003E-2</v>
      </c>
      <c r="H8" s="7">
        <f>3.5%*(1+N8)</f>
        <v>3.5000000000000003E-2</v>
      </c>
      <c r="I8" s="7">
        <f>3.5%*(1+N8)</f>
        <v>3.5000000000000003E-2</v>
      </c>
      <c r="J8" s="7">
        <f>3.5%*(1+O8)</f>
        <v>3.5000000000000003E-2</v>
      </c>
      <c r="K8" s="7">
        <f>3.5%*(1+P8)</f>
        <v>3.5000000000000003E-2</v>
      </c>
      <c r="L8" s="7">
        <f>3.5%*(1+Q8)</f>
        <v>3.5000000000000003E-2</v>
      </c>
      <c r="M8" s="28"/>
      <c r="N8" s="87">
        <v>0</v>
      </c>
      <c r="O8" s="28"/>
      <c r="P8" s="7"/>
    </row>
    <row r="9" spans="1:16">
      <c r="A9" s="28" t="s">
        <v>183</v>
      </c>
      <c r="B9" s="7">
        <f>34.5%*(1+N9)</f>
        <v>0.34499999999999997</v>
      </c>
      <c r="C9" s="7">
        <f>34.5%*(1+N9)</f>
        <v>0.34499999999999997</v>
      </c>
      <c r="D9" s="7">
        <f>35%*(1+N9)</f>
        <v>0.35</v>
      </c>
      <c r="E9" s="7">
        <f>35%*(1+N9)</f>
        <v>0.35</v>
      </c>
      <c r="F9" s="7">
        <f>35%*(1+N9)</f>
        <v>0.35</v>
      </c>
      <c r="G9" s="7">
        <f>35%*(1+N9)</f>
        <v>0.35</v>
      </c>
      <c r="H9" s="7">
        <f>35%*(1+N9)</f>
        <v>0.35</v>
      </c>
      <c r="I9" s="7">
        <f>35%*(1+N9)</f>
        <v>0.35</v>
      </c>
      <c r="J9" s="7">
        <f>35%*(1+N9)</f>
        <v>0.35</v>
      </c>
      <c r="K9" s="7">
        <f>35%*(1+N9)</f>
        <v>0.35</v>
      </c>
      <c r="L9" s="7">
        <f>35%*(1+N9)</f>
        <v>0.35</v>
      </c>
      <c r="M9" s="28"/>
      <c r="N9" s="87">
        <v>0</v>
      </c>
      <c r="O9" s="28"/>
      <c r="P9" s="28"/>
    </row>
    <row r="10" spans="1:16">
      <c r="A10" s="28" t="s">
        <v>168</v>
      </c>
      <c r="B10" s="7">
        <f>-Impuestos!H27*(1+$N10)</f>
        <v>0.25</v>
      </c>
      <c r="C10" s="7">
        <f>-Impuestos!I27*(1+$N10)</f>
        <v>0.25</v>
      </c>
      <c r="D10" s="7">
        <f>-Impuestos!J27*(1+$N10)</f>
        <v>0.25</v>
      </c>
      <c r="E10" s="7">
        <f>-Impuestos!K27*(1+$N10)</f>
        <v>0.25</v>
      </c>
      <c r="F10" s="7">
        <f>-Impuestos!L27*(1+$N10)</f>
        <v>0.25</v>
      </c>
      <c r="G10" s="7">
        <f>-Impuestos!M27*(1+$N10)</f>
        <v>0.25</v>
      </c>
      <c r="H10" s="7">
        <f>-Impuestos!N27*(1+$N10)</f>
        <v>0.25</v>
      </c>
      <c r="I10" s="7">
        <f>-Impuestos!O27*(1+$N10)</f>
        <v>0.25</v>
      </c>
      <c r="J10" s="7">
        <f>-Impuestos!P27*(1+$N10)</f>
        <v>0.25</v>
      </c>
      <c r="K10" s="7">
        <f>-Impuestos!Q27*(1+$N10)</f>
        <v>0.25</v>
      </c>
      <c r="L10" s="7">
        <f>-Impuestos!R27*(1+$N10)</f>
        <v>0.25</v>
      </c>
      <c r="M10" s="28"/>
      <c r="N10" s="87">
        <v>0</v>
      </c>
      <c r="O10" s="28"/>
      <c r="P10" s="7"/>
    </row>
    <row r="11" spans="1:16">
      <c r="A11" s="28" t="s">
        <v>185</v>
      </c>
      <c r="B11" s="7">
        <f>32%*(1+N11)</f>
        <v>0.32</v>
      </c>
      <c r="C11" s="7">
        <f>33.5%*(1+N11)</f>
        <v>0.33500000000000002</v>
      </c>
      <c r="D11" s="7">
        <f>33%*(1+N11)</f>
        <v>0.33</v>
      </c>
      <c r="E11" s="7">
        <f>32.5%*(1+N11)</f>
        <v>0.32500000000000001</v>
      </c>
      <c r="F11" s="7">
        <f>32%*(1+N11)</f>
        <v>0.32</v>
      </c>
      <c r="G11" s="7">
        <f>32%*(1+N11)</f>
        <v>0.32</v>
      </c>
      <c r="H11" s="7">
        <f>32%*(1+N11)</f>
        <v>0.32</v>
      </c>
      <c r="I11" s="7">
        <f>32%*(1+N11)</f>
        <v>0.32</v>
      </c>
      <c r="J11" s="7">
        <f>32%*(1+N11)</f>
        <v>0.32</v>
      </c>
      <c r="K11" s="7">
        <f>32%*(1+N11)</f>
        <v>0.32</v>
      </c>
      <c r="L11" s="7">
        <f>32%*(1+N11)</f>
        <v>0.32</v>
      </c>
      <c r="M11" s="28"/>
      <c r="N11" s="87">
        <v>0</v>
      </c>
      <c r="O11" s="28"/>
      <c r="P11" s="28"/>
    </row>
    <row r="12" spans="1:16">
      <c r="A12" s="28" t="s">
        <v>70</v>
      </c>
      <c r="B12" s="7">
        <f>8%*(1+N12)</f>
        <v>0.08</v>
      </c>
      <c r="C12" s="7">
        <f>8%*(1+N12)</f>
        <v>0.08</v>
      </c>
      <c r="D12" s="7">
        <f>8%*(1+N12)</f>
        <v>0.08</v>
      </c>
      <c r="E12" s="7">
        <f>8%*(1+N12)</f>
        <v>0.08</v>
      </c>
      <c r="F12" s="7">
        <f>6.5%*(1+N12)</f>
        <v>6.5000000000000002E-2</v>
      </c>
      <c r="G12" s="7">
        <f>6.5%*(1+N12)</f>
        <v>6.5000000000000002E-2</v>
      </c>
      <c r="H12" s="7">
        <f>6.5%*(1+N12)</f>
        <v>6.5000000000000002E-2</v>
      </c>
      <c r="I12" s="7">
        <f>6.5%*(1+N12)</f>
        <v>6.5000000000000002E-2</v>
      </c>
      <c r="J12" s="7">
        <f>6.5%*(1+N12)</f>
        <v>6.5000000000000002E-2</v>
      </c>
      <c r="K12" s="7">
        <f>6.5%*(1+N12)</f>
        <v>6.5000000000000002E-2</v>
      </c>
      <c r="L12" s="7">
        <f>6.5%*(1+N12)</f>
        <v>6.5000000000000002E-2</v>
      </c>
      <c r="M12" s="28"/>
      <c r="N12" s="87">
        <v>0</v>
      </c>
      <c r="O12" s="28"/>
      <c r="P12" s="28"/>
    </row>
    <row r="13" spans="1:16">
      <c r="A13" s="28" t="s">
        <v>187</v>
      </c>
      <c r="B13" s="7">
        <f>8%*(1+N13)</f>
        <v>0.08</v>
      </c>
      <c r="C13" s="7">
        <f>8%*(1+N13)</f>
        <v>0.08</v>
      </c>
      <c r="D13" s="7">
        <f>8%*(1+N13)</f>
        <v>0.08</v>
      </c>
      <c r="E13" s="7">
        <f>8%*(1+N13)</f>
        <v>0.08</v>
      </c>
      <c r="F13" s="7">
        <f>8%*(1+N13)</f>
        <v>0.08</v>
      </c>
      <c r="G13" s="7">
        <f>8%*(1+N13)</f>
        <v>0.08</v>
      </c>
      <c r="H13" s="7">
        <f>8%*(1+N13)</f>
        <v>0.08</v>
      </c>
      <c r="I13" s="7">
        <f>8%*(1+N13)</f>
        <v>0.08</v>
      </c>
      <c r="J13" s="7">
        <f>8%*(1+N13)</f>
        <v>0.08</v>
      </c>
      <c r="K13" s="7">
        <f>8%*(1+N13)</f>
        <v>0.08</v>
      </c>
      <c r="L13" s="7">
        <f>8%*(1+N13)</f>
        <v>0.08</v>
      </c>
      <c r="M13" s="28"/>
      <c r="N13" s="87">
        <v>0</v>
      </c>
      <c r="O13" s="28"/>
      <c r="P13" s="7"/>
    </row>
    <row r="15" spans="1:16">
      <c r="A15" s="28" t="s">
        <v>202</v>
      </c>
      <c r="B15" s="40">
        <f>Resultados!H6*(1+B6)</f>
        <v>351856.9043074997</v>
      </c>
      <c r="C15" s="40">
        <f t="shared" ref="C15:I15" si="2">B15*(1+C6)</f>
        <v>401750.21333830315</v>
      </c>
      <c r="D15" s="40">
        <f t="shared" si="2"/>
        <v>453234.50317760668</v>
      </c>
      <c r="E15" s="40">
        <f t="shared" si="2"/>
        <v>506625.52765192871</v>
      </c>
      <c r="F15" s="40">
        <f t="shared" si="2"/>
        <v>555818.86638693092</v>
      </c>
      <c r="G15" s="40">
        <f t="shared" si="2"/>
        <v>598283.42777889245</v>
      </c>
      <c r="H15" s="40">
        <f t="shared" si="2"/>
        <v>643992.28166119987</v>
      </c>
      <c r="I15" s="40">
        <f t="shared" si="2"/>
        <v>693193.29198011558</v>
      </c>
      <c r="J15" s="40">
        <f>I15*(1+J6)</f>
        <v>746153.25948739646</v>
      </c>
      <c r="K15" s="40">
        <f>J15*(1+K6)</f>
        <v>803159.3685122336</v>
      </c>
      <c r="L15" s="40">
        <f>K15*(1+L6)</f>
        <v>864520.74426656822</v>
      </c>
      <c r="M15" s="28"/>
      <c r="N15" s="28"/>
      <c r="O15" s="28"/>
      <c r="P15" s="28"/>
    </row>
    <row r="16" spans="1:16">
      <c r="A16" s="28" t="s">
        <v>76</v>
      </c>
      <c r="B16" s="40">
        <f t="shared" ref="B16:L16" si="3">B15*B9</f>
        <v>121390.63198608739</v>
      </c>
      <c r="C16" s="40">
        <f t="shared" si="3"/>
        <v>138603.82360171457</v>
      </c>
      <c r="D16" s="40">
        <f t="shared" si="3"/>
        <v>158632.07611216232</v>
      </c>
      <c r="E16" s="40">
        <f t="shared" si="3"/>
        <v>177318.93467817505</v>
      </c>
      <c r="F16" s="40">
        <f t="shared" si="3"/>
        <v>194536.60323542581</v>
      </c>
      <c r="G16" s="40">
        <f t="shared" si="3"/>
        <v>209399.19972261233</v>
      </c>
      <c r="H16" s="40">
        <f t="shared" si="3"/>
        <v>225397.29858141995</v>
      </c>
      <c r="I16" s="40">
        <f t="shared" si="3"/>
        <v>242617.65219304044</v>
      </c>
      <c r="J16" s="40">
        <f t="shared" si="3"/>
        <v>261153.64082058874</v>
      </c>
      <c r="K16" s="40">
        <f t="shared" si="3"/>
        <v>281105.77897928172</v>
      </c>
      <c r="L16" s="40">
        <f t="shared" si="3"/>
        <v>302582.26049329888</v>
      </c>
      <c r="M16" s="28"/>
      <c r="N16" s="28"/>
      <c r="O16" s="28"/>
      <c r="P16" s="28"/>
    </row>
    <row r="17" spans="1:16">
      <c r="A17" s="28" t="s">
        <v>203</v>
      </c>
      <c r="B17" s="40">
        <f t="shared" ref="B17:L17" si="4">B16*-B10</f>
        <v>-30347.657996521848</v>
      </c>
      <c r="C17" s="40">
        <f t="shared" si="4"/>
        <v>-34650.955900428642</v>
      </c>
      <c r="D17" s="40">
        <f t="shared" si="4"/>
        <v>-39658.01902804058</v>
      </c>
      <c r="E17" s="40">
        <f t="shared" si="4"/>
        <v>-44329.733669543763</v>
      </c>
      <c r="F17" s="40">
        <f t="shared" si="4"/>
        <v>-48634.150808856451</v>
      </c>
      <c r="G17" s="40">
        <f t="shared" si="4"/>
        <v>-52349.799930653084</v>
      </c>
      <c r="H17" s="40">
        <f t="shared" si="4"/>
        <v>-56349.324645354987</v>
      </c>
      <c r="I17" s="40">
        <f t="shared" si="4"/>
        <v>-60654.41304826011</v>
      </c>
      <c r="J17" s="40">
        <f t="shared" si="4"/>
        <v>-65288.410205147185</v>
      </c>
      <c r="K17" s="40">
        <f t="shared" si="4"/>
        <v>-70276.44474482043</v>
      </c>
      <c r="L17" s="40">
        <f t="shared" si="4"/>
        <v>-75645.565123324719</v>
      </c>
      <c r="M17" s="28"/>
      <c r="N17" s="28"/>
      <c r="O17" s="28"/>
      <c r="P17" s="28"/>
    </row>
    <row r="18" spans="1:16">
      <c r="A18" s="28" t="s">
        <v>204</v>
      </c>
      <c r="B18" s="40">
        <f t="shared" ref="B18:G18" si="5">B15*B11</f>
        <v>112594.2093783999</v>
      </c>
      <c r="C18" s="40">
        <f t="shared" si="5"/>
        <v>134586.32146833156</v>
      </c>
      <c r="D18" s="40">
        <f t="shared" si="5"/>
        <v>149567.38604861021</v>
      </c>
      <c r="E18" s="40">
        <f t="shared" si="5"/>
        <v>164653.29648687685</v>
      </c>
      <c r="F18" s="40">
        <f t="shared" si="5"/>
        <v>177862.0372438179</v>
      </c>
      <c r="G18" s="40">
        <f t="shared" si="5"/>
        <v>191450.69688924559</v>
      </c>
      <c r="H18" s="40">
        <f>H15*H11</f>
        <v>206077.53013158398</v>
      </c>
      <c r="I18" s="40">
        <f>I15*I11</f>
        <v>221821.85343363698</v>
      </c>
      <c r="J18" s="40">
        <f>J15*J11</f>
        <v>238769.04303596687</v>
      </c>
      <c r="K18" s="40">
        <f>K15*K11</f>
        <v>257010.99792391475</v>
      </c>
      <c r="L18" s="40">
        <f>L15*L11</f>
        <v>276646.63816530182</v>
      </c>
      <c r="M18" s="28"/>
      <c r="N18" s="28"/>
      <c r="O18" s="28"/>
      <c r="P18" s="28"/>
    </row>
    <row r="19" spans="1:16">
      <c r="B19" s="41"/>
      <c r="C19" s="41"/>
      <c r="D19" s="41"/>
      <c r="E19" s="41"/>
      <c r="F19" s="41"/>
      <c r="G19" s="41"/>
      <c r="H19" s="41"/>
      <c r="I19" s="41"/>
      <c r="J19" s="41"/>
      <c r="K19" s="41"/>
      <c r="L19" s="41"/>
    </row>
    <row r="20" spans="1:16" ht="15.75">
      <c r="A20" s="27" t="s">
        <v>205</v>
      </c>
      <c r="B20" s="40"/>
      <c r="C20" s="40"/>
      <c r="D20" s="40"/>
      <c r="E20" s="40"/>
      <c r="F20" s="40"/>
      <c r="G20" s="40"/>
      <c r="H20" s="40"/>
      <c r="I20" s="40"/>
      <c r="J20" s="40"/>
      <c r="K20" s="40"/>
      <c r="L20" s="40"/>
      <c r="M20" s="28"/>
      <c r="N20" s="28"/>
      <c r="O20" s="28"/>
      <c r="P20" s="28"/>
    </row>
    <row r="21" spans="1:16">
      <c r="B21" s="41"/>
      <c r="C21" s="41"/>
      <c r="D21" s="41"/>
      <c r="E21" s="41"/>
      <c r="F21" s="41"/>
      <c r="G21" s="41"/>
      <c r="H21" s="41"/>
      <c r="I21" s="41"/>
      <c r="J21" s="41"/>
      <c r="K21" s="41"/>
      <c r="L21" s="41"/>
    </row>
    <row r="22" spans="1:16">
      <c r="A22" s="28" t="s">
        <v>206</v>
      </c>
      <c r="B22" s="40">
        <f>CapitalFijo!G6</f>
        <v>487446</v>
      </c>
      <c r="C22" s="40">
        <f t="shared" ref="C22:I22" si="6">B24</f>
        <v>515594.55234459997</v>
      </c>
      <c r="D22" s="40">
        <f t="shared" si="6"/>
        <v>547734.56941166427</v>
      </c>
      <c r="E22" s="40">
        <f t="shared" si="6"/>
        <v>583993.32966587285</v>
      </c>
      <c r="F22" s="40">
        <f t="shared" si="6"/>
        <v>624523.3718780271</v>
      </c>
      <c r="G22" s="40">
        <f t="shared" si="6"/>
        <v>660651.5981931776</v>
      </c>
      <c r="H22" s="40">
        <f t="shared" si="6"/>
        <v>699540.02099880564</v>
      </c>
      <c r="I22" s="40">
        <f t="shared" si="6"/>
        <v>741399.51930678368</v>
      </c>
      <c r="J22" s="40">
        <f>I24</f>
        <v>786457.08328549122</v>
      </c>
      <c r="K22" s="40">
        <f>J24</f>
        <v>834957.04515217198</v>
      </c>
      <c r="L22" s="40">
        <f>K24</f>
        <v>887162.40410546714</v>
      </c>
      <c r="M22" s="28"/>
      <c r="N22" s="28"/>
      <c r="O22" s="28"/>
      <c r="P22" s="28"/>
    </row>
    <row r="23" spans="1:16" ht="15.75" thickBot="1">
      <c r="A23" s="28" t="s">
        <v>207</v>
      </c>
      <c r="B23" s="40">
        <f t="shared" ref="B23:G23" si="7">B15*B12</f>
        <v>28148.552344599975</v>
      </c>
      <c r="C23" s="40">
        <f t="shared" si="7"/>
        <v>32140.017067064251</v>
      </c>
      <c r="D23" s="40">
        <f t="shared" si="7"/>
        <v>36258.760254208537</v>
      </c>
      <c r="E23" s="40">
        <f t="shared" si="7"/>
        <v>40530.042212154302</v>
      </c>
      <c r="F23" s="40">
        <f t="shared" si="7"/>
        <v>36128.22631515051</v>
      </c>
      <c r="G23" s="40">
        <f t="shared" si="7"/>
        <v>38888.422805628012</v>
      </c>
      <c r="H23" s="40">
        <f>H15*H12</f>
        <v>41859.498307977992</v>
      </c>
      <c r="I23" s="40">
        <f>I15*I12</f>
        <v>45057.563978707512</v>
      </c>
      <c r="J23" s="40">
        <f>J15*J12</f>
        <v>48499.961866680773</v>
      </c>
      <c r="K23" s="40">
        <f>K15*K12</f>
        <v>52205.358953295188</v>
      </c>
      <c r="L23" s="40">
        <f>L15*L12</f>
        <v>56193.848377326933</v>
      </c>
      <c r="M23" s="28"/>
      <c r="N23" s="28"/>
      <c r="O23" s="28"/>
      <c r="P23" s="28"/>
    </row>
    <row r="24" spans="1:16" ht="15.75">
      <c r="A24" s="27" t="s">
        <v>208</v>
      </c>
      <c r="B24" s="42">
        <f t="shared" ref="B24:I24" si="8">SUM(B22:B23)</f>
        <v>515594.55234459997</v>
      </c>
      <c r="C24" s="42">
        <f t="shared" si="8"/>
        <v>547734.56941166427</v>
      </c>
      <c r="D24" s="42">
        <f t="shared" si="8"/>
        <v>583993.32966587285</v>
      </c>
      <c r="E24" s="42">
        <f t="shared" si="8"/>
        <v>624523.3718780271</v>
      </c>
      <c r="F24" s="42">
        <f t="shared" si="8"/>
        <v>660651.5981931776</v>
      </c>
      <c r="G24" s="42">
        <f t="shared" si="8"/>
        <v>699540.02099880564</v>
      </c>
      <c r="H24" s="42">
        <f t="shared" si="8"/>
        <v>741399.51930678368</v>
      </c>
      <c r="I24" s="42">
        <f t="shared" si="8"/>
        <v>786457.08328549122</v>
      </c>
      <c r="J24" s="42">
        <f>SUM(J22:J23)</f>
        <v>834957.04515217198</v>
      </c>
      <c r="K24" s="42">
        <f>SUM(K22:K23)</f>
        <v>887162.40410546714</v>
      </c>
      <c r="L24" s="42">
        <f>SUM(L22:L23)</f>
        <v>943356.25248279411</v>
      </c>
      <c r="M24" s="28"/>
      <c r="N24" s="28"/>
      <c r="O24" s="28"/>
      <c r="P24" s="28"/>
    </row>
    <row r="25" spans="1:16">
      <c r="B25" s="41"/>
      <c r="C25" s="41"/>
      <c r="D25" s="41"/>
      <c r="E25" s="41"/>
      <c r="F25" s="41"/>
      <c r="G25" s="41"/>
      <c r="H25" s="41"/>
      <c r="I25" s="41"/>
      <c r="J25" s="41"/>
      <c r="K25" s="41"/>
      <c r="L25" s="41"/>
    </row>
    <row r="26" spans="1:16">
      <c r="A26" s="28" t="s">
        <v>209</v>
      </c>
      <c r="B26" s="40">
        <f t="shared" ref="B26:G26" si="9">B13*B24</f>
        <v>41247.564187568001</v>
      </c>
      <c r="C26" s="40">
        <f t="shared" si="9"/>
        <v>43818.765552933146</v>
      </c>
      <c r="D26" s="40">
        <f t="shared" si="9"/>
        <v>46719.466373269832</v>
      </c>
      <c r="E26" s="40">
        <f t="shared" si="9"/>
        <v>49961.869750242171</v>
      </c>
      <c r="F26" s="40">
        <f t="shared" si="9"/>
        <v>52852.127855454208</v>
      </c>
      <c r="G26" s="40">
        <f t="shared" si="9"/>
        <v>55963.20167990445</v>
      </c>
      <c r="H26" s="40">
        <f>H13*H24</f>
        <v>59311.961544542697</v>
      </c>
      <c r="I26" s="40">
        <f>I13*I24</f>
        <v>62916.566662839301</v>
      </c>
      <c r="J26" s="40">
        <f>J13*J24</f>
        <v>66796.563612173763</v>
      </c>
      <c r="K26" s="40">
        <f>K13*K24</f>
        <v>70972.99232843738</v>
      </c>
      <c r="L26" s="40">
        <f>L13*L24</f>
        <v>75468.500198623529</v>
      </c>
      <c r="M26" s="28"/>
      <c r="N26" s="28"/>
      <c r="O26" s="28"/>
      <c r="P26" s="28"/>
    </row>
    <row r="27" spans="1:16">
      <c r="A27" s="28" t="s">
        <v>210</v>
      </c>
      <c r="B27" s="40">
        <f t="shared" ref="B27:I27" si="10">B23-B26</f>
        <v>-13099.011842968026</v>
      </c>
      <c r="C27" s="40">
        <f t="shared" si="10"/>
        <v>-11678.748485868895</v>
      </c>
      <c r="D27" s="40">
        <f t="shared" si="10"/>
        <v>-10460.706119061295</v>
      </c>
      <c r="E27" s="40">
        <f t="shared" si="10"/>
        <v>-9431.8275380878695</v>
      </c>
      <c r="F27" s="40">
        <f t="shared" si="10"/>
        <v>-16723.901540303697</v>
      </c>
      <c r="G27" s="40">
        <f t="shared" si="10"/>
        <v>-17074.778874276439</v>
      </c>
      <c r="H27" s="40">
        <f t="shared" si="10"/>
        <v>-17452.463236564705</v>
      </c>
      <c r="I27" s="40">
        <f t="shared" si="10"/>
        <v>-17859.002684131789</v>
      </c>
      <c r="J27" s="40">
        <f>J23-J26</f>
        <v>-18296.60174549299</v>
      </c>
      <c r="K27" s="40">
        <f>K23-K26</f>
        <v>-18767.633375142192</v>
      </c>
      <c r="L27" s="40">
        <f>L23-L26</f>
        <v>-19274.651821296597</v>
      </c>
      <c r="M27" s="28"/>
      <c r="N27" s="28"/>
      <c r="O27" s="28"/>
      <c r="P27" s="28"/>
    </row>
    <row r="28" spans="1:16">
      <c r="A28" t="s">
        <v>211</v>
      </c>
      <c r="B28" s="2">
        <f>CapitalFijo!G7-B26</f>
        <v>-402258.56418756803</v>
      </c>
      <c r="C28" s="2">
        <f t="shared" ref="C28:I28" si="11">+B28-C26</f>
        <v>-446077.32974050118</v>
      </c>
      <c r="D28" s="2">
        <f t="shared" si="11"/>
        <v>-492796.79611377104</v>
      </c>
      <c r="E28" s="2">
        <f t="shared" si="11"/>
        <v>-542758.66586401325</v>
      </c>
      <c r="F28" s="2">
        <f t="shared" si="11"/>
        <v>-595610.79371946747</v>
      </c>
      <c r="G28" s="2">
        <f t="shared" si="11"/>
        <v>-651573.99539937195</v>
      </c>
      <c r="H28" s="2">
        <f t="shared" si="11"/>
        <v>-710885.95694391464</v>
      </c>
      <c r="I28" s="2">
        <f t="shared" si="11"/>
        <v>-773802.52360675391</v>
      </c>
      <c r="J28" s="2">
        <f>+I28-J26</f>
        <v>-840599.08721892769</v>
      </c>
      <c r="K28" s="2">
        <f>+J28-K26</f>
        <v>-911572.07954736508</v>
      </c>
      <c r="L28" s="2">
        <f>+K28-L26</f>
        <v>-987040.57974598859</v>
      </c>
    </row>
  </sheetData>
  <phoneticPr fontId="0" type="noConversion"/>
  <printOptions horizontalCentered="1" verticalCentered="1"/>
  <pageMargins left="0.51181102362204722" right="0.51181102362204722" top="0.51181102362204722" bottom="0.51181102362204722" header="0.51181102362204722" footer="0.51181102362204722"/>
  <pageSetup scale="110" firstPageNumber="15" orientation="landscape" blackAndWhite="1" horizontalDpi="300" verticalDpi="300"/>
  <headerFooter>
    <oddHeader>&amp;C&amp;A</oddHeader>
    <oddFooter>&amp;CCia.Modelo -  EVA&amp;RPágina &amp;P</oddFooter>
  </headerFooter>
  <legacyDrawing r:id="rId1"/>
</worksheet>
</file>

<file path=xl/worksheets/sheet27.xml><?xml version="1.0" encoding="utf-8"?>
<worksheet xmlns="http://schemas.openxmlformats.org/spreadsheetml/2006/main" xmlns:r="http://schemas.openxmlformats.org/officeDocument/2006/relationships">
  <sheetPr enableFormatConditionsCalculation="0">
    <pageSetUpPr fitToPage="1"/>
  </sheetPr>
  <dimension ref="A1:M42"/>
  <sheetViews>
    <sheetView showGridLines="0" zoomScale="70" zoomScaleNormal="70" workbookViewId="0">
      <selection activeCell="G9" sqref="G9"/>
    </sheetView>
  </sheetViews>
  <sheetFormatPr baseColWidth="10" defaultColWidth="8.88671875" defaultRowHeight="15"/>
  <cols>
    <col min="1" max="1" width="18.5546875" customWidth="1"/>
    <col min="3" max="6" width="9.5546875" bestFit="1" customWidth="1"/>
    <col min="7" max="8" width="9.44140625" bestFit="1" customWidth="1"/>
    <col min="9" max="13" width="9.109375" bestFit="1" customWidth="1"/>
  </cols>
  <sheetData>
    <row r="1" spans="1:13" ht="15.75">
      <c r="A1" s="1" t="str">
        <f>+Balance!A1</f>
        <v>ENKA de Colombia S.A.</v>
      </c>
      <c r="B1" s="1"/>
      <c r="C1" s="28"/>
      <c r="D1" s="28"/>
      <c r="E1" s="28"/>
      <c r="F1" s="28"/>
      <c r="G1" s="28"/>
      <c r="H1" s="28"/>
    </row>
    <row r="2" spans="1:13" ht="15.75">
      <c r="A2" s="27" t="s">
        <v>252</v>
      </c>
      <c r="B2" s="27"/>
      <c r="C2" s="28"/>
      <c r="D2" s="28"/>
      <c r="E2" s="28"/>
      <c r="F2" s="28"/>
      <c r="G2" s="28"/>
      <c r="H2" s="28"/>
    </row>
    <row r="4" spans="1:13" ht="15.75">
      <c r="A4" s="34" t="s">
        <v>253</v>
      </c>
      <c r="B4" s="34"/>
      <c r="C4" s="34"/>
      <c r="D4" s="34"/>
      <c r="E4" s="34"/>
      <c r="F4" s="34"/>
      <c r="G4" s="34"/>
      <c r="H4" s="34"/>
    </row>
    <row r="5" spans="1:13" ht="15.75">
      <c r="A5" s="34"/>
      <c r="B5" s="34"/>
      <c r="C5" s="34"/>
      <c r="D5" s="34"/>
      <c r="E5" s="34"/>
      <c r="F5" s="34"/>
      <c r="G5" s="34"/>
      <c r="H5" s="34"/>
    </row>
    <row r="6" spans="1:13" ht="16.5" thickBot="1">
      <c r="A6" s="34"/>
      <c r="B6" s="33">
        <v>2013</v>
      </c>
      <c r="C6" s="33">
        <f>+B6+1</f>
        <v>2014</v>
      </c>
      <c r="D6" s="33">
        <f t="shared" ref="D6:M6" si="0">+C6+1</f>
        <v>2015</v>
      </c>
      <c r="E6" s="33">
        <f t="shared" si="0"/>
        <v>2016</v>
      </c>
      <c r="F6" s="33">
        <f t="shared" si="0"/>
        <v>2017</v>
      </c>
      <c r="G6" s="33">
        <f t="shared" si="0"/>
        <v>2018</v>
      </c>
      <c r="H6" s="33">
        <f t="shared" si="0"/>
        <v>2019</v>
      </c>
      <c r="I6" s="33">
        <f t="shared" si="0"/>
        <v>2020</v>
      </c>
      <c r="J6" s="33">
        <f t="shared" si="0"/>
        <v>2021</v>
      </c>
      <c r="K6" s="33">
        <f t="shared" si="0"/>
        <v>2022</v>
      </c>
      <c r="L6" s="33">
        <f t="shared" si="0"/>
        <v>2023</v>
      </c>
      <c r="M6" s="33">
        <f t="shared" si="0"/>
        <v>2024</v>
      </c>
    </row>
    <row r="8" spans="1:13">
      <c r="A8" s="28" t="s">
        <v>254</v>
      </c>
      <c r="B8" s="28"/>
      <c r="C8" s="368">
        <f>+Valoraciones!B8</f>
        <v>9753.5965784138098</v>
      </c>
      <c r="D8" s="368">
        <f>+Valoraciones!C8</f>
        <v>5195.4889099695047</v>
      </c>
      <c r="E8" s="368">
        <f>+Valoraciones!D8</f>
        <v>9252.2557810909311</v>
      </c>
      <c r="F8" s="368">
        <f>+Valoraciones!E8</f>
        <v>15280.231191557486</v>
      </c>
      <c r="G8" s="368">
        <f>+Valoraciones!F8</f>
        <v>18680.078454235532</v>
      </c>
      <c r="H8" s="368">
        <f>+Valoraciones!G8</f>
        <v>12056.661310697538</v>
      </c>
      <c r="I8" s="368">
        <f>+Valoraciones!H8</f>
        <v>14831.734041767133</v>
      </c>
      <c r="J8" s="368">
        <f>+Valoraciones!I8</f>
        <v>19520.75956551393</v>
      </c>
      <c r="K8" s="342">
        <f>+Valoraciones!J8</f>
        <v>23425.311326980089</v>
      </c>
      <c r="L8" s="342">
        <f>+Valoraciones!K8</f>
        <v>24948.067982299435</v>
      </c>
      <c r="M8" s="342">
        <f>+Valoraciones!L8</f>
        <v>27900.239310990713</v>
      </c>
    </row>
    <row r="9" spans="1:13">
      <c r="A9" t="s">
        <v>257</v>
      </c>
      <c r="C9" s="48">
        <f>+Valoraciones!B14</f>
        <v>0.12136750586087719</v>
      </c>
      <c r="D9" s="48">
        <f>+Valoraciones!C14</f>
        <v>0.11660496481028981</v>
      </c>
      <c r="E9" s="48">
        <f>+Valoraciones!D14</f>
        <v>0.11854457043821198</v>
      </c>
      <c r="F9" s="48">
        <f>+Valoraciones!E14</f>
        <v>0.12015777640710756</v>
      </c>
      <c r="G9" s="48">
        <f>+Valoraciones!F14</f>
        <v>0.12208140832765024</v>
      </c>
      <c r="H9" s="48">
        <f>+Valoraciones!G14</f>
        <v>0.12267692409830366</v>
      </c>
      <c r="I9" s="48">
        <f>+Valoraciones!H14</f>
        <v>0.12485633344957536</v>
      </c>
      <c r="J9" s="48">
        <f>+Valoraciones!I14</f>
        <v>0.12377970313073328</v>
      </c>
      <c r="K9" s="303">
        <f>+Valoraciones!J14</f>
        <v>0.12875249001806122</v>
      </c>
      <c r="L9" s="303">
        <f>+Valoraciones!K14</f>
        <v>0.12733817781205281</v>
      </c>
      <c r="M9" s="303">
        <f>+Valoraciones!L14</f>
        <v>0.12733817781205281</v>
      </c>
    </row>
    <row r="10" spans="1:13">
      <c r="A10" s="28" t="s">
        <v>259</v>
      </c>
      <c r="B10" s="28"/>
      <c r="C10" s="7">
        <f>Valoraciones!$B$16</f>
        <v>0</v>
      </c>
      <c r="D10" s="48"/>
      <c r="E10" s="48"/>
      <c r="F10" s="48"/>
      <c r="G10" s="48"/>
      <c r="H10" s="48"/>
    </row>
    <row r="11" spans="1:13">
      <c r="C11" s="48"/>
      <c r="D11" s="48"/>
      <c r="E11" s="48"/>
      <c r="F11" s="48"/>
      <c r="G11" s="48"/>
      <c r="H11" s="48"/>
    </row>
    <row r="12" spans="1:13">
      <c r="A12" s="90">
        <f>C6</f>
        <v>2014</v>
      </c>
      <c r="B12" s="40">
        <f>PV(C9,1,,-C8)</f>
        <v>8697.9482885282505</v>
      </c>
      <c r="G12" s="40"/>
    </row>
    <row r="13" spans="1:13">
      <c r="A13" s="90">
        <f>D6</f>
        <v>2015</v>
      </c>
      <c r="B13" s="40">
        <f>PV($C$9,1,,-C13)</f>
        <v>4149.3388306336337</v>
      </c>
      <c r="C13" s="40">
        <f>PV(D9,1,,-D8)</f>
        <v>4652.933735479327</v>
      </c>
      <c r="D13" s="40"/>
      <c r="E13" s="40"/>
      <c r="F13" s="40"/>
      <c r="G13" s="40"/>
    </row>
    <row r="14" spans="1:13">
      <c r="A14" s="90">
        <f>E6</f>
        <v>2016</v>
      </c>
      <c r="B14" s="40">
        <f>PV($C$9,1,,-C14)</f>
        <v>6606.1254184903873</v>
      </c>
      <c r="C14" s="40">
        <f t="shared" ref="C14:C19" si="1">PV(D$9,1,,-D14)</f>
        <v>7407.8943839367093</v>
      </c>
      <c r="D14" s="40">
        <f>PV(E$9,1,,-E8)</f>
        <v>8271.6916478939929</v>
      </c>
      <c r="E14" s="40"/>
      <c r="F14" s="40"/>
      <c r="G14" s="40"/>
    </row>
    <row r="15" spans="1:13">
      <c r="A15" s="90">
        <f>F6</f>
        <v>2017</v>
      </c>
      <c r="B15" s="40">
        <f>PV($C$9,1,,-C15)</f>
        <v>9739.7971319426415</v>
      </c>
      <c r="C15" s="40">
        <f t="shared" si="1"/>
        <v>10921.892017437445</v>
      </c>
      <c r="D15" s="40">
        <f t="shared" ref="D15:D22" si="2">PV(E$9,1,,-E15)</f>
        <v>12195.438851792524</v>
      </c>
      <c r="E15" s="40">
        <f>PV(F$9,1,,-F8)</f>
        <v>13641.14191178375</v>
      </c>
      <c r="F15" s="40"/>
      <c r="G15" s="40"/>
    </row>
    <row r="16" spans="1:13">
      <c r="A16" s="90">
        <f>G6</f>
        <v>2018</v>
      </c>
      <c r="B16" s="40">
        <f>PV($C$9,1,,-C16)</f>
        <v>10611.439814152909</v>
      </c>
      <c r="C16" s="40">
        <f t="shared" si="1"/>
        <v>11899.323797989458</v>
      </c>
      <c r="D16" s="40">
        <f t="shared" si="2"/>
        <v>13286.844030720264</v>
      </c>
      <c r="E16" s="40">
        <f t="shared" ref="E16:E22" si="3">PV(F$9,1,,-F16)</f>
        <v>14861.927248821519</v>
      </c>
      <c r="F16" s="40">
        <f>PV(G$9,1,,-G8)</f>
        <v>16647.703380164116</v>
      </c>
      <c r="G16" s="40"/>
    </row>
    <row r="17" spans="1:13">
      <c r="A17" s="90">
        <f>H6</f>
        <v>2019</v>
      </c>
      <c r="B17" s="40">
        <f>PV(C$9,1,,-C17)</f>
        <v>6100.5344552055585</v>
      </c>
      <c r="C17" s="40">
        <f t="shared" si="1"/>
        <v>6840.9411064522028</v>
      </c>
      <c r="D17" s="40">
        <f t="shared" si="2"/>
        <v>7638.6288034393265</v>
      </c>
      <c r="E17" s="40">
        <f t="shared" si="3"/>
        <v>8544.146773679995</v>
      </c>
      <c r="F17" s="40">
        <f t="shared" ref="F17:F22" si="4">PV(G$9,1,,-G17)</f>
        <v>9570.7924513013459</v>
      </c>
      <c r="G17" s="40">
        <f>PV(H$9,1,,-H8)</f>
        <v>10739.208272567857</v>
      </c>
    </row>
    <row r="18" spans="1:13">
      <c r="A18" s="90">
        <f>I6</f>
        <v>2020</v>
      </c>
      <c r="B18" s="40">
        <f>PV(C$9,1,,-C18)</f>
        <v>6671.687478901149</v>
      </c>
      <c r="C18" s="40">
        <f t="shared" si="1"/>
        <v>7481.4135480986251</v>
      </c>
      <c r="D18" s="40">
        <f t="shared" si="2"/>
        <v>8353.7835116058905</v>
      </c>
      <c r="E18" s="40">
        <f t="shared" si="3"/>
        <v>9344.0791895230286</v>
      </c>
      <c r="F18" s="40">
        <f t="shared" si="4"/>
        <v>10466.842967508044</v>
      </c>
      <c r="G18" s="40">
        <f>PV(H$9,1,,-H18)</f>
        <v>11744.649897725789</v>
      </c>
      <c r="H18" s="40">
        <f>PV(I$9,1,,-I8)</f>
        <v>13185.447421790246</v>
      </c>
    </row>
    <row r="19" spans="1:13">
      <c r="A19" s="90">
        <f>J6</f>
        <v>2021</v>
      </c>
      <c r="B19" s="40">
        <f>PV($C$9,1,,-C19)</f>
        <v>7813.746073670708</v>
      </c>
      <c r="C19" s="40">
        <f t="shared" si="1"/>
        <v>8762.0809460623441</v>
      </c>
      <c r="D19" s="40">
        <f t="shared" si="2"/>
        <v>9783.7830864428543</v>
      </c>
      <c r="E19" s="40">
        <f t="shared" si="3"/>
        <v>10943.597449685865</v>
      </c>
      <c r="F19" s="40">
        <f t="shared" si="4"/>
        <v>12258.555785134611</v>
      </c>
      <c r="G19" s="40">
        <f>PV(H$9,1,,-H19)</f>
        <v>13755.097539446908</v>
      </c>
      <c r="H19" s="40">
        <f>PV(I$9,1,,-I19)</f>
        <v>15442.530596258399</v>
      </c>
      <c r="I19" s="40">
        <f>PV(J$9,1,,-J8)</f>
        <v>17370.628345690107</v>
      </c>
    </row>
    <row r="20" spans="1:13">
      <c r="A20" s="90">
        <f>K6</f>
        <v>2022</v>
      </c>
      <c r="B20" s="40">
        <f>PV($C$9,1,,-C20)</f>
        <v>8307.0960393407513</v>
      </c>
      <c r="C20" s="40">
        <f>PV(D$9,1,,-D20)</f>
        <v>9315.3075665823089</v>
      </c>
      <c r="D20" s="40">
        <f t="shared" si="2"/>
        <v>10401.518677580665</v>
      </c>
      <c r="E20" s="40">
        <f t="shared" si="3"/>
        <v>11634.562241119504</v>
      </c>
      <c r="F20" s="40">
        <f t="shared" si="4"/>
        <v>13032.545369482517</v>
      </c>
      <c r="G20" s="40">
        <f>PV(H$9,1,,-H20)</f>
        <v>14623.57686228294</v>
      </c>
      <c r="H20" s="40">
        <f>PV(I$9,1,,-I20)</f>
        <v>16417.552291062933</v>
      </c>
      <c r="I20" s="40">
        <f>PV(J$9,1,,-J20)</f>
        <v>18467.387674341728</v>
      </c>
      <c r="J20" s="40">
        <f>PV(K$9,1,,-K8)</f>
        <v>20753.27543827191</v>
      </c>
    </row>
    <row r="21" spans="1:13">
      <c r="A21" s="90">
        <f>L6</f>
        <v>2023</v>
      </c>
      <c r="B21" s="40">
        <f>PV($C$9,1,,-C21)</f>
        <v>7847.7753769992987</v>
      </c>
      <c r="C21" s="40">
        <f>PV(D$9,1,,-D21)</f>
        <v>8800.2403010621092</v>
      </c>
      <c r="D21" s="40">
        <f t="shared" si="2"/>
        <v>9826.3920116895497</v>
      </c>
      <c r="E21" s="40">
        <f t="shared" si="3"/>
        <v>10991.257431672764</v>
      </c>
      <c r="F21" s="40">
        <f t="shared" si="4"/>
        <v>12311.942484580659</v>
      </c>
      <c r="G21" s="40">
        <f>PV(H$9,1,,-H21)</f>
        <v>13815.001762347294</v>
      </c>
      <c r="H21" s="40">
        <f>PV(I$9,1,,-I21)</f>
        <v>15509.783684964705</v>
      </c>
      <c r="I21" s="40">
        <f>PV(J$9,1,,-J21)</f>
        <v>17446.278408465441</v>
      </c>
      <c r="J21" s="40">
        <f>PV(K$9,1,,-K21)</f>
        <v>19605.773570601417</v>
      </c>
      <c r="K21" s="40">
        <f>PV(L$9,1,,-L8)</f>
        <v>22130.065736546643</v>
      </c>
    </row>
    <row r="22" spans="1:13">
      <c r="A22" s="90">
        <f>M6</f>
        <v>2024</v>
      </c>
      <c r="B22" s="40">
        <f>PV($C$9,1,,-C22)</f>
        <v>68922.169997930134</v>
      </c>
      <c r="C22" s="40">
        <f>PV(D$9,1,,-D22)</f>
        <v>77287.0818690983</v>
      </c>
      <c r="D22" s="40">
        <f t="shared" si="2"/>
        <v>86299.139330734499</v>
      </c>
      <c r="E22" s="40">
        <f t="shared" si="3"/>
        <v>96529.433731883822</v>
      </c>
      <c r="F22" s="40">
        <f t="shared" si="4"/>
        <v>108128.19584694423</v>
      </c>
      <c r="G22" s="40">
        <f>PV(H$9,1,,-H22)</f>
        <v>121328.63827586717</v>
      </c>
      <c r="H22" s="40">
        <f>PV(I$9,1,,-I22)</f>
        <v>136212.86242458626</v>
      </c>
      <c r="I22" s="40">
        <f>PV(J$9,1,,-J22)</f>
        <v>153219.90099559154</v>
      </c>
      <c r="J22" s="40">
        <f>PV(K$9,1,,-K22)</f>
        <v>172185.41485454619</v>
      </c>
      <c r="K22" s="40">
        <f>PV(L$9,1,,-L22)</f>
        <v>194354.71576186188</v>
      </c>
      <c r="L22" s="40">
        <f>+M8/(M9-C10)</f>
        <v>219103.49111615683</v>
      </c>
    </row>
    <row r="24" spans="1:13" ht="15.75">
      <c r="A24" s="34" t="s">
        <v>271</v>
      </c>
      <c r="B24" s="34"/>
      <c r="C24" s="34"/>
      <c r="D24" s="34"/>
      <c r="E24" s="34"/>
      <c r="F24" s="34"/>
      <c r="G24" s="34"/>
      <c r="H24" s="34"/>
    </row>
    <row r="25" spans="1:13" ht="15.75">
      <c r="A25" s="34"/>
      <c r="B25" s="34"/>
      <c r="C25" s="34"/>
      <c r="D25" s="34"/>
      <c r="E25" s="34"/>
      <c r="F25" s="34"/>
      <c r="G25" s="34"/>
      <c r="H25" s="34"/>
    </row>
    <row r="26" spans="1:13" ht="16.5" thickBot="1">
      <c r="A26" s="34"/>
      <c r="B26" s="34"/>
      <c r="C26" s="33">
        <f>C6</f>
        <v>2014</v>
      </c>
      <c r="D26" s="33">
        <f t="shared" ref="D26:J26" si="5">+C26+1</f>
        <v>2015</v>
      </c>
      <c r="E26" s="33">
        <f t="shared" si="5"/>
        <v>2016</v>
      </c>
      <c r="F26" s="33">
        <f t="shared" si="5"/>
        <v>2017</v>
      </c>
      <c r="G26" s="33">
        <f t="shared" si="5"/>
        <v>2018</v>
      </c>
      <c r="H26" s="33">
        <f t="shared" si="5"/>
        <v>2019</v>
      </c>
      <c r="I26" s="33">
        <f t="shared" si="5"/>
        <v>2020</v>
      </c>
      <c r="J26" s="33">
        <f t="shared" si="5"/>
        <v>2021</v>
      </c>
      <c r="K26" s="33">
        <f>+J26+1</f>
        <v>2022</v>
      </c>
      <c r="L26" s="33">
        <f>+K26+1</f>
        <v>2023</v>
      </c>
      <c r="M26" s="33">
        <f>+L26+1</f>
        <v>2024</v>
      </c>
    </row>
    <row r="28" spans="1:13">
      <c r="A28" s="28" t="s">
        <v>254</v>
      </c>
      <c r="B28" s="28"/>
      <c r="C28" s="368">
        <f>+Valoraciones!B45</f>
        <v>-33992.209074728213</v>
      </c>
      <c r="D28" s="368">
        <f>+Valoraciones!C45</f>
        <v>-27430.348177563483</v>
      </c>
      <c r="E28" s="368">
        <f>+Valoraciones!D45</f>
        <v>-22745.691515059931</v>
      </c>
      <c r="F28" s="368">
        <f>+Valoraciones!E45</f>
        <v>-15306.825697474411</v>
      </c>
      <c r="G28" s="368">
        <f>+Valoraciones!F45</f>
        <v>-7638.2550591042682</v>
      </c>
      <c r="H28" s="368">
        <f>+Valoraciones!G45</f>
        <v>-6946.839927963505</v>
      </c>
      <c r="I28" s="368">
        <f>+Valoraciones!H45</f>
        <v>-3850.5040437500743</v>
      </c>
      <c r="J28" s="368">
        <f>+Valoraciones!I45</f>
        <v>-2119.5075271182868</v>
      </c>
      <c r="K28" s="342">
        <f>+Valoraciones!J45</f>
        <v>-2287.6112558864234</v>
      </c>
      <c r="L28" s="342">
        <f>+Valoraciones!K45</f>
        <v>-3452.9197051475358</v>
      </c>
      <c r="M28" s="342">
        <f>+Valoraciones!L45</f>
        <v>-4821.2410806988382</v>
      </c>
    </row>
    <row r="29" spans="1:13">
      <c r="A29" t="s">
        <v>257</v>
      </c>
      <c r="C29" s="48">
        <f t="shared" ref="C29:H29" si="6">C9</f>
        <v>0.12136750586087719</v>
      </c>
      <c r="D29" s="48">
        <f t="shared" si="6"/>
        <v>0.11660496481028981</v>
      </c>
      <c r="E29" s="48">
        <f t="shared" si="6"/>
        <v>0.11854457043821198</v>
      </c>
      <c r="F29" s="48">
        <f t="shared" si="6"/>
        <v>0.12015777640710756</v>
      </c>
      <c r="G29" s="48">
        <f t="shared" si="6"/>
        <v>0.12208140832765024</v>
      </c>
      <c r="H29" s="48">
        <f t="shared" si="6"/>
        <v>0.12267692409830366</v>
      </c>
      <c r="I29" s="48">
        <f>I9</f>
        <v>0.12485633344957536</v>
      </c>
      <c r="J29" s="48">
        <f>J9</f>
        <v>0.12377970313073328</v>
      </c>
      <c r="K29" s="48">
        <f>K9</f>
        <v>0.12875249001806122</v>
      </c>
      <c r="L29" s="48">
        <f>L9</f>
        <v>0.12733817781205281</v>
      </c>
      <c r="M29" s="48">
        <f>M9</f>
        <v>0.12733817781205281</v>
      </c>
    </row>
    <row r="30" spans="1:13">
      <c r="A30" s="28" t="s">
        <v>259</v>
      </c>
      <c r="B30" s="28"/>
      <c r="C30" s="7">
        <f>Valoraciones!$B$16</f>
        <v>0</v>
      </c>
      <c r="D30" s="48"/>
      <c r="E30" s="48"/>
      <c r="F30" s="48"/>
      <c r="G30" s="48"/>
      <c r="H30" s="48"/>
    </row>
    <row r="31" spans="1:13">
      <c r="C31" s="48"/>
      <c r="D31" s="48"/>
      <c r="E31" s="48"/>
      <c r="F31" s="48"/>
      <c r="G31" s="48"/>
      <c r="H31" s="48"/>
    </row>
    <row r="32" spans="1:13">
      <c r="A32" s="92">
        <f>C26</f>
        <v>2014</v>
      </c>
      <c r="B32" s="40">
        <f>PV(C29,1,,-C28)</f>
        <v>-30313.174670272161</v>
      </c>
      <c r="G32" s="40"/>
    </row>
    <row r="33" spans="1:12">
      <c r="A33" s="92">
        <f>D26</f>
        <v>2015</v>
      </c>
      <c r="B33" s="40">
        <f>PV($C$9,1,,-C33)</f>
        <v>-21907.04490054099</v>
      </c>
      <c r="C33" s="40">
        <f>PV(D29,1,,-D28)</f>
        <v>-24565.8483009019</v>
      </c>
      <c r="D33" s="40"/>
      <c r="E33" s="40"/>
      <c r="F33" s="40"/>
      <c r="G33" s="40"/>
    </row>
    <row r="34" spans="1:12">
      <c r="A34" s="92">
        <f>E26</f>
        <v>2016</v>
      </c>
      <c r="B34" s="40">
        <f>PV($C$9,1,,-C34)</f>
        <v>-16240.460103348041</v>
      </c>
      <c r="C34" s="40">
        <f t="shared" ref="C34:C42" si="7">PV(D$9,1,,-D34)</f>
        <v>-18211.524240124476</v>
      </c>
      <c r="D34" s="40">
        <f>PV(E$9,1,,-E28)</f>
        <v>-20335.078383285931</v>
      </c>
      <c r="E34" s="40"/>
      <c r="F34" s="40"/>
      <c r="G34" s="40"/>
    </row>
    <row r="35" spans="1:12">
      <c r="A35" s="92">
        <f>F26</f>
        <v>2017</v>
      </c>
      <c r="B35" s="40">
        <f>PV($C$9,1,,-C35)</f>
        <v>-9756.7487794149802</v>
      </c>
      <c r="C35" s="40">
        <f t="shared" si="7"/>
        <v>-10940.901044083734</v>
      </c>
      <c r="D35" s="40">
        <f>PV(E$9,1,,-E35)</f>
        <v>-12216.66442532198</v>
      </c>
      <c r="E35" s="40">
        <f>PV(F$9,1,,-F28)</f>
        <v>-13664.883661809561</v>
      </c>
      <c r="F35" s="40"/>
      <c r="G35" s="40"/>
    </row>
    <row r="36" spans="1:12">
      <c r="A36" s="92">
        <f>G26</f>
        <v>2018</v>
      </c>
      <c r="B36" s="40">
        <f>PV($C$9,1,,-C36)</f>
        <v>-4339.0012543794192</v>
      </c>
      <c r="C36" s="40">
        <f t="shared" si="7"/>
        <v>-4865.6150145506663</v>
      </c>
      <c r="D36" s="40">
        <f>PV(E$9,1,,-E36)</f>
        <v>-5432.9698821027641</v>
      </c>
      <c r="E36" s="40">
        <f>PV(F$9,1,,-F36)</f>
        <v>-6077.018962980379</v>
      </c>
      <c r="F36" s="40">
        <f>PV(G$9,1,,-G28)</f>
        <v>-6807.2200487559285</v>
      </c>
      <c r="G36" s="40"/>
    </row>
    <row r="37" spans="1:12">
      <c r="A37" s="92">
        <f>H26</f>
        <v>2019</v>
      </c>
      <c r="B37" s="40">
        <f t="shared" ref="B37:B42" si="8">PV(C$9,1,,-C37)</f>
        <v>-3515.022545896431</v>
      </c>
      <c r="C37" s="40">
        <f t="shared" si="7"/>
        <v>-3941.6320653366315</v>
      </c>
      <c r="D37" s="40">
        <f>PV(E$9,1,,-E37)</f>
        <v>-4401.2459336103193</v>
      </c>
      <c r="E37" s="40">
        <f>PV(F$9,1,,-F37)</f>
        <v>-4922.9897422030817</v>
      </c>
      <c r="F37" s="40">
        <f>PV(G$9,1,,-G37)</f>
        <v>-5514.5252429012035</v>
      </c>
      <c r="G37" s="40">
        <f>PV(H$9,1,,-H28)</f>
        <v>-6187.7462508129602</v>
      </c>
      <c r="H37" s="40"/>
    </row>
    <row r="38" spans="1:12">
      <c r="A38" s="92">
        <f>I26</f>
        <v>2020</v>
      </c>
      <c r="B38" s="40">
        <f t="shared" si="8"/>
        <v>-1732.0536859549056</v>
      </c>
      <c r="C38" s="40">
        <f t="shared" si="7"/>
        <v>-1942.2687218363917</v>
      </c>
      <c r="D38" s="40">
        <f>PV(E$9,1,,-E38)</f>
        <v>-2168.7468977982508</v>
      </c>
      <c r="E38" s="40">
        <f>PV(F$9,1,,-F38)</f>
        <v>-2425.8400671869495</v>
      </c>
      <c r="F38" s="40">
        <f>PV(G$9,1,,-G38)</f>
        <v>-2717.3236155794016</v>
      </c>
      <c r="G38" s="40">
        <f>PV(H$9,1,,-H38)</f>
        <v>-3049.0583094513172</v>
      </c>
      <c r="H38" s="40">
        <f>PV(I$9,1,,-I28)</f>
        <v>-3423.1074042511787</v>
      </c>
    </row>
    <row r="39" spans="1:12">
      <c r="A39" s="92">
        <f>J26</f>
        <v>2021</v>
      </c>
      <c r="B39" s="40">
        <f t="shared" si="8"/>
        <v>-848.39391431231968</v>
      </c>
      <c r="C39" s="40">
        <f t="shared" si="7"/>
        <v>-951.36136767995265</v>
      </c>
      <c r="D39" s="40">
        <f>PV(E$9,1,,-E39)</f>
        <v>-1062.2948264801428</v>
      </c>
      <c r="E39" s="40">
        <f>PV(F$9,1,,-F39)</f>
        <v>-1188.2241103639662</v>
      </c>
      <c r="F39" s="40">
        <f>PV(G$9,1,,-G39)</f>
        <v>-1330.9984773386141</v>
      </c>
      <c r="G39" s="40">
        <f>PV(H$9,1,,-H39)</f>
        <v>-1493.4886459340701</v>
      </c>
      <c r="H39" s="40">
        <f>PV(I$9,1,,-I39)</f>
        <v>-1676.7052391930024</v>
      </c>
      <c r="I39" s="40">
        <f>PV(J$9,1,,-J28)</f>
        <v>-1886.052507634334</v>
      </c>
    </row>
    <row r="40" spans="1:12">
      <c r="A40" s="92">
        <f>K26</f>
        <v>2022</v>
      </c>
      <c r="B40" s="40">
        <f t="shared" si="8"/>
        <v>-811.2338887653658</v>
      </c>
      <c r="C40" s="40">
        <f t="shared" si="7"/>
        <v>-909.6913225146385</v>
      </c>
      <c r="D40" s="40">
        <f t="shared" ref="D40:I40" si="9">PV(E$9,1,,-E40)</f>
        <v>-1015.7658471646839</v>
      </c>
      <c r="E40" s="40">
        <f t="shared" si="9"/>
        <v>-1136.1793731826278</v>
      </c>
      <c r="F40" s="40">
        <f t="shared" si="9"/>
        <v>-1272.7001602638736</v>
      </c>
      <c r="G40" s="40">
        <f t="shared" si="9"/>
        <v>-1428.0731882077134</v>
      </c>
      <c r="H40" s="40">
        <f t="shared" si="9"/>
        <v>-1603.2648143242936</v>
      </c>
      <c r="I40" s="40">
        <f t="shared" si="9"/>
        <v>-1803.4425805895391</v>
      </c>
      <c r="J40" s="40">
        <f>PV(K$9,1,,-K28)</f>
        <v>-2026.6721678282358</v>
      </c>
      <c r="K40" s="536"/>
    </row>
    <row r="41" spans="1:12">
      <c r="A41" s="92">
        <f>L26</f>
        <v>2023</v>
      </c>
      <c r="B41" s="40">
        <f t="shared" si="8"/>
        <v>-1086.1658008964162</v>
      </c>
      <c r="C41" s="40">
        <f t="shared" si="7"/>
        <v>-1217.9910351025962</v>
      </c>
      <c r="D41" s="40">
        <f t="shared" ref="D41:J41" si="10">PV(E$9,1,,-E41)</f>
        <v>-1360.0148368899829</v>
      </c>
      <c r="E41" s="40">
        <f t="shared" si="10"/>
        <v>-1521.2372115187009</v>
      </c>
      <c r="F41" s="40">
        <f t="shared" si="10"/>
        <v>-1704.0256922425367</v>
      </c>
      <c r="G41" s="40">
        <f t="shared" si="10"/>
        <v>-1912.0555485780046</v>
      </c>
      <c r="H41" s="40">
        <f t="shared" si="10"/>
        <v>-2146.620641982649</v>
      </c>
      <c r="I41" s="40">
        <f t="shared" si="10"/>
        <v>-2414.6398246477761</v>
      </c>
      <c r="J41" s="40">
        <f t="shared" si="10"/>
        <v>-2713.5232253103236</v>
      </c>
      <c r="K41" s="40">
        <f>PV(L$9,1,,-L28)</f>
        <v>-3062.8960972908685</v>
      </c>
    </row>
    <row r="42" spans="1:12">
      <c r="A42" s="92">
        <f>M26</f>
        <v>2024</v>
      </c>
      <c r="B42" s="40">
        <f t="shared" si="8"/>
        <v>-11909.947927723721</v>
      </c>
      <c r="C42" s="40">
        <f t="shared" si="7"/>
        <v>-13355.428602644472</v>
      </c>
      <c r="D42" s="40">
        <f t="shared" ref="D42:J42" si="11">PV(E$9,1,,-E42)</f>
        <v>-14912.737884882168</v>
      </c>
      <c r="E42" s="40">
        <f t="shared" si="11"/>
        <v>-16680.561991503175</v>
      </c>
      <c r="F42" s="40">
        <f t="shared" si="11"/>
        <v>-18684.861229623111</v>
      </c>
      <c r="G42" s="40">
        <f t="shared" si="11"/>
        <v>-20965.93540294221</v>
      </c>
      <c r="H42" s="40">
        <f t="shared" si="11"/>
        <v>-23537.971869018889</v>
      </c>
      <c r="I42" s="40">
        <f t="shared" si="11"/>
        <v>-26476.836733423836</v>
      </c>
      <c r="J42" s="40">
        <f t="shared" si="11"/>
        <v>-29754.131724127932</v>
      </c>
      <c r="K42" s="40">
        <f>PV(L$9,1,,-L42)</f>
        <v>-33585.050271934793</v>
      </c>
      <c r="L42" s="40">
        <f>M28/(M29-C30)</f>
        <v>-37861.70937528916</v>
      </c>
    </row>
  </sheetData>
  <phoneticPr fontId="0" type="noConversion"/>
  <printOptions horizontalCentered="1" verticalCentered="1"/>
  <pageMargins left="0.75" right="0.75" top="1" bottom="1" header="0.5" footer="0.5"/>
  <pageSetup scale="97" orientation="landscape" horizontalDpi="4294967295"/>
  <headerFooter>
    <oddHeader>&amp;C&amp;A</oddHeader>
    <oddFooter>&amp;CCía. Modelo - EVA&amp;RPágina &amp;P</oddFooter>
  </headerFooter>
</worksheet>
</file>

<file path=xl/worksheets/sheet28.xml><?xml version="1.0" encoding="utf-8"?>
<worksheet xmlns="http://schemas.openxmlformats.org/spreadsheetml/2006/main" xmlns:r="http://schemas.openxmlformats.org/officeDocument/2006/relationships">
  <dimension ref="A1:F1820"/>
  <sheetViews>
    <sheetView showGridLines="0" workbookViewId="0">
      <selection activeCell="E8" sqref="E8"/>
    </sheetView>
  </sheetViews>
  <sheetFormatPr baseColWidth="10" defaultRowHeight="11.25"/>
  <cols>
    <col min="1" max="1" width="6.77734375" style="345" bestFit="1" customWidth="1"/>
    <col min="2" max="2" width="9.109375" style="345" bestFit="1" customWidth="1"/>
    <col min="3" max="5" width="10.6640625" style="345" bestFit="1" customWidth="1"/>
    <col min="6" max="6" width="11.33203125" style="345" bestFit="1" customWidth="1"/>
    <col min="7" max="16384" width="11.5546875" style="345"/>
  </cols>
  <sheetData>
    <row r="1" spans="1:6" ht="12.75" customHeight="1">
      <c r="A1" s="613" t="s">
        <v>1058</v>
      </c>
      <c r="B1" s="613"/>
      <c r="C1" s="613"/>
      <c r="D1" s="613"/>
      <c r="E1" s="613"/>
      <c r="F1" s="613"/>
    </row>
    <row r="2" spans="1:6" ht="12.75">
      <c r="A2" s="613"/>
      <c r="B2" s="613"/>
      <c r="C2" s="613"/>
      <c r="D2" s="613"/>
      <c r="E2" s="613"/>
      <c r="F2" s="613"/>
    </row>
    <row r="3" spans="1:6" ht="12" thickBot="1">
      <c r="A3" s="614" t="s">
        <v>1059</v>
      </c>
      <c r="B3" s="614"/>
      <c r="C3" s="614"/>
      <c r="D3" s="614"/>
      <c r="E3" s="614"/>
      <c r="F3" s="614"/>
    </row>
    <row r="4" spans="1:6" ht="12.75" thickTop="1" thickBot="1">
      <c r="A4" s="615" t="s">
        <v>1060</v>
      </c>
      <c r="B4" s="615"/>
      <c r="C4" s="615"/>
      <c r="D4" s="615"/>
      <c r="E4" s="615"/>
      <c r="F4" s="615"/>
    </row>
    <row r="5" spans="1:6">
      <c r="A5" s="346">
        <v>2014</v>
      </c>
      <c r="B5" s="347"/>
      <c r="C5" s="347"/>
      <c r="D5" s="347"/>
      <c r="E5" s="347"/>
      <c r="F5" s="347"/>
    </row>
    <row r="6" spans="1:6" ht="12" thickBot="1">
      <c r="A6" s="348"/>
      <c r="B6" s="610"/>
      <c r="C6" s="611"/>
      <c r="D6" s="611"/>
      <c r="E6" s="611"/>
      <c r="F6" s="612"/>
    </row>
    <row r="7" spans="1:6" ht="12" thickBot="1">
      <c r="A7" s="349" t="s">
        <v>1061</v>
      </c>
      <c r="B7" s="350" t="s">
        <v>1062</v>
      </c>
      <c r="C7" s="350" t="s">
        <v>1063</v>
      </c>
      <c r="D7" s="350" t="s">
        <v>1064</v>
      </c>
      <c r="E7" s="350" t="s">
        <v>1065</v>
      </c>
      <c r="F7" s="351" t="s">
        <v>1066</v>
      </c>
    </row>
    <row r="8" spans="1:6" ht="12" thickBot="1">
      <c r="A8" s="352">
        <v>41754</v>
      </c>
      <c r="B8" s="353">
        <v>1.5200000000000001E-3</v>
      </c>
      <c r="C8" s="353">
        <v>1.9250000000000001E-3</v>
      </c>
      <c r="D8" s="353">
        <v>2.2659999999999998E-3</v>
      </c>
      <c r="E8" s="353">
        <v>3.2299999999999998E-3</v>
      </c>
      <c r="F8" s="354">
        <v>5.4949999999999999E-3</v>
      </c>
    </row>
    <row r="9" spans="1:6" ht="12" thickBot="1">
      <c r="A9" s="352">
        <v>41753</v>
      </c>
      <c r="B9" s="353">
        <v>1.518E-3</v>
      </c>
      <c r="C9" s="353">
        <v>1.921E-3</v>
      </c>
      <c r="D9" s="353">
        <v>2.2785000000000001E-3</v>
      </c>
      <c r="E9" s="353">
        <v>3.235E-3</v>
      </c>
      <c r="F9" s="354">
        <v>5.4949999999999999E-3</v>
      </c>
    </row>
    <row r="10" spans="1:6" ht="12" thickBot="1">
      <c r="A10" s="352">
        <v>41752</v>
      </c>
      <c r="B10" s="353">
        <v>1.523E-3</v>
      </c>
      <c r="C10" s="353">
        <v>1.9300000000000001E-3</v>
      </c>
      <c r="D10" s="353">
        <v>2.2875E-3</v>
      </c>
      <c r="E10" s="353">
        <v>3.228E-3</v>
      </c>
      <c r="F10" s="354">
        <v>5.483E-3</v>
      </c>
    </row>
    <row r="11" spans="1:6" ht="12" thickBot="1">
      <c r="A11" s="352">
        <v>41751</v>
      </c>
      <c r="B11" s="353">
        <v>1.523E-3</v>
      </c>
      <c r="C11" s="353">
        <v>1.9350000000000001E-3</v>
      </c>
      <c r="D11" s="353">
        <v>2.2859999999999998E-3</v>
      </c>
      <c r="E11" s="353">
        <v>3.2209999999999999E-3</v>
      </c>
      <c r="F11" s="354">
        <v>5.483E-3</v>
      </c>
    </row>
    <row r="12" spans="1:6" ht="12" thickBot="1">
      <c r="A12" s="352">
        <v>41750</v>
      </c>
      <c r="B12" s="353">
        <v>1.5219999999999999E-3</v>
      </c>
      <c r="C12" s="353">
        <v>1.9289999999999999E-3</v>
      </c>
      <c r="D12" s="353">
        <v>2.2585000000000001E-3</v>
      </c>
      <c r="E12" s="353">
        <v>3.1979999999999999E-3</v>
      </c>
      <c r="F12" s="354">
        <v>5.4650000000000002E-3</v>
      </c>
    </row>
    <row r="13" spans="1:6" ht="12" thickBot="1">
      <c r="A13" s="352">
        <v>41745</v>
      </c>
      <c r="B13" s="353">
        <v>1.5200000000000001E-3</v>
      </c>
      <c r="C13" s="353">
        <v>1.9300000000000001E-3</v>
      </c>
      <c r="D13" s="353">
        <v>2.2785000000000001E-3</v>
      </c>
      <c r="E13" s="353">
        <v>3.209E-3</v>
      </c>
      <c r="F13" s="354">
        <v>5.4650000000000002E-3</v>
      </c>
    </row>
    <row r="14" spans="1:6" ht="12" thickBot="1">
      <c r="A14" s="352">
        <v>41744</v>
      </c>
      <c r="B14" s="353">
        <v>1.5139999999999999E-3</v>
      </c>
      <c r="C14" s="353">
        <v>1.92E-3</v>
      </c>
      <c r="D14" s="353">
        <v>2.2634999999999999E-3</v>
      </c>
      <c r="E14" s="353">
        <v>3.209E-3</v>
      </c>
      <c r="F14" s="354">
        <v>5.4549999999999998E-3</v>
      </c>
    </row>
    <row r="15" spans="1:6" ht="12" thickBot="1">
      <c r="A15" s="352">
        <v>41743</v>
      </c>
      <c r="B15" s="353">
        <v>1.5169999999999999E-3</v>
      </c>
      <c r="C15" s="353">
        <v>1.923E-3</v>
      </c>
      <c r="D15" s="353">
        <v>2.2864999999999999E-3</v>
      </c>
      <c r="E15" s="353">
        <v>3.2269999999999998E-3</v>
      </c>
      <c r="F15" s="354">
        <v>5.4650000000000002E-3</v>
      </c>
    </row>
    <row r="16" spans="1:6" ht="12" thickBot="1">
      <c r="A16" s="352">
        <v>41740</v>
      </c>
      <c r="B16" s="353">
        <v>1.5219999999999999E-3</v>
      </c>
      <c r="C16" s="353">
        <v>1.9185000000000001E-3</v>
      </c>
      <c r="D16" s="353">
        <v>2.2645E-3</v>
      </c>
      <c r="E16" s="353">
        <v>3.2200000000000002E-3</v>
      </c>
      <c r="F16" s="354">
        <v>5.4599999999999996E-3</v>
      </c>
    </row>
    <row r="17" spans="1:6" ht="12" thickBot="1">
      <c r="A17" s="352">
        <v>41739</v>
      </c>
      <c r="B17" s="353">
        <v>1.5250000000000001E-3</v>
      </c>
      <c r="C17" s="353">
        <v>1.9189999999999999E-3</v>
      </c>
      <c r="D17" s="353">
        <v>2.2704999999999999E-3</v>
      </c>
      <c r="E17" s="353">
        <v>3.2399999999999998E-3</v>
      </c>
      <c r="F17" s="354">
        <v>5.4850000000000003E-3</v>
      </c>
    </row>
    <row r="18" spans="1:6" ht="12" thickBot="1">
      <c r="A18" s="352">
        <v>41738</v>
      </c>
      <c r="B18" s="353">
        <v>1.5089999999999999E-3</v>
      </c>
      <c r="C18" s="353">
        <v>1.903E-3</v>
      </c>
      <c r="D18" s="353">
        <v>2.2755000000000002E-3</v>
      </c>
      <c r="E18" s="353">
        <v>3.2650000000000001E-3</v>
      </c>
      <c r="F18" s="354">
        <v>5.5300000000000002E-3</v>
      </c>
    </row>
    <row r="19" spans="1:6" ht="12" thickBot="1">
      <c r="A19" s="352">
        <v>41737</v>
      </c>
      <c r="B19" s="353">
        <v>1.5039999999999999E-3</v>
      </c>
      <c r="C19" s="353">
        <v>1.903E-3</v>
      </c>
      <c r="D19" s="353">
        <v>2.2729999999999998E-3</v>
      </c>
      <c r="E19" s="353">
        <v>3.2650000000000001E-3</v>
      </c>
      <c r="F19" s="354">
        <v>5.5300000000000002E-3</v>
      </c>
    </row>
    <row r="20" spans="1:6" ht="12" thickBot="1">
      <c r="A20" s="352">
        <v>41736</v>
      </c>
      <c r="B20" s="353">
        <v>1.5200000000000001E-3</v>
      </c>
      <c r="C20" s="353">
        <v>1.9250000000000001E-3</v>
      </c>
      <c r="D20" s="353">
        <v>2.2935E-3</v>
      </c>
      <c r="E20" s="353">
        <v>3.2650000000000001E-3</v>
      </c>
      <c r="F20" s="354">
        <v>5.5209999999999999E-3</v>
      </c>
    </row>
    <row r="21" spans="1:6" ht="12" thickBot="1">
      <c r="A21" s="352">
        <v>41733</v>
      </c>
      <c r="B21" s="353">
        <v>1.5250000000000001E-3</v>
      </c>
      <c r="C21" s="353">
        <v>1.9124999999999999E-3</v>
      </c>
      <c r="D21" s="353">
        <v>2.2959999999999999E-3</v>
      </c>
      <c r="E21" s="353">
        <v>3.2750000000000001E-3</v>
      </c>
      <c r="F21" s="354">
        <v>5.5560000000000002E-3</v>
      </c>
    </row>
    <row r="22" spans="1:6" ht="12" thickBot="1">
      <c r="A22" s="352">
        <v>41732</v>
      </c>
      <c r="B22" s="353">
        <v>1.5250000000000001E-3</v>
      </c>
      <c r="C22" s="353">
        <v>1.9275E-3</v>
      </c>
      <c r="D22" s="353">
        <v>2.3035E-3</v>
      </c>
      <c r="E22" s="353">
        <v>3.2799999999999999E-3</v>
      </c>
      <c r="F22" s="354">
        <v>5.5510000000000004E-3</v>
      </c>
    </row>
    <row r="23" spans="1:6" ht="12" thickBot="1">
      <c r="A23" s="352">
        <v>41731</v>
      </c>
      <c r="B23" s="353">
        <v>1.5200000000000001E-3</v>
      </c>
      <c r="C23" s="353">
        <v>1.915E-3</v>
      </c>
      <c r="D23" s="353">
        <v>2.3010000000000001E-3</v>
      </c>
      <c r="E23" s="353">
        <v>3.2799999999999999E-3</v>
      </c>
      <c r="F23" s="354">
        <v>5.5510000000000004E-3</v>
      </c>
    </row>
    <row r="24" spans="1:6" ht="12" thickBot="1">
      <c r="A24" s="352">
        <v>41730</v>
      </c>
      <c r="B24" s="353">
        <v>1.5100000000000001E-3</v>
      </c>
      <c r="C24" s="353">
        <v>1.9074999999999999E-3</v>
      </c>
      <c r="D24" s="353">
        <v>2.281E-3</v>
      </c>
      <c r="E24" s="353">
        <v>3.2789999999999998E-3</v>
      </c>
      <c r="F24" s="354">
        <v>5.5360000000000001E-3</v>
      </c>
    </row>
    <row r="25" spans="1:6" ht="12" thickBot="1">
      <c r="A25" s="352">
        <v>41729</v>
      </c>
      <c r="B25" s="353">
        <v>1.5200000000000001E-3</v>
      </c>
      <c r="C25" s="353">
        <v>1.9325E-3</v>
      </c>
      <c r="D25" s="353">
        <v>2.3059999999999999E-3</v>
      </c>
      <c r="E25" s="353">
        <v>3.2889999999999998E-3</v>
      </c>
      <c r="F25" s="354">
        <v>5.581E-3</v>
      </c>
    </row>
    <row r="26" spans="1:6" ht="12" thickBot="1">
      <c r="A26" s="352">
        <v>41726</v>
      </c>
      <c r="B26" s="353">
        <v>1.5175E-3</v>
      </c>
      <c r="C26" s="353">
        <v>1.964E-3</v>
      </c>
      <c r="D26" s="353">
        <v>2.3335000000000001E-3</v>
      </c>
      <c r="E26" s="353">
        <v>3.2889999999999998E-3</v>
      </c>
      <c r="F26" s="354">
        <v>5.5859999999999998E-3</v>
      </c>
    </row>
    <row r="27" spans="1:6" ht="12" thickBot="1">
      <c r="A27" s="352">
        <v>41725</v>
      </c>
      <c r="B27" s="353">
        <v>1.5250000000000001E-3</v>
      </c>
      <c r="C27" s="353">
        <v>1.9675000000000001E-3</v>
      </c>
      <c r="D27" s="353">
        <v>2.336E-3</v>
      </c>
      <c r="E27" s="353">
        <v>3.29E-3</v>
      </c>
      <c r="F27" s="354">
        <v>5.6160000000000003E-3</v>
      </c>
    </row>
    <row r="28" spans="1:6" ht="12" thickBot="1">
      <c r="A28" s="352">
        <v>41724</v>
      </c>
      <c r="B28" s="353">
        <v>1.5299999999999999E-3</v>
      </c>
      <c r="C28" s="353">
        <v>1.936E-3</v>
      </c>
      <c r="D28" s="353">
        <v>2.3335000000000001E-3</v>
      </c>
      <c r="E28" s="353">
        <v>3.2950000000000002E-3</v>
      </c>
      <c r="F28" s="354">
        <v>5.6210000000000001E-3</v>
      </c>
    </row>
    <row r="29" spans="1:6" ht="12" thickBot="1">
      <c r="A29" s="352">
        <v>41723</v>
      </c>
      <c r="B29" s="353">
        <v>1.5375E-3</v>
      </c>
      <c r="C29" s="353">
        <v>1.9300000000000001E-3</v>
      </c>
      <c r="D29" s="353">
        <v>2.3435000000000001E-3</v>
      </c>
      <c r="E29" s="353">
        <v>3.2950000000000002E-3</v>
      </c>
      <c r="F29" s="354">
        <v>5.6160000000000003E-3</v>
      </c>
    </row>
    <row r="30" spans="1:6" ht="12" thickBot="1">
      <c r="A30" s="352">
        <v>41719</v>
      </c>
      <c r="B30" s="353">
        <v>1.5425E-3</v>
      </c>
      <c r="C30" s="353">
        <v>1.9675000000000001E-3</v>
      </c>
      <c r="D30" s="353">
        <v>2.3284999999999998E-3</v>
      </c>
      <c r="E30" s="353">
        <v>3.3149999999999998E-3</v>
      </c>
      <c r="F30" s="354">
        <v>5.6410000000000002E-3</v>
      </c>
    </row>
    <row r="31" spans="1:6" ht="12" thickBot="1">
      <c r="A31" s="352">
        <v>41718</v>
      </c>
      <c r="B31" s="353">
        <v>1.5449999999999999E-3</v>
      </c>
      <c r="C31" s="353">
        <v>1.9675000000000001E-3</v>
      </c>
      <c r="D31" s="353">
        <v>2.336E-3</v>
      </c>
      <c r="E31" s="353">
        <v>3.3E-3</v>
      </c>
      <c r="F31" s="354">
        <v>5.5999999999999999E-3</v>
      </c>
    </row>
    <row r="32" spans="1:6" ht="12" thickBot="1">
      <c r="A32" s="352">
        <v>41717</v>
      </c>
      <c r="B32" s="353">
        <v>1.5755000000000001E-3</v>
      </c>
      <c r="C32" s="353">
        <v>2E-3</v>
      </c>
      <c r="D32" s="353">
        <v>2.3384999999999999E-3</v>
      </c>
      <c r="E32" s="353">
        <v>3.297E-3</v>
      </c>
      <c r="F32" s="354">
        <v>5.555E-3</v>
      </c>
    </row>
    <row r="33" spans="1:6" ht="12" thickBot="1">
      <c r="A33" s="352">
        <v>41716</v>
      </c>
      <c r="B33" s="353">
        <v>1.5675000000000001E-3</v>
      </c>
      <c r="C33" s="353">
        <v>2.0070000000000001E-3</v>
      </c>
      <c r="D33" s="353">
        <v>2.3484999999999999E-3</v>
      </c>
      <c r="E33" s="353">
        <v>3.3400000000000001E-3</v>
      </c>
      <c r="F33" s="354">
        <v>5.5719999999999997E-3</v>
      </c>
    </row>
    <row r="34" spans="1:6" ht="12" thickBot="1">
      <c r="A34" s="352">
        <v>41715</v>
      </c>
      <c r="B34" s="353">
        <v>1.562E-3</v>
      </c>
      <c r="C34" s="353">
        <v>2.0019999999999999E-3</v>
      </c>
      <c r="D34" s="353">
        <v>2.3444999999999998E-3</v>
      </c>
      <c r="E34" s="353">
        <v>3.339E-3</v>
      </c>
      <c r="F34" s="354">
        <v>5.5710000000000004E-3</v>
      </c>
    </row>
    <row r="35" spans="1:6" ht="12" thickBot="1">
      <c r="A35" s="352">
        <v>41712</v>
      </c>
      <c r="B35" s="353">
        <v>1.5644999999999999E-3</v>
      </c>
      <c r="C35" s="353">
        <v>2.0075000000000002E-3</v>
      </c>
      <c r="D35" s="353">
        <v>2.3484999999999999E-3</v>
      </c>
      <c r="E35" s="353">
        <v>3.3279999999999998E-3</v>
      </c>
      <c r="F35" s="354">
        <v>5.5700000000000003E-3</v>
      </c>
    </row>
    <row r="36" spans="1:6" ht="12" thickBot="1">
      <c r="A36" s="352">
        <v>41711</v>
      </c>
      <c r="B36" s="353">
        <v>1.5499999999999999E-3</v>
      </c>
      <c r="C36" s="353">
        <v>1.9854999999999999E-3</v>
      </c>
      <c r="D36" s="353">
        <v>2.3335000000000001E-3</v>
      </c>
      <c r="E36" s="353">
        <v>3.3180000000000002E-3</v>
      </c>
      <c r="F36" s="354">
        <v>5.5700000000000003E-3</v>
      </c>
    </row>
    <row r="37" spans="1:6" ht="12" thickBot="1">
      <c r="A37" s="352">
        <v>41710</v>
      </c>
      <c r="B37" s="353">
        <v>1.555E-3</v>
      </c>
      <c r="C37" s="353">
        <v>1.9924999999999999E-3</v>
      </c>
      <c r="D37" s="353">
        <v>2.3410000000000002E-3</v>
      </c>
      <c r="E37" s="353">
        <v>3.3050000000000002E-3</v>
      </c>
      <c r="F37" s="354">
        <v>5.5519999999999996E-3</v>
      </c>
    </row>
    <row r="38" spans="1:6" ht="12" thickBot="1">
      <c r="A38" s="352">
        <v>41709</v>
      </c>
      <c r="B38" s="353">
        <v>1.5579999999999999E-3</v>
      </c>
      <c r="C38" s="353">
        <v>1.9854999999999999E-3</v>
      </c>
      <c r="D38" s="353">
        <v>2.333E-3</v>
      </c>
      <c r="E38" s="353">
        <v>3.31E-3</v>
      </c>
      <c r="F38" s="354">
        <v>5.5519999999999996E-3</v>
      </c>
    </row>
    <row r="39" spans="1:6" ht="12" thickBot="1">
      <c r="A39" s="352">
        <v>41708</v>
      </c>
      <c r="B39" s="353">
        <v>1.5499999999999999E-3</v>
      </c>
      <c r="C39" s="353">
        <v>1.9924999999999999E-3</v>
      </c>
      <c r="D39" s="353">
        <v>2.3435000000000001E-3</v>
      </c>
      <c r="E39" s="353">
        <v>3.32E-3</v>
      </c>
      <c r="F39" s="354">
        <v>5.5519999999999996E-3</v>
      </c>
    </row>
    <row r="40" spans="1:6" ht="12" thickBot="1">
      <c r="A40" s="352">
        <v>41705</v>
      </c>
      <c r="B40" s="353">
        <v>1.565E-3</v>
      </c>
      <c r="C40" s="353">
        <v>1.9694999999999999E-3</v>
      </c>
      <c r="D40" s="353">
        <v>2.3565000000000001E-3</v>
      </c>
      <c r="E40" s="353">
        <v>3.3180000000000002E-3</v>
      </c>
      <c r="F40" s="354">
        <v>5.5199999999999997E-3</v>
      </c>
    </row>
    <row r="41" spans="1:6" ht="12" thickBot="1">
      <c r="A41" s="352">
        <v>41704</v>
      </c>
      <c r="B41" s="353">
        <v>1.544E-3</v>
      </c>
      <c r="C41" s="353">
        <v>1.9550000000000001E-3</v>
      </c>
      <c r="D41" s="353">
        <v>2.3509999999999998E-3</v>
      </c>
      <c r="E41" s="353">
        <v>3.32E-3</v>
      </c>
      <c r="F41" s="354">
        <v>5.5199999999999997E-3</v>
      </c>
    </row>
    <row r="42" spans="1:6" ht="12" thickBot="1">
      <c r="A42" s="352">
        <v>41703</v>
      </c>
      <c r="B42" s="353">
        <v>1.5560000000000001E-3</v>
      </c>
      <c r="C42" s="353">
        <v>1.967E-3</v>
      </c>
      <c r="D42" s="353">
        <v>2.3440000000000002E-3</v>
      </c>
      <c r="E42" s="353">
        <v>3.3110000000000001E-3</v>
      </c>
      <c r="F42" s="354">
        <v>5.5059999999999996E-3</v>
      </c>
    </row>
    <row r="43" spans="1:6" ht="12" thickBot="1">
      <c r="A43" s="352">
        <v>41702</v>
      </c>
      <c r="B43" s="353">
        <v>1.565E-3</v>
      </c>
      <c r="C43" s="353">
        <v>1.9650000000000002E-3</v>
      </c>
      <c r="D43" s="353">
        <v>2.3535000000000001E-3</v>
      </c>
      <c r="E43" s="353">
        <v>3.3149999999999998E-3</v>
      </c>
      <c r="F43" s="354">
        <v>5.5199999999999997E-3</v>
      </c>
    </row>
    <row r="44" spans="1:6" ht="12" thickBot="1">
      <c r="A44" s="352">
        <v>41701</v>
      </c>
      <c r="B44" s="353">
        <v>1.5529999999999999E-3</v>
      </c>
      <c r="C44" s="353">
        <v>1.9605E-3</v>
      </c>
      <c r="D44" s="353">
        <v>2.3565000000000001E-3</v>
      </c>
      <c r="E44" s="353">
        <v>3.3050000000000002E-3</v>
      </c>
      <c r="F44" s="354">
        <v>5.5380000000000004E-3</v>
      </c>
    </row>
    <row r="45" spans="1:6" ht="12" thickBot="1">
      <c r="A45" s="352">
        <v>41698</v>
      </c>
      <c r="B45" s="353">
        <v>1.555E-3</v>
      </c>
      <c r="C45" s="353">
        <v>1.9750000000000002E-3</v>
      </c>
      <c r="D45" s="353">
        <v>2.3565000000000001E-3</v>
      </c>
      <c r="E45" s="353">
        <v>3.3050000000000002E-3</v>
      </c>
      <c r="F45" s="354">
        <v>5.5329999999999997E-3</v>
      </c>
    </row>
    <row r="46" spans="1:6" ht="12" thickBot="1">
      <c r="A46" s="352">
        <v>41697</v>
      </c>
      <c r="B46" s="353">
        <v>1.5449999999999999E-3</v>
      </c>
      <c r="C46" s="353">
        <v>1.9589999999999998E-3</v>
      </c>
      <c r="D46" s="353">
        <v>2.3609999999999998E-3</v>
      </c>
      <c r="E46" s="353">
        <v>3.3E-3</v>
      </c>
      <c r="F46" s="354">
        <v>5.5230000000000001E-3</v>
      </c>
    </row>
    <row r="47" spans="1:6" ht="12" thickBot="1">
      <c r="A47" s="352">
        <v>41696</v>
      </c>
      <c r="B47" s="353">
        <v>1.5449999999999999E-3</v>
      </c>
      <c r="C47" s="353">
        <v>1.9449999999999999E-3</v>
      </c>
      <c r="D47" s="353">
        <v>2.333E-3</v>
      </c>
      <c r="E47" s="353">
        <v>3.297E-3</v>
      </c>
      <c r="F47" s="354">
        <v>5.5050000000000003E-3</v>
      </c>
    </row>
    <row r="48" spans="1:6" ht="12" thickBot="1">
      <c r="A48" s="352">
        <v>41695</v>
      </c>
      <c r="B48" s="353">
        <v>1.5449999999999999E-3</v>
      </c>
      <c r="C48" s="353">
        <v>1.9400000000000001E-3</v>
      </c>
      <c r="D48" s="353">
        <v>2.336E-3</v>
      </c>
      <c r="E48" s="353">
        <v>3.3050000000000002E-3</v>
      </c>
      <c r="F48" s="354">
        <v>5.5329999999999997E-3</v>
      </c>
    </row>
    <row r="49" spans="1:6" ht="12" thickBot="1">
      <c r="A49" s="352">
        <v>41694</v>
      </c>
      <c r="B49" s="353">
        <v>1.5449999999999999E-3</v>
      </c>
      <c r="C49" s="353">
        <v>1.9469999999999999E-3</v>
      </c>
      <c r="D49" s="353">
        <v>2.3435000000000001E-3</v>
      </c>
      <c r="E49" s="353">
        <v>3.3050000000000002E-3</v>
      </c>
      <c r="F49" s="354">
        <v>5.5329999999999997E-3</v>
      </c>
    </row>
    <row r="50" spans="1:6" ht="12" thickBot="1">
      <c r="A50" s="352">
        <v>41691</v>
      </c>
      <c r="B50" s="353">
        <v>1.555E-3</v>
      </c>
      <c r="C50" s="353">
        <v>1.9594999999999999E-3</v>
      </c>
      <c r="D50" s="353">
        <v>2.3484999999999999E-3</v>
      </c>
      <c r="E50" s="353">
        <v>3.3050000000000002E-3</v>
      </c>
      <c r="F50" s="354">
        <v>5.5529999999999998E-3</v>
      </c>
    </row>
    <row r="51" spans="1:6" ht="12" thickBot="1">
      <c r="A51" s="352">
        <v>41690</v>
      </c>
      <c r="B51" s="353">
        <v>1.555E-3</v>
      </c>
      <c r="C51" s="353">
        <v>1.9694999999999999E-3</v>
      </c>
      <c r="D51" s="353">
        <v>2.356E-3</v>
      </c>
      <c r="E51" s="353">
        <v>3.2950000000000002E-3</v>
      </c>
      <c r="F51" s="354">
        <v>5.5380000000000004E-3</v>
      </c>
    </row>
    <row r="52" spans="1:6" ht="12" thickBot="1">
      <c r="A52" s="352">
        <v>41689</v>
      </c>
      <c r="B52" s="353">
        <v>1.5449999999999999E-3</v>
      </c>
      <c r="C52" s="353">
        <v>1.9425E-3</v>
      </c>
      <c r="D52" s="353">
        <v>2.336E-3</v>
      </c>
      <c r="E52" s="353">
        <v>3.29E-3</v>
      </c>
      <c r="F52" s="354">
        <v>5.5329999999999997E-3</v>
      </c>
    </row>
    <row r="53" spans="1:6" ht="12" thickBot="1">
      <c r="A53" s="352">
        <v>41688</v>
      </c>
      <c r="B53" s="353">
        <v>1.5399999999999999E-3</v>
      </c>
      <c r="C53" s="353">
        <v>1.9419999999999999E-3</v>
      </c>
      <c r="D53" s="353">
        <v>2.3454999999999999E-3</v>
      </c>
      <c r="E53" s="353">
        <v>3.297E-3</v>
      </c>
      <c r="F53" s="354">
        <v>5.5329999999999997E-3</v>
      </c>
    </row>
    <row r="54" spans="1:6" ht="12" thickBot="1">
      <c r="A54" s="352">
        <v>41687</v>
      </c>
      <c r="B54" s="353">
        <v>1.5349999999999999E-3</v>
      </c>
      <c r="C54" s="353">
        <v>1.9449999999999999E-3</v>
      </c>
      <c r="D54" s="353">
        <v>2.3509999999999998E-3</v>
      </c>
      <c r="E54" s="353">
        <v>3.3E-3</v>
      </c>
      <c r="F54" s="354">
        <v>5.5230000000000001E-3</v>
      </c>
    </row>
    <row r="55" spans="1:6" ht="12" thickBot="1">
      <c r="A55" s="352">
        <v>41684</v>
      </c>
      <c r="B55" s="353">
        <v>1.5449999999999999E-3</v>
      </c>
      <c r="C55" s="353">
        <v>1.9880000000000002E-3</v>
      </c>
      <c r="D55" s="353">
        <v>2.3584999999999999E-3</v>
      </c>
      <c r="E55" s="353">
        <v>3.29E-3</v>
      </c>
      <c r="F55" s="354">
        <v>5.5079999999999999E-3</v>
      </c>
    </row>
    <row r="56" spans="1:6" ht="12" thickBot="1">
      <c r="A56" s="352">
        <v>41683</v>
      </c>
      <c r="B56" s="353">
        <v>1.5449999999999999E-3</v>
      </c>
      <c r="C56" s="353">
        <v>1.9710000000000001E-3</v>
      </c>
      <c r="D56" s="353">
        <v>2.3584999999999999E-3</v>
      </c>
      <c r="E56" s="353">
        <v>3.31E-3</v>
      </c>
      <c r="F56" s="354">
        <v>5.5230000000000001E-3</v>
      </c>
    </row>
    <row r="57" spans="1:6" ht="12" thickBot="1">
      <c r="A57" s="352">
        <v>41682</v>
      </c>
      <c r="B57" s="353">
        <v>1.5349999999999999E-3</v>
      </c>
      <c r="C57" s="353">
        <v>1.9735E-3</v>
      </c>
      <c r="D57" s="353">
        <v>2.3609999999999998E-3</v>
      </c>
      <c r="E57" s="353">
        <v>3.31E-3</v>
      </c>
      <c r="F57" s="354">
        <v>5.5380000000000004E-3</v>
      </c>
    </row>
    <row r="58" spans="1:6" ht="12" thickBot="1">
      <c r="A58" s="352">
        <v>41681</v>
      </c>
      <c r="B58" s="353">
        <v>1.5425E-3</v>
      </c>
      <c r="C58" s="353">
        <v>1.9759999999999999E-3</v>
      </c>
      <c r="D58" s="353">
        <v>2.366E-3</v>
      </c>
      <c r="E58" s="353">
        <v>3.32E-3</v>
      </c>
      <c r="F58" s="354">
        <v>5.5329999999999997E-3</v>
      </c>
    </row>
    <row r="59" spans="1:6" ht="12" thickBot="1">
      <c r="A59" s="352">
        <v>41680</v>
      </c>
      <c r="B59" s="353">
        <v>1.5475E-3</v>
      </c>
      <c r="C59" s="353">
        <v>1.9550000000000001E-3</v>
      </c>
      <c r="D59" s="353">
        <v>2.3384999999999999E-3</v>
      </c>
      <c r="E59" s="353">
        <v>3.2910000000000001E-3</v>
      </c>
      <c r="F59" s="354">
        <v>5.509E-3</v>
      </c>
    </row>
    <row r="60" spans="1:6" ht="12" thickBot="1">
      <c r="A60" s="352">
        <v>41677</v>
      </c>
      <c r="B60" s="353">
        <v>1.555E-3</v>
      </c>
      <c r="C60" s="353">
        <v>1.9659999999999999E-3</v>
      </c>
      <c r="D60" s="353">
        <v>2.3384999999999999E-3</v>
      </c>
      <c r="E60" s="353">
        <v>3.3110000000000001E-3</v>
      </c>
      <c r="F60" s="354">
        <v>5.5840000000000004E-3</v>
      </c>
    </row>
    <row r="61" spans="1:6" ht="12" thickBot="1">
      <c r="A61" s="352">
        <v>41676</v>
      </c>
      <c r="B61" s="353">
        <v>1.565E-3</v>
      </c>
      <c r="C61" s="353">
        <v>1.9910000000000001E-3</v>
      </c>
      <c r="D61" s="353">
        <v>2.3684999999999999E-3</v>
      </c>
      <c r="E61" s="353">
        <v>3.3310000000000002E-3</v>
      </c>
      <c r="F61" s="354">
        <v>5.5789999999999998E-3</v>
      </c>
    </row>
    <row r="62" spans="1:6" ht="12" thickBot="1">
      <c r="A62" s="352">
        <v>41675</v>
      </c>
      <c r="B62" s="353">
        <v>1.575E-3</v>
      </c>
      <c r="C62" s="353">
        <v>1.9849999999999998E-3</v>
      </c>
      <c r="D62" s="353">
        <v>2.3635000000000001E-3</v>
      </c>
      <c r="E62" s="353">
        <v>3.3300000000000001E-3</v>
      </c>
      <c r="F62" s="354">
        <v>5.594E-3</v>
      </c>
    </row>
    <row r="63" spans="1:6" ht="12" thickBot="1">
      <c r="A63" s="352">
        <v>41674</v>
      </c>
      <c r="B63" s="353">
        <v>1.575E-3</v>
      </c>
      <c r="C63" s="353">
        <v>2E-3</v>
      </c>
      <c r="D63" s="353">
        <v>2.3644999999999998E-3</v>
      </c>
      <c r="E63" s="353">
        <v>3.333E-3</v>
      </c>
      <c r="F63" s="354">
        <v>5.6169999999999996E-3</v>
      </c>
    </row>
    <row r="64" spans="1:6" ht="12" thickBot="1">
      <c r="A64" s="352">
        <v>41673</v>
      </c>
      <c r="B64" s="353">
        <v>1.5709999999999999E-3</v>
      </c>
      <c r="C64" s="353">
        <v>1.9975000000000001E-3</v>
      </c>
      <c r="D64" s="353">
        <v>2.356E-3</v>
      </c>
      <c r="E64" s="353">
        <v>3.3349999999999999E-3</v>
      </c>
      <c r="F64" s="354">
        <v>5.6290000000000003E-3</v>
      </c>
    </row>
    <row r="65" spans="1:6" ht="12" thickBot="1">
      <c r="A65" s="352">
        <v>41670</v>
      </c>
      <c r="B65" s="353">
        <v>1.565E-3</v>
      </c>
      <c r="C65" s="353">
        <v>1.9905000000000001E-3</v>
      </c>
      <c r="D65" s="353">
        <v>2.366E-3</v>
      </c>
      <c r="E65" s="353">
        <v>3.3630000000000001E-3</v>
      </c>
      <c r="F65" s="354">
        <v>5.6540000000000002E-3</v>
      </c>
    </row>
    <row r="66" spans="1:6" ht="12" thickBot="1">
      <c r="A66" s="352">
        <v>41669</v>
      </c>
      <c r="B66" s="353">
        <v>1.585E-3</v>
      </c>
      <c r="C66" s="353">
        <v>2.0040000000000001E-3</v>
      </c>
      <c r="D66" s="353">
        <v>2.3760000000000001E-3</v>
      </c>
      <c r="E66" s="353">
        <v>3.3700000000000002E-3</v>
      </c>
      <c r="F66" s="354">
        <v>5.6940000000000003E-3</v>
      </c>
    </row>
    <row r="67" spans="1:6" ht="12" thickBot="1">
      <c r="A67" s="352">
        <v>41668</v>
      </c>
      <c r="B67" s="353">
        <v>1.5950000000000001E-3</v>
      </c>
      <c r="C67" s="353">
        <v>1.9865E-3</v>
      </c>
      <c r="D67" s="353">
        <v>2.356E-3</v>
      </c>
      <c r="E67" s="353">
        <v>3.3349999999999999E-3</v>
      </c>
      <c r="F67" s="354">
        <v>5.7039999999999999E-3</v>
      </c>
    </row>
    <row r="68" spans="1:6" ht="12" thickBot="1">
      <c r="A68" s="352">
        <v>41667</v>
      </c>
      <c r="B68" s="353">
        <v>1.5900000000000001E-3</v>
      </c>
      <c r="C68" s="353">
        <v>1.9915000000000002E-3</v>
      </c>
      <c r="D68" s="353">
        <v>2.3609999999999998E-3</v>
      </c>
      <c r="E68" s="353">
        <v>3.32E-3</v>
      </c>
      <c r="F68" s="354">
        <v>5.7099999999999998E-3</v>
      </c>
    </row>
    <row r="69" spans="1:6" ht="12" thickBot="1">
      <c r="A69" s="352">
        <v>41666</v>
      </c>
      <c r="B69" s="353">
        <v>1.585E-3</v>
      </c>
      <c r="C69" s="353">
        <v>2.0049999999999998E-3</v>
      </c>
      <c r="D69" s="353">
        <v>2.3609999999999998E-3</v>
      </c>
      <c r="E69" s="353">
        <v>3.3249999999999998E-3</v>
      </c>
      <c r="F69" s="354">
        <v>5.7099999999999998E-3</v>
      </c>
    </row>
    <row r="70" spans="1:6" ht="12" thickBot="1">
      <c r="A70" s="352">
        <v>41663</v>
      </c>
      <c r="B70" s="353">
        <v>1.6119999999999999E-3</v>
      </c>
      <c r="C70" s="353">
        <v>2.0325E-3</v>
      </c>
      <c r="D70" s="353">
        <v>2.3535000000000001E-3</v>
      </c>
      <c r="E70" s="353">
        <v>3.3349999999999999E-3</v>
      </c>
      <c r="F70" s="354">
        <v>5.7210000000000004E-3</v>
      </c>
    </row>
    <row r="71" spans="1:6" ht="12" thickBot="1">
      <c r="A71" s="352">
        <v>41662</v>
      </c>
      <c r="B71" s="353">
        <v>1.58E-3</v>
      </c>
      <c r="C71" s="353">
        <v>2.0435000000000002E-3</v>
      </c>
      <c r="D71" s="353">
        <v>2.3860000000000001E-3</v>
      </c>
      <c r="E71" s="353">
        <v>3.3500000000000001E-3</v>
      </c>
      <c r="F71" s="354">
        <v>5.7250000000000001E-3</v>
      </c>
    </row>
    <row r="72" spans="1:6" ht="12" thickBot="1">
      <c r="A72" s="352">
        <v>41661</v>
      </c>
      <c r="B72" s="353">
        <v>1.58E-3</v>
      </c>
      <c r="C72" s="353">
        <v>2.0435000000000002E-3</v>
      </c>
      <c r="D72" s="353">
        <v>2.3709999999999998E-3</v>
      </c>
      <c r="E72" s="353">
        <v>3.3409999999999998E-3</v>
      </c>
      <c r="F72" s="354">
        <v>5.7109999999999999E-3</v>
      </c>
    </row>
    <row r="73" spans="1:6" ht="12" thickBot="1">
      <c r="A73" s="352">
        <v>41660</v>
      </c>
      <c r="B73" s="353">
        <v>1.57E-3</v>
      </c>
      <c r="C73" s="353">
        <v>2.0235000000000001E-3</v>
      </c>
      <c r="D73" s="353">
        <v>2.366E-3</v>
      </c>
      <c r="E73" s="353">
        <v>3.3409999999999998E-3</v>
      </c>
      <c r="F73" s="354">
        <v>5.7260000000000002E-3</v>
      </c>
    </row>
    <row r="74" spans="1:6" ht="12" thickBot="1">
      <c r="A74" s="352">
        <v>41659</v>
      </c>
      <c r="B74" s="353">
        <v>1.57E-3</v>
      </c>
      <c r="C74" s="353">
        <v>2.0209999999999998E-3</v>
      </c>
      <c r="D74" s="353">
        <v>2.3709999999999998E-3</v>
      </c>
      <c r="E74" s="353">
        <v>3.3409999999999998E-3</v>
      </c>
      <c r="F74" s="354">
        <v>5.7210000000000004E-3</v>
      </c>
    </row>
    <row r="75" spans="1:6" ht="12" thickBot="1">
      <c r="A75" s="352">
        <v>41656</v>
      </c>
      <c r="B75" s="353">
        <v>1.57E-3</v>
      </c>
      <c r="C75" s="353">
        <v>2.0230000000000001E-3</v>
      </c>
      <c r="D75" s="353">
        <v>2.366E-3</v>
      </c>
      <c r="E75" s="353">
        <v>3.346E-3</v>
      </c>
      <c r="F75" s="354">
        <v>5.7210000000000004E-3</v>
      </c>
    </row>
    <row r="76" spans="1:6" ht="12" thickBot="1">
      <c r="A76" s="352">
        <v>41655</v>
      </c>
      <c r="B76" s="353">
        <v>1.57E-3</v>
      </c>
      <c r="C76" s="353">
        <v>2.013E-3</v>
      </c>
      <c r="D76" s="353">
        <v>2.3635000000000001E-3</v>
      </c>
      <c r="E76" s="353">
        <v>3.346E-3</v>
      </c>
      <c r="F76" s="354">
        <v>5.7159999999999997E-3</v>
      </c>
    </row>
    <row r="77" spans="1:6" ht="12" thickBot="1">
      <c r="A77" s="352">
        <v>41654</v>
      </c>
      <c r="B77" s="353">
        <v>1.5870000000000001E-3</v>
      </c>
      <c r="C77" s="353">
        <v>2.0300000000000001E-3</v>
      </c>
      <c r="D77" s="353">
        <v>2.3785E-3</v>
      </c>
      <c r="E77" s="353">
        <v>3.356E-3</v>
      </c>
      <c r="F77" s="354">
        <v>5.7159999999999997E-3</v>
      </c>
    </row>
    <row r="78" spans="1:6" ht="12" thickBot="1">
      <c r="A78" s="352">
        <v>41653</v>
      </c>
      <c r="B78" s="353">
        <v>1.5900000000000001E-3</v>
      </c>
      <c r="C78" s="353">
        <v>2.055E-3</v>
      </c>
      <c r="D78" s="353">
        <v>2.3674999999999998E-3</v>
      </c>
      <c r="E78" s="353">
        <v>3.3549999999999999E-3</v>
      </c>
      <c r="F78" s="354">
        <v>5.6810000000000003E-3</v>
      </c>
    </row>
    <row r="79" spans="1:6" ht="12" thickBot="1">
      <c r="A79" s="352">
        <v>41652</v>
      </c>
      <c r="B79" s="353">
        <v>1.6000000000000001E-3</v>
      </c>
      <c r="C79" s="353">
        <v>2.0774999999999999E-3</v>
      </c>
      <c r="D79" s="353">
        <v>2.3890000000000001E-3</v>
      </c>
      <c r="E79" s="353">
        <v>3.3839999999999999E-3</v>
      </c>
      <c r="F79" s="354">
        <v>5.7359999999999998E-3</v>
      </c>
    </row>
    <row r="80" spans="1:6" ht="12" thickBot="1">
      <c r="A80" s="352">
        <v>41649</v>
      </c>
      <c r="B80" s="353">
        <v>1.604E-3</v>
      </c>
      <c r="C80" s="353">
        <v>2.0864999999999998E-3</v>
      </c>
      <c r="D80" s="353">
        <v>2.4164999999999998E-3</v>
      </c>
      <c r="E80" s="353">
        <v>3.444E-3</v>
      </c>
      <c r="F80" s="354">
        <v>5.8259999999999996E-3</v>
      </c>
    </row>
    <row r="81" spans="1:6" ht="12" thickBot="1">
      <c r="A81" s="352">
        <v>41648</v>
      </c>
      <c r="B81" s="353">
        <v>1.603E-3</v>
      </c>
      <c r="C81" s="353">
        <v>2.0830000000000002E-3</v>
      </c>
      <c r="D81" s="353">
        <v>2.4164999999999998E-3</v>
      </c>
      <c r="E81" s="353">
        <v>3.4390000000000002E-3</v>
      </c>
      <c r="F81" s="354">
        <v>5.8459999999999996E-3</v>
      </c>
    </row>
    <row r="82" spans="1:6" ht="12" thickBot="1">
      <c r="A82" s="352">
        <v>41647</v>
      </c>
      <c r="B82" s="353">
        <v>1.6100000000000001E-3</v>
      </c>
      <c r="C82" s="353">
        <v>2.075E-3</v>
      </c>
      <c r="D82" s="353">
        <v>2.4039999999999999E-3</v>
      </c>
      <c r="E82" s="353">
        <v>3.4520000000000002E-3</v>
      </c>
      <c r="F82" s="354">
        <v>5.8560000000000001E-3</v>
      </c>
    </row>
    <row r="83" spans="1:6" ht="12" thickBot="1">
      <c r="A83" s="352">
        <v>41646</v>
      </c>
      <c r="B83" s="353">
        <v>1.6149999999999999E-3</v>
      </c>
      <c r="C83" s="353">
        <v>2.0820000000000001E-3</v>
      </c>
      <c r="D83" s="353">
        <v>2.421E-3</v>
      </c>
      <c r="E83" s="353">
        <v>3.447E-3</v>
      </c>
      <c r="F83" s="354">
        <v>5.8659999999999997E-3</v>
      </c>
    </row>
    <row r="84" spans="1:6" ht="12" thickBot="1">
      <c r="A84" s="352">
        <v>41642</v>
      </c>
      <c r="B84" s="353">
        <v>1.647E-3</v>
      </c>
      <c r="C84" s="353">
        <v>2.0994999999999998E-3</v>
      </c>
      <c r="D84" s="353">
        <v>2.3985E-3</v>
      </c>
      <c r="E84" s="353">
        <v>3.4520000000000002E-3</v>
      </c>
      <c r="F84" s="354">
        <v>5.8459999999999996E-3</v>
      </c>
    </row>
    <row r="85" spans="1:6" ht="12" thickBot="1">
      <c r="A85" s="355">
        <v>41641</v>
      </c>
      <c r="B85" s="356">
        <v>1.683E-3</v>
      </c>
      <c r="C85" s="356">
        <v>2.1250000000000002E-3</v>
      </c>
      <c r="D85" s="356">
        <v>2.4285000000000001E-3</v>
      </c>
      <c r="E85" s="356">
        <v>3.4640000000000001E-3</v>
      </c>
      <c r="F85" s="357">
        <v>5.8259999999999996E-3</v>
      </c>
    </row>
    <row r="86" spans="1:6">
      <c r="A86" s="346">
        <v>2013</v>
      </c>
      <c r="B86" s="347"/>
      <c r="C86" s="347"/>
      <c r="D86" s="347"/>
      <c r="E86" s="347"/>
      <c r="F86" s="347"/>
    </row>
    <row r="87" spans="1:6" ht="12" thickBot="1">
      <c r="A87" s="348"/>
      <c r="B87" s="610"/>
      <c r="C87" s="611"/>
      <c r="D87" s="611"/>
      <c r="E87" s="611"/>
      <c r="F87" s="612"/>
    </row>
    <row r="88" spans="1:6" ht="12" thickBot="1">
      <c r="A88" s="349" t="s">
        <v>1061</v>
      </c>
      <c r="B88" s="350" t="s">
        <v>1062</v>
      </c>
      <c r="C88" s="350" t="s">
        <v>1063</v>
      </c>
      <c r="D88" s="350" t="s">
        <v>1064</v>
      </c>
      <c r="E88" s="350" t="s">
        <v>1065</v>
      </c>
      <c r="F88" s="351" t="s">
        <v>1066</v>
      </c>
    </row>
    <row r="89" spans="1:6" ht="12" thickBot="1">
      <c r="A89" s="352">
        <v>41639</v>
      </c>
      <c r="B89" s="353">
        <v>1.6770000000000001E-3</v>
      </c>
      <c r="C89" s="353">
        <v>2.1275000000000001E-3</v>
      </c>
      <c r="D89" s="353">
        <v>2.4610000000000001E-3</v>
      </c>
      <c r="E89" s="353">
        <v>3.48E-3</v>
      </c>
      <c r="F89" s="354">
        <v>5.8310000000000002E-3</v>
      </c>
    </row>
    <row r="90" spans="1:6" ht="12" thickBot="1">
      <c r="A90" s="352">
        <v>41638</v>
      </c>
      <c r="B90" s="353">
        <v>1.702E-3</v>
      </c>
      <c r="C90" s="353">
        <v>2.1275000000000001E-3</v>
      </c>
      <c r="D90" s="353">
        <v>2.4659999999999999E-3</v>
      </c>
      <c r="E90" s="353">
        <v>3.4849999999999998E-3</v>
      </c>
      <c r="F90" s="354">
        <v>5.8310000000000002E-3</v>
      </c>
    </row>
    <row r="91" spans="1:6" ht="12" thickBot="1">
      <c r="A91" s="352">
        <v>41635</v>
      </c>
      <c r="B91" s="353">
        <v>1.6900000000000001E-3</v>
      </c>
      <c r="C91" s="353">
        <v>2.1205E-3</v>
      </c>
      <c r="D91" s="353">
        <v>2.4659999999999999E-3</v>
      </c>
      <c r="E91" s="353">
        <v>3.49E-3</v>
      </c>
      <c r="F91" s="354">
        <v>5.8310000000000002E-3</v>
      </c>
    </row>
    <row r="92" spans="1:6" ht="12" thickBot="1">
      <c r="A92" s="352">
        <v>41634</v>
      </c>
      <c r="B92" s="353">
        <v>1.67E-3</v>
      </c>
      <c r="C92" s="353">
        <v>2.1280000000000001E-3</v>
      </c>
      <c r="D92" s="353">
        <v>2.4685000000000002E-3</v>
      </c>
      <c r="E92" s="353">
        <v>3.4940000000000001E-3</v>
      </c>
      <c r="F92" s="354">
        <v>5.836E-3</v>
      </c>
    </row>
    <row r="93" spans="1:6" ht="12" thickBot="1">
      <c r="A93" s="352">
        <v>41632</v>
      </c>
      <c r="B93" s="353">
        <v>1.67E-3</v>
      </c>
      <c r="C93" s="353">
        <v>2.1280000000000001E-3</v>
      </c>
      <c r="D93" s="353">
        <v>2.4685000000000002E-3</v>
      </c>
      <c r="E93" s="353">
        <v>3.4940000000000001E-3</v>
      </c>
      <c r="F93" s="354">
        <v>5.836E-3</v>
      </c>
    </row>
    <row r="94" spans="1:6" ht="12" thickBot="1">
      <c r="A94" s="352">
        <v>41631</v>
      </c>
      <c r="B94" s="353">
        <v>1.6459999999999999E-3</v>
      </c>
      <c r="C94" s="353">
        <v>2.1275000000000001E-3</v>
      </c>
      <c r="D94" s="353">
        <v>2.4585000000000002E-3</v>
      </c>
      <c r="E94" s="353">
        <v>3.4940000000000001E-3</v>
      </c>
      <c r="F94" s="354">
        <v>5.836E-3</v>
      </c>
    </row>
    <row r="95" spans="1:6" ht="12" thickBot="1">
      <c r="A95" s="352">
        <v>41628</v>
      </c>
      <c r="B95" s="353">
        <v>1.64E-3</v>
      </c>
      <c r="C95" s="353">
        <v>2.1524999999999999E-3</v>
      </c>
      <c r="D95" s="353">
        <v>2.4835E-3</v>
      </c>
      <c r="E95" s="353">
        <v>3.5040000000000002E-3</v>
      </c>
      <c r="F95" s="354">
        <v>5.8409999999999998E-3</v>
      </c>
    </row>
    <row r="96" spans="1:6" ht="12" thickBot="1">
      <c r="A96" s="352">
        <v>41627</v>
      </c>
      <c r="B96" s="353">
        <v>1.645E-3</v>
      </c>
      <c r="C96" s="353">
        <v>2.1450000000000002E-3</v>
      </c>
      <c r="D96" s="353">
        <v>2.4585000000000002E-3</v>
      </c>
      <c r="E96" s="353">
        <v>3.4789999999999999E-3</v>
      </c>
      <c r="F96" s="354">
        <v>5.8060000000000004E-3</v>
      </c>
    </row>
    <row r="97" spans="1:6" ht="12" thickBot="1">
      <c r="A97" s="352">
        <v>41626</v>
      </c>
      <c r="B97" s="353">
        <v>1.668E-3</v>
      </c>
      <c r="C97" s="353">
        <v>2.1405E-3</v>
      </c>
      <c r="D97" s="353">
        <v>2.4510000000000001E-3</v>
      </c>
      <c r="E97" s="353">
        <v>3.4689999999999999E-3</v>
      </c>
      <c r="F97" s="354">
        <v>5.7809999999999997E-3</v>
      </c>
    </row>
    <row r="98" spans="1:6" ht="12" thickBot="1">
      <c r="A98" s="352">
        <v>41625</v>
      </c>
      <c r="B98" s="353">
        <v>1.663E-3</v>
      </c>
      <c r="C98" s="353">
        <v>2.1324999999999998E-3</v>
      </c>
      <c r="D98" s="353">
        <v>2.4434999999999999E-3</v>
      </c>
      <c r="E98" s="353">
        <v>3.4789999999999999E-3</v>
      </c>
      <c r="F98" s="354">
        <v>5.8060000000000004E-3</v>
      </c>
    </row>
    <row r="99" spans="1:6" ht="12" thickBot="1">
      <c r="A99" s="352">
        <v>41624</v>
      </c>
      <c r="B99" s="353">
        <v>1.65E-3</v>
      </c>
      <c r="C99" s="353">
        <v>2.1324999999999998E-3</v>
      </c>
      <c r="D99" s="353">
        <v>2.4285000000000001E-3</v>
      </c>
      <c r="E99" s="353">
        <v>3.454E-3</v>
      </c>
      <c r="F99" s="354">
        <v>5.7959999999999999E-3</v>
      </c>
    </row>
    <row r="100" spans="1:6" ht="12" thickBot="1">
      <c r="A100" s="352">
        <v>41621</v>
      </c>
      <c r="B100" s="353">
        <v>1.64E-3</v>
      </c>
      <c r="C100" s="353">
        <v>2.1375000000000001E-3</v>
      </c>
      <c r="D100" s="353">
        <v>2.4385000000000001E-3</v>
      </c>
      <c r="E100" s="353">
        <v>3.454E-3</v>
      </c>
      <c r="F100" s="354">
        <v>5.8060000000000004E-3</v>
      </c>
    </row>
    <row r="101" spans="1:6" ht="12" thickBot="1">
      <c r="A101" s="352">
        <v>41620</v>
      </c>
      <c r="B101" s="353">
        <v>1.6659999999999999E-3</v>
      </c>
      <c r="C101" s="353">
        <v>2.14E-3</v>
      </c>
      <c r="D101" s="353">
        <v>2.4285000000000001E-3</v>
      </c>
      <c r="E101" s="353">
        <v>3.441E-3</v>
      </c>
      <c r="F101" s="354">
        <v>5.7629999999999999E-3</v>
      </c>
    </row>
    <row r="102" spans="1:6" ht="12" thickBot="1">
      <c r="A102" s="352">
        <v>41619</v>
      </c>
      <c r="B102" s="353">
        <v>1.6735000000000001E-3</v>
      </c>
      <c r="C102" s="353">
        <v>2.14E-3</v>
      </c>
      <c r="D102" s="353">
        <v>2.4385000000000001E-3</v>
      </c>
      <c r="E102" s="353">
        <v>3.4380000000000001E-3</v>
      </c>
      <c r="F102" s="354">
        <v>5.7429999999999998E-3</v>
      </c>
    </row>
    <row r="103" spans="1:6" ht="12" thickBot="1">
      <c r="A103" s="352">
        <v>41618</v>
      </c>
      <c r="B103" s="353">
        <v>1.6934999999999999E-3</v>
      </c>
      <c r="C103" s="353">
        <v>2.15E-3</v>
      </c>
      <c r="D103" s="353">
        <v>2.4185000000000001E-3</v>
      </c>
      <c r="E103" s="353">
        <v>3.4399999999999999E-3</v>
      </c>
      <c r="F103" s="354">
        <v>5.7330000000000002E-3</v>
      </c>
    </row>
    <row r="104" spans="1:6" ht="12" thickBot="1">
      <c r="A104" s="352">
        <v>41617</v>
      </c>
      <c r="B104" s="353">
        <v>1.7060000000000001E-3</v>
      </c>
      <c r="C104" s="353">
        <v>2.1275000000000001E-3</v>
      </c>
      <c r="D104" s="353">
        <v>2.4260000000000002E-3</v>
      </c>
      <c r="E104" s="353">
        <v>3.4199999999999999E-3</v>
      </c>
      <c r="F104" s="354">
        <v>5.7359999999999998E-3</v>
      </c>
    </row>
    <row r="105" spans="1:6" ht="12" thickBot="1">
      <c r="A105" s="352">
        <v>41614</v>
      </c>
      <c r="B105" s="353">
        <v>1.6949999999999999E-3</v>
      </c>
      <c r="C105" s="353">
        <v>2.1150000000000001E-3</v>
      </c>
      <c r="D105" s="353">
        <v>2.4085000000000001E-3</v>
      </c>
      <c r="E105" s="353">
        <v>3.4450000000000001E-3</v>
      </c>
      <c r="F105" s="354">
        <v>5.7670000000000004E-3</v>
      </c>
    </row>
    <row r="106" spans="1:6" ht="12" thickBot="1">
      <c r="A106" s="352">
        <v>41613</v>
      </c>
      <c r="B106" s="353">
        <v>1.6785000000000001E-3</v>
      </c>
      <c r="C106" s="353">
        <v>2.0999999999999999E-3</v>
      </c>
      <c r="D106" s="353">
        <v>2.4160000000000002E-3</v>
      </c>
      <c r="E106" s="353">
        <v>3.46E-3</v>
      </c>
      <c r="F106" s="354">
        <v>5.7720000000000002E-3</v>
      </c>
    </row>
    <row r="107" spans="1:6" ht="12" thickBot="1">
      <c r="A107" s="352">
        <v>41612</v>
      </c>
      <c r="B107" s="353">
        <v>1.6850000000000001E-3</v>
      </c>
      <c r="C107" s="353">
        <v>2.0999999999999999E-3</v>
      </c>
      <c r="D107" s="353">
        <v>2.4185000000000001E-3</v>
      </c>
      <c r="E107" s="353">
        <v>3.4450000000000001E-3</v>
      </c>
      <c r="F107" s="354">
        <v>5.7670000000000004E-3</v>
      </c>
    </row>
    <row r="108" spans="1:6" ht="12" thickBot="1">
      <c r="A108" s="352">
        <v>41611</v>
      </c>
      <c r="B108" s="353">
        <v>1.6750000000000001E-3</v>
      </c>
      <c r="C108" s="353">
        <v>2.0975E-3</v>
      </c>
      <c r="D108" s="353">
        <v>2.4130000000000002E-3</v>
      </c>
      <c r="E108" s="353">
        <v>3.4450000000000001E-3</v>
      </c>
      <c r="F108" s="354">
        <v>5.757E-3</v>
      </c>
    </row>
    <row r="109" spans="1:6" ht="12" thickBot="1">
      <c r="A109" s="352">
        <v>41610</v>
      </c>
      <c r="B109" s="353">
        <v>1.6825E-3</v>
      </c>
      <c r="C109" s="353">
        <v>2.1050000000000001E-3</v>
      </c>
      <c r="D109" s="353">
        <v>2.3885E-3</v>
      </c>
      <c r="E109" s="353">
        <v>3.4629999999999999E-3</v>
      </c>
      <c r="F109" s="354">
        <v>5.77E-3</v>
      </c>
    </row>
    <row r="110" spans="1:6" ht="12" thickBot="1">
      <c r="A110" s="352">
        <v>41607</v>
      </c>
      <c r="B110" s="353">
        <v>1.6825E-3</v>
      </c>
      <c r="C110" s="353">
        <v>2.0699999999999998E-3</v>
      </c>
      <c r="D110" s="353">
        <v>2.3909999999999999E-3</v>
      </c>
      <c r="E110" s="353">
        <v>3.4680000000000002E-3</v>
      </c>
      <c r="F110" s="354">
        <v>5.7800000000000004E-3</v>
      </c>
    </row>
    <row r="111" spans="1:6" ht="12" thickBot="1">
      <c r="A111" s="352">
        <v>41606</v>
      </c>
      <c r="B111" s="353">
        <v>1.6875E-3</v>
      </c>
      <c r="C111" s="353">
        <v>2.065E-3</v>
      </c>
      <c r="D111" s="353">
        <v>2.3909999999999999E-3</v>
      </c>
      <c r="E111" s="353">
        <v>3.4550000000000002E-3</v>
      </c>
      <c r="F111" s="354">
        <v>5.7800000000000004E-3</v>
      </c>
    </row>
    <row r="112" spans="1:6" ht="12" thickBot="1">
      <c r="A112" s="352">
        <v>41605</v>
      </c>
      <c r="B112" s="353">
        <v>1.65E-3</v>
      </c>
      <c r="C112" s="353">
        <v>2.0504999999999998E-3</v>
      </c>
      <c r="D112" s="353">
        <v>2.3760000000000001E-3</v>
      </c>
      <c r="E112" s="353">
        <v>3.46E-3</v>
      </c>
      <c r="F112" s="354">
        <v>5.7809999999999997E-3</v>
      </c>
    </row>
    <row r="113" spans="1:6" ht="12" thickBot="1">
      <c r="A113" s="352">
        <v>41604</v>
      </c>
      <c r="B113" s="353">
        <v>1.64E-3</v>
      </c>
      <c r="C113" s="353">
        <v>2.0500000000000002E-3</v>
      </c>
      <c r="D113" s="353">
        <v>2.366E-3</v>
      </c>
      <c r="E113" s="353">
        <v>3.441E-3</v>
      </c>
      <c r="F113" s="354">
        <v>5.7559999999999998E-3</v>
      </c>
    </row>
    <row r="114" spans="1:6" ht="12" thickBot="1">
      <c r="A114" s="352">
        <v>41603</v>
      </c>
      <c r="B114" s="353">
        <v>1.64E-3</v>
      </c>
      <c r="C114" s="353">
        <v>2.0474999999999998E-3</v>
      </c>
      <c r="D114" s="353">
        <v>2.3584999999999999E-3</v>
      </c>
      <c r="E114" s="353">
        <v>3.4489999999999998E-3</v>
      </c>
      <c r="F114" s="354">
        <v>5.7359999999999998E-3</v>
      </c>
    </row>
    <row r="115" spans="1:6" ht="12" thickBot="1">
      <c r="A115" s="352">
        <v>41600</v>
      </c>
      <c r="B115" s="353">
        <v>1.655E-3</v>
      </c>
      <c r="C115" s="353">
        <v>2.0615E-3</v>
      </c>
      <c r="D115" s="353">
        <v>2.366E-3</v>
      </c>
      <c r="E115" s="353">
        <v>3.4589999999999998E-3</v>
      </c>
      <c r="F115" s="354">
        <v>5.7409999999999996E-3</v>
      </c>
    </row>
    <row r="116" spans="1:6" ht="12" thickBot="1">
      <c r="A116" s="352">
        <v>41599</v>
      </c>
      <c r="B116" s="353">
        <v>1.66E-3</v>
      </c>
      <c r="C116" s="353">
        <v>2.0715E-3</v>
      </c>
      <c r="D116" s="353">
        <v>2.3760000000000001E-3</v>
      </c>
      <c r="E116" s="353">
        <v>3.4689999999999999E-3</v>
      </c>
      <c r="F116" s="354">
        <v>5.7559999999999998E-3</v>
      </c>
    </row>
    <row r="117" spans="1:6" ht="12" thickBot="1">
      <c r="A117" s="352">
        <v>41598</v>
      </c>
      <c r="B117" s="353">
        <v>1.665E-3</v>
      </c>
      <c r="C117" s="353">
        <v>2.0825000000000001E-3</v>
      </c>
      <c r="D117" s="353">
        <v>2.3809999999999999E-3</v>
      </c>
      <c r="E117" s="353">
        <v>3.4989999999999999E-3</v>
      </c>
      <c r="F117" s="354">
        <v>5.8409999999999998E-3</v>
      </c>
    </row>
    <row r="118" spans="1:6" ht="12" thickBot="1">
      <c r="A118" s="352">
        <v>41597</v>
      </c>
      <c r="B118" s="353">
        <v>1.67E-3</v>
      </c>
      <c r="C118" s="353">
        <v>2.0939999999999999E-3</v>
      </c>
      <c r="D118" s="353">
        <v>2.3909999999999999E-3</v>
      </c>
      <c r="E118" s="353">
        <v>3.519E-3</v>
      </c>
      <c r="F118" s="354">
        <v>5.8459999999999996E-3</v>
      </c>
    </row>
    <row r="119" spans="1:6" ht="12" thickBot="1">
      <c r="A119" s="352">
        <v>41596</v>
      </c>
      <c r="B119" s="353">
        <v>1.6800000000000001E-3</v>
      </c>
      <c r="C119" s="353">
        <v>2.0839999999999999E-3</v>
      </c>
      <c r="D119" s="353">
        <v>2.3735000000000002E-3</v>
      </c>
      <c r="E119" s="353">
        <v>3.5140000000000002E-3</v>
      </c>
      <c r="F119" s="354">
        <v>5.8510000000000003E-3</v>
      </c>
    </row>
    <row r="120" spans="1:6" ht="12" thickBot="1">
      <c r="A120" s="352">
        <v>41593</v>
      </c>
      <c r="B120" s="353">
        <v>1.6750000000000001E-3</v>
      </c>
      <c r="C120" s="353">
        <v>2.0699999999999998E-3</v>
      </c>
      <c r="D120" s="353">
        <v>2.3809999999999999E-3</v>
      </c>
      <c r="E120" s="353">
        <v>3.5140000000000002E-3</v>
      </c>
      <c r="F120" s="354">
        <v>5.8409999999999998E-3</v>
      </c>
    </row>
    <row r="121" spans="1:6" ht="12" thickBot="1">
      <c r="A121" s="352">
        <v>41592</v>
      </c>
      <c r="B121" s="353">
        <v>1.6750000000000001E-3</v>
      </c>
      <c r="C121" s="353">
        <v>2.0699999999999998E-3</v>
      </c>
      <c r="D121" s="353">
        <v>2.3844999999999999E-3</v>
      </c>
      <c r="E121" s="353">
        <v>3.5349999999999999E-3</v>
      </c>
      <c r="F121" s="354">
        <v>5.8809999999999999E-3</v>
      </c>
    </row>
    <row r="122" spans="1:6" ht="12" thickBot="1">
      <c r="A122" s="352">
        <v>41591</v>
      </c>
      <c r="B122" s="353">
        <v>1.6770000000000001E-3</v>
      </c>
      <c r="C122" s="353">
        <v>2.0725000000000001E-3</v>
      </c>
      <c r="D122" s="353">
        <v>2.4060000000000002E-3</v>
      </c>
      <c r="E122" s="353">
        <v>3.5539999999999999E-3</v>
      </c>
      <c r="F122" s="354">
        <v>5.9160000000000003E-3</v>
      </c>
    </row>
    <row r="123" spans="1:6" ht="12" thickBot="1">
      <c r="A123" s="352">
        <v>41590</v>
      </c>
      <c r="B123" s="353">
        <v>1.6850000000000001E-3</v>
      </c>
      <c r="C123" s="353">
        <v>2.0755000000000001E-3</v>
      </c>
      <c r="D123" s="353">
        <v>2.3925000000000001E-3</v>
      </c>
      <c r="E123" s="353">
        <v>3.5485E-3</v>
      </c>
      <c r="F123" s="354">
        <v>5.9049999999999997E-3</v>
      </c>
    </row>
    <row r="124" spans="1:6" ht="12" thickBot="1">
      <c r="A124" s="352">
        <v>41586</v>
      </c>
      <c r="B124" s="353">
        <v>1.6850000000000001E-3</v>
      </c>
      <c r="C124" s="353">
        <v>2.0774999999999999E-3</v>
      </c>
      <c r="D124" s="353">
        <v>2.3939999999999999E-3</v>
      </c>
      <c r="E124" s="353">
        <v>3.545E-3</v>
      </c>
      <c r="F124" s="354">
        <v>5.9474999999999997E-3</v>
      </c>
    </row>
    <row r="125" spans="1:6" ht="12" thickBot="1">
      <c r="A125" s="352">
        <v>41585</v>
      </c>
      <c r="B125" s="353">
        <v>1.6750000000000001E-3</v>
      </c>
      <c r="C125" s="353">
        <v>2.0795000000000002E-3</v>
      </c>
      <c r="D125" s="353">
        <v>2.3890000000000001E-3</v>
      </c>
      <c r="E125" s="353">
        <v>3.5425000000000001E-3</v>
      </c>
      <c r="F125" s="354">
        <v>5.9699999999999996E-3</v>
      </c>
    </row>
    <row r="126" spans="1:6" ht="12" thickBot="1">
      <c r="A126" s="352">
        <v>41584</v>
      </c>
      <c r="B126" s="353">
        <v>1.6850000000000001E-3</v>
      </c>
      <c r="C126" s="353">
        <v>2.0895000000000002E-3</v>
      </c>
      <c r="D126" s="353">
        <v>2.3865000000000002E-3</v>
      </c>
      <c r="E126" s="353">
        <v>3.5374999999999998E-3</v>
      </c>
      <c r="F126" s="354">
        <v>5.9750000000000003E-3</v>
      </c>
    </row>
    <row r="127" spans="1:6" ht="12" thickBot="1">
      <c r="A127" s="352">
        <v>41583</v>
      </c>
      <c r="B127" s="353">
        <v>1.6850000000000001E-3</v>
      </c>
      <c r="C127" s="353">
        <v>2.0885000000000001E-3</v>
      </c>
      <c r="D127" s="353">
        <v>2.3770000000000002E-3</v>
      </c>
      <c r="E127" s="353">
        <v>3.516E-3</v>
      </c>
      <c r="F127" s="354">
        <v>5.9610000000000002E-3</v>
      </c>
    </row>
    <row r="128" spans="1:6" ht="12" thickBot="1">
      <c r="A128" s="352">
        <v>41579</v>
      </c>
      <c r="B128" s="353">
        <v>1.6850000000000001E-3</v>
      </c>
      <c r="C128" s="353">
        <v>2.0990000000000002E-3</v>
      </c>
      <c r="D128" s="353">
        <v>2.3774999999999998E-3</v>
      </c>
      <c r="E128" s="353">
        <v>3.5349999999999999E-3</v>
      </c>
      <c r="F128" s="354">
        <v>6.0159999999999996E-3</v>
      </c>
    </row>
    <row r="129" spans="1:6" ht="12" thickBot="1">
      <c r="A129" s="352">
        <v>41578</v>
      </c>
      <c r="B129" s="353">
        <v>1.6800000000000001E-3</v>
      </c>
      <c r="C129" s="353">
        <v>2.1159999999999998E-3</v>
      </c>
      <c r="D129" s="353">
        <v>2.4199999999999998E-3</v>
      </c>
      <c r="E129" s="353">
        <v>3.5490000000000001E-3</v>
      </c>
      <c r="F129" s="354">
        <v>6.0260000000000001E-3</v>
      </c>
    </row>
    <row r="130" spans="1:6" ht="12" thickBot="1">
      <c r="A130" s="352">
        <v>41577</v>
      </c>
      <c r="B130" s="353">
        <v>1.6800000000000001E-3</v>
      </c>
      <c r="C130" s="353">
        <v>2.114E-3</v>
      </c>
      <c r="D130" s="353">
        <v>2.4190000000000001E-3</v>
      </c>
      <c r="E130" s="353">
        <v>3.5490000000000001E-3</v>
      </c>
      <c r="F130" s="354">
        <v>6.0359999999999997E-3</v>
      </c>
    </row>
    <row r="131" spans="1:6" ht="12" thickBot="1">
      <c r="A131" s="352">
        <v>41576</v>
      </c>
      <c r="B131" s="353">
        <v>1.6800000000000001E-3</v>
      </c>
      <c r="C131" s="353">
        <v>2.0925000000000002E-3</v>
      </c>
      <c r="D131" s="353">
        <v>2.3744999999999999E-3</v>
      </c>
      <c r="E131" s="353">
        <v>3.5539999999999999E-3</v>
      </c>
      <c r="F131" s="354">
        <v>6.051E-3</v>
      </c>
    </row>
    <row r="132" spans="1:6" ht="12" thickBot="1">
      <c r="A132" s="352">
        <v>41575</v>
      </c>
      <c r="B132" s="353">
        <v>1.681E-3</v>
      </c>
      <c r="C132" s="353">
        <v>2.0834999999999998E-3</v>
      </c>
      <c r="D132" s="353">
        <v>2.3584999999999999E-3</v>
      </c>
      <c r="E132" s="353">
        <v>3.5379999999999999E-3</v>
      </c>
      <c r="F132" s="354">
        <v>6.0559999999999998E-3</v>
      </c>
    </row>
    <row r="133" spans="1:6" ht="12" thickBot="1">
      <c r="A133" s="352">
        <v>41572</v>
      </c>
      <c r="B133" s="353">
        <v>1.686E-3</v>
      </c>
      <c r="C133" s="353">
        <v>2.0899999999999998E-3</v>
      </c>
      <c r="D133" s="353">
        <v>2.3684999999999999E-3</v>
      </c>
      <c r="E133" s="353">
        <v>3.539E-3</v>
      </c>
      <c r="F133" s="354">
        <v>6.0569999999999999E-3</v>
      </c>
    </row>
    <row r="134" spans="1:6" ht="12" thickBot="1">
      <c r="A134" s="352">
        <v>41571</v>
      </c>
      <c r="B134" s="353">
        <v>1.7099999999999999E-3</v>
      </c>
      <c r="C134" s="353">
        <v>2.0960000000000002E-3</v>
      </c>
      <c r="D134" s="353">
        <v>2.3809999999999999E-3</v>
      </c>
      <c r="E134" s="353">
        <v>3.5620000000000001E-3</v>
      </c>
      <c r="F134" s="354">
        <v>6.0660000000000002E-3</v>
      </c>
    </row>
    <row r="135" spans="1:6" ht="12" thickBot="1">
      <c r="A135" s="352">
        <v>41570</v>
      </c>
      <c r="B135" s="353">
        <v>1.702E-3</v>
      </c>
      <c r="C135" s="353">
        <v>2.0975E-3</v>
      </c>
      <c r="D135" s="353">
        <v>2.3835000000000002E-3</v>
      </c>
      <c r="E135" s="353">
        <v>3.5569999999999998E-3</v>
      </c>
      <c r="F135" s="354">
        <v>6.0860000000000003E-3</v>
      </c>
    </row>
    <row r="136" spans="1:6" ht="12" thickBot="1">
      <c r="A136" s="352">
        <v>41569</v>
      </c>
      <c r="B136" s="353">
        <v>1.6999999999999999E-3</v>
      </c>
      <c r="C136" s="353">
        <v>2.0975E-3</v>
      </c>
      <c r="D136" s="353">
        <v>2.3835000000000002E-3</v>
      </c>
      <c r="E136" s="353">
        <v>3.5839999999999999E-3</v>
      </c>
      <c r="F136" s="354">
        <v>6.1260000000000004E-3</v>
      </c>
    </row>
    <row r="137" spans="1:6" ht="12" thickBot="1">
      <c r="A137" s="352">
        <v>41568</v>
      </c>
      <c r="B137" s="353">
        <v>1.6999999999999999E-3</v>
      </c>
      <c r="C137" s="353">
        <v>2.0999999999999999E-3</v>
      </c>
      <c r="D137" s="353">
        <v>2.3860000000000001E-3</v>
      </c>
      <c r="E137" s="353">
        <v>3.5839999999999999E-3</v>
      </c>
      <c r="F137" s="354">
        <v>6.1310000000000002E-3</v>
      </c>
    </row>
    <row r="138" spans="1:6" ht="12" thickBot="1">
      <c r="A138" s="352">
        <v>41565</v>
      </c>
      <c r="B138" s="353">
        <v>1.72E-3</v>
      </c>
      <c r="C138" s="353">
        <v>2.1075E-3</v>
      </c>
      <c r="D138" s="353">
        <v>2.4055000000000001E-3</v>
      </c>
      <c r="E138" s="353">
        <v>3.5990000000000002E-3</v>
      </c>
      <c r="F138" s="354">
        <v>6.1409999999999998E-3</v>
      </c>
    </row>
    <row r="139" spans="1:6" ht="12" thickBot="1">
      <c r="A139" s="352">
        <v>41564</v>
      </c>
      <c r="B139" s="353">
        <v>1.725E-3</v>
      </c>
      <c r="C139" s="353">
        <v>2.1250000000000002E-3</v>
      </c>
      <c r="D139" s="353">
        <v>2.4204999999999999E-3</v>
      </c>
      <c r="E139" s="353">
        <v>3.594E-3</v>
      </c>
      <c r="F139" s="354">
        <v>6.2009999999999999E-3</v>
      </c>
    </row>
    <row r="140" spans="1:6" ht="12" thickBot="1">
      <c r="A140" s="352">
        <v>41563</v>
      </c>
      <c r="B140" s="353">
        <v>1.755E-3</v>
      </c>
      <c r="C140" s="353">
        <v>2.1624999999999999E-3</v>
      </c>
      <c r="D140" s="353">
        <v>2.4605E-3</v>
      </c>
      <c r="E140" s="353">
        <v>3.6440000000000001E-3</v>
      </c>
      <c r="F140" s="354">
        <v>6.2960000000000004E-3</v>
      </c>
    </row>
    <row r="141" spans="1:6" ht="12" thickBot="1">
      <c r="A141" s="352">
        <v>41562</v>
      </c>
      <c r="B141" s="353">
        <v>1.7374999999999999E-3</v>
      </c>
      <c r="C141" s="353">
        <v>2.1375000000000001E-3</v>
      </c>
      <c r="D141" s="353">
        <v>2.4355000000000002E-3</v>
      </c>
      <c r="E141" s="353">
        <v>3.6340000000000001E-3</v>
      </c>
      <c r="F141" s="354">
        <v>6.2909999999999997E-3</v>
      </c>
    </row>
    <row r="142" spans="1:6" ht="12" thickBot="1">
      <c r="A142" s="352">
        <v>41558</v>
      </c>
      <c r="B142" s="353">
        <v>1.74E-3</v>
      </c>
      <c r="C142" s="353">
        <v>2.1524999999999999E-3</v>
      </c>
      <c r="D142" s="353">
        <v>2.4359999999999998E-3</v>
      </c>
      <c r="E142" s="353">
        <v>3.6340000000000001E-3</v>
      </c>
      <c r="F142" s="354">
        <v>6.2760000000000003E-3</v>
      </c>
    </row>
    <row r="143" spans="1:6" ht="12" thickBot="1">
      <c r="A143" s="352">
        <v>41557</v>
      </c>
      <c r="B143" s="353">
        <v>1.74E-3</v>
      </c>
      <c r="C143" s="353">
        <v>2.1450000000000002E-3</v>
      </c>
      <c r="D143" s="353">
        <v>2.431E-3</v>
      </c>
      <c r="E143" s="353">
        <v>3.6614999999999998E-3</v>
      </c>
      <c r="F143" s="354">
        <v>6.2709999999999997E-3</v>
      </c>
    </row>
    <row r="144" spans="1:6" ht="12" thickBot="1">
      <c r="A144" s="352">
        <v>41556</v>
      </c>
      <c r="B144" s="353">
        <v>1.7725E-3</v>
      </c>
      <c r="C144" s="353">
        <v>2.1725E-3</v>
      </c>
      <c r="D144" s="353">
        <v>2.4559999999999998E-3</v>
      </c>
      <c r="E144" s="353">
        <v>3.6865000000000001E-3</v>
      </c>
      <c r="F144" s="354">
        <v>6.3109999999999998E-3</v>
      </c>
    </row>
    <row r="145" spans="1:6" ht="12" thickBot="1">
      <c r="A145" s="352">
        <v>41555</v>
      </c>
      <c r="B145" s="353">
        <v>1.74E-3</v>
      </c>
      <c r="C145" s="353">
        <v>2.1549999999999998E-3</v>
      </c>
      <c r="D145" s="353">
        <v>2.4359999999999998E-3</v>
      </c>
      <c r="E145" s="353">
        <v>3.6614999999999998E-3</v>
      </c>
      <c r="F145" s="354">
        <v>6.2335000000000003E-3</v>
      </c>
    </row>
    <row r="146" spans="1:6" ht="12" thickBot="1">
      <c r="A146" s="352">
        <v>41554</v>
      </c>
      <c r="B146" s="353">
        <v>1.738E-3</v>
      </c>
      <c r="C146" s="353">
        <v>2.14E-3</v>
      </c>
      <c r="D146" s="353">
        <v>2.4334999999999999E-3</v>
      </c>
      <c r="E146" s="353">
        <v>3.6575000000000002E-3</v>
      </c>
      <c r="F146" s="354">
        <v>6.2084999999999996E-3</v>
      </c>
    </row>
    <row r="147" spans="1:6" ht="12" thickBot="1">
      <c r="A147" s="352">
        <v>41551</v>
      </c>
      <c r="B147" s="353">
        <v>1.7329999999999999E-3</v>
      </c>
      <c r="C147" s="353">
        <v>2.1299999999999999E-3</v>
      </c>
      <c r="D147" s="353">
        <v>2.4285000000000001E-3</v>
      </c>
      <c r="E147" s="353">
        <v>3.65E-3</v>
      </c>
      <c r="F147" s="354">
        <v>6.1859999999999997E-3</v>
      </c>
    </row>
    <row r="148" spans="1:6" ht="12" thickBot="1">
      <c r="A148" s="352">
        <v>41550</v>
      </c>
      <c r="B148" s="353">
        <v>1.743E-3</v>
      </c>
      <c r="C148" s="353">
        <v>2.1324999999999998E-3</v>
      </c>
      <c r="D148" s="353">
        <v>2.4285000000000001E-3</v>
      </c>
      <c r="E148" s="353">
        <v>3.6549999999999998E-3</v>
      </c>
      <c r="F148" s="354">
        <v>6.2265000000000003E-3</v>
      </c>
    </row>
    <row r="149" spans="1:6" ht="12" thickBot="1">
      <c r="A149" s="352">
        <v>41549</v>
      </c>
      <c r="B149" s="353">
        <v>1.7574999999999999E-3</v>
      </c>
      <c r="C149" s="353">
        <v>2.1450000000000002E-3</v>
      </c>
      <c r="D149" s="353">
        <v>2.4434999999999999E-3</v>
      </c>
      <c r="E149" s="353">
        <v>3.6675000000000002E-3</v>
      </c>
      <c r="F149" s="354">
        <v>6.2315000000000001E-3</v>
      </c>
    </row>
    <row r="150" spans="1:6" ht="12" thickBot="1">
      <c r="A150" s="352">
        <v>41548</v>
      </c>
      <c r="B150" s="353">
        <v>1.7799999999999999E-3</v>
      </c>
      <c r="C150" s="353">
        <v>2.16E-3</v>
      </c>
      <c r="D150" s="353">
        <v>2.4585000000000002E-3</v>
      </c>
      <c r="E150" s="353">
        <v>3.6749999999999999E-3</v>
      </c>
      <c r="F150" s="354">
        <v>6.2665000000000004E-3</v>
      </c>
    </row>
    <row r="151" spans="1:6" ht="12" thickBot="1">
      <c r="A151" s="352">
        <v>41547</v>
      </c>
      <c r="B151" s="353">
        <v>1.7884999999999999E-3</v>
      </c>
      <c r="C151" s="353">
        <v>2.1649999999999998E-3</v>
      </c>
      <c r="D151" s="353">
        <v>2.4884999999999998E-3</v>
      </c>
      <c r="E151" s="353">
        <v>3.6849999999999999E-3</v>
      </c>
      <c r="F151" s="354">
        <v>6.2940000000000001E-3</v>
      </c>
    </row>
    <row r="152" spans="1:6" ht="12" thickBot="1">
      <c r="A152" s="352">
        <v>41544</v>
      </c>
      <c r="B152" s="353">
        <v>1.7964999999999999E-3</v>
      </c>
      <c r="C152" s="353">
        <v>2.1649999999999998E-3</v>
      </c>
      <c r="D152" s="353">
        <v>2.4835E-3</v>
      </c>
      <c r="E152" s="353">
        <v>3.6649999999999999E-3</v>
      </c>
      <c r="F152" s="354">
        <v>6.2610000000000001E-3</v>
      </c>
    </row>
    <row r="153" spans="1:6" ht="12" thickBot="1">
      <c r="A153" s="352">
        <v>41543</v>
      </c>
      <c r="B153" s="353">
        <v>1.7905E-3</v>
      </c>
      <c r="C153" s="353">
        <v>2.1800000000000001E-3</v>
      </c>
      <c r="D153" s="353">
        <v>2.4810000000000001E-3</v>
      </c>
      <c r="E153" s="353">
        <v>3.6749999999999999E-3</v>
      </c>
      <c r="F153" s="354">
        <v>6.3109999999999998E-3</v>
      </c>
    </row>
    <row r="154" spans="1:6" ht="12" thickBot="1">
      <c r="A154" s="352">
        <v>41542</v>
      </c>
      <c r="B154" s="353">
        <v>1.7905E-3</v>
      </c>
      <c r="C154" s="353">
        <v>2.1800000000000001E-3</v>
      </c>
      <c r="D154" s="353">
        <v>2.4759999999999999E-3</v>
      </c>
      <c r="E154" s="353">
        <v>3.6849999999999999E-3</v>
      </c>
      <c r="F154" s="354">
        <v>6.3309999999999998E-3</v>
      </c>
    </row>
    <row r="155" spans="1:6" ht="12" thickBot="1">
      <c r="A155" s="352">
        <v>41541</v>
      </c>
      <c r="B155" s="353">
        <v>1.7979999999999999E-3</v>
      </c>
      <c r="C155" s="353">
        <v>2.1900000000000001E-3</v>
      </c>
      <c r="D155" s="353">
        <v>2.5019999999999999E-3</v>
      </c>
      <c r="E155" s="353">
        <v>3.6949999999999999E-3</v>
      </c>
      <c r="F155" s="354">
        <v>6.3509999999999999E-3</v>
      </c>
    </row>
    <row r="156" spans="1:6" ht="12" thickBot="1">
      <c r="A156" s="352">
        <v>41540</v>
      </c>
      <c r="B156" s="353">
        <v>1.7884999999999999E-3</v>
      </c>
      <c r="C156" s="353">
        <v>2.1875000000000002E-3</v>
      </c>
      <c r="D156" s="353">
        <v>2.506E-3</v>
      </c>
      <c r="E156" s="353">
        <v>3.725E-3</v>
      </c>
      <c r="F156" s="354">
        <v>6.3759999999999997E-3</v>
      </c>
    </row>
    <row r="157" spans="1:6" ht="12" thickBot="1">
      <c r="A157" s="352">
        <v>41537</v>
      </c>
      <c r="B157" s="353">
        <v>1.7949999999999999E-3</v>
      </c>
      <c r="C157" s="353">
        <v>2.1825E-3</v>
      </c>
      <c r="D157" s="353">
        <v>2.496E-3</v>
      </c>
      <c r="E157" s="353">
        <v>3.7339999999999999E-3</v>
      </c>
      <c r="F157" s="354">
        <v>6.3860000000000002E-3</v>
      </c>
    </row>
    <row r="158" spans="1:6" ht="12" thickBot="1">
      <c r="A158" s="352">
        <v>41536</v>
      </c>
      <c r="B158" s="353">
        <v>1.7925E-3</v>
      </c>
      <c r="C158" s="353">
        <v>2.1800000000000001E-3</v>
      </c>
      <c r="D158" s="353">
        <v>2.5019999999999999E-3</v>
      </c>
      <c r="E158" s="353">
        <v>3.7439999999999999E-3</v>
      </c>
      <c r="F158" s="354">
        <v>6.3860000000000002E-3</v>
      </c>
    </row>
    <row r="159" spans="1:6" ht="12" thickBot="1">
      <c r="A159" s="352">
        <v>41535</v>
      </c>
      <c r="B159" s="353">
        <v>1.8E-3</v>
      </c>
      <c r="C159" s="353">
        <v>2.2049999999999999E-3</v>
      </c>
      <c r="D159" s="353">
        <v>2.5244999999999998E-3</v>
      </c>
      <c r="E159" s="353">
        <v>3.7889999999999998E-3</v>
      </c>
      <c r="F159" s="354">
        <v>6.5009999999999998E-3</v>
      </c>
    </row>
    <row r="160" spans="1:6" ht="12" thickBot="1">
      <c r="A160" s="352">
        <v>41534</v>
      </c>
      <c r="B160" s="353">
        <v>1.805E-3</v>
      </c>
      <c r="C160" s="353">
        <v>2.2049999999999999E-3</v>
      </c>
      <c r="D160" s="353">
        <v>2.5195E-3</v>
      </c>
      <c r="E160" s="353">
        <v>3.764E-3</v>
      </c>
      <c r="F160" s="354">
        <v>6.5160000000000001E-3</v>
      </c>
    </row>
    <row r="161" spans="1:6" ht="12" thickBot="1">
      <c r="A161" s="352">
        <v>41533</v>
      </c>
      <c r="B161" s="353">
        <v>1.7925E-3</v>
      </c>
      <c r="C161" s="353">
        <v>2.215E-3</v>
      </c>
      <c r="D161" s="353">
        <v>2.5184999999999999E-3</v>
      </c>
      <c r="E161" s="353">
        <v>3.7989999999999999E-3</v>
      </c>
      <c r="F161" s="354">
        <v>6.561E-3</v>
      </c>
    </row>
    <row r="162" spans="1:6" ht="12" thickBot="1">
      <c r="A162" s="352">
        <v>41530</v>
      </c>
      <c r="B162" s="353">
        <v>1.802E-3</v>
      </c>
      <c r="C162" s="353">
        <v>2.2246000000000002E-3</v>
      </c>
      <c r="D162" s="353">
        <v>2.539E-3</v>
      </c>
      <c r="E162" s="353">
        <v>3.8340000000000002E-3</v>
      </c>
      <c r="F162" s="354">
        <v>6.6360000000000004E-3</v>
      </c>
    </row>
    <row r="163" spans="1:6" ht="12" thickBot="1">
      <c r="A163" s="352">
        <v>41529</v>
      </c>
      <c r="B163" s="353">
        <v>1.823E-3</v>
      </c>
      <c r="C163" s="353">
        <v>2.2346000000000002E-3</v>
      </c>
      <c r="D163" s="353">
        <v>2.5439999999999998E-3</v>
      </c>
      <c r="E163" s="353">
        <v>3.8440000000000002E-3</v>
      </c>
      <c r="F163" s="354">
        <v>6.6360000000000004E-3</v>
      </c>
    </row>
    <row r="164" spans="1:6" ht="12" thickBot="1">
      <c r="A164" s="352">
        <v>41528</v>
      </c>
      <c r="B164" s="353">
        <v>1.8240000000000001E-3</v>
      </c>
      <c r="C164" s="353">
        <v>2.2396E-3</v>
      </c>
      <c r="D164" s="353">
        <v>2.5439999999999998E-3</v>
      </c>
      <c r="E164" s="353">
        <v>3.8639999999999998E-3</v>
      </c>
      <c r="F164" s="354">
        <v>6.6509999999999998E-3</v>
      </c>
    </row>
    <row r="165" spans="1:6" ht="12" thickBot="1">
      <c r="A165" s="352">
        <v>41527</v>
      </c>
      <c r="B165" s="353">
        <v>1.8140000000000001E-3</v>
      </c>
      <c r="C165" s="353">
        <v>2.2445999999999998E-3</v>
      </c>
      <c r="D165" s="353">
        <v>2.5590000000000001E-3</v>
      </c>
      <c r="E165" s="353">
        <v>3.8739999999999998E-3</v>
      </c>
      <c r="F165" s="354">
        <v>6.6559999999999996E-3</v>
      </c>
    </row>
    <row r="166" spans="1:6" ht="12" thickBot="1">
      <c r="A166" s="352">
        <v>41526</v>
      </c>
      <c r="B166" s="353">
        <v>1.8190000000000001E-3</v>
      </c>
      <c r="C166" s="353">
        <v>2.2445999999999998E-3</v>
      </c>
      <c r="D166" s="353">
        <v>2.5590000000000001E-3</v>
      </c>
      <c r="E166" s="353">
        <v>3.8739999999999998E-3</v>
      </c>
      <c r="F166" s="354">
        <v>6.6559999999999996E-3</v>
      </c>
    </row>
    <row r="167" spans="1:6" ht="12" thickBot="1">
      <c r="A167" s="352">
        <v>41523</v>
      </c>
      <c r="B167" s="353">
        <v>1.8190000000000001E-3</v>
      </c>
      <c r="C167" s="353">
        <v>2.2445999999999998E-3</v>
      </c>
      <c r="D167" s="353">
        <v>2.5639999999999999E-3</v>
      </c>
      <c r="E167" s="353">
        <v>3.9065000000000003E-3</v>
      </c>
      <c r="F167" s="354">
        <v>6.7510000000000001E-3</v>
      </c>
    </row>
    <row r="168" spans="1:6" ht="12" thickBot="1">
      <c r="A168" s="352">
        <v>41522</v>
      </c>
      <c r="B168" s="353">
        <v>1.8190000000000001E-3</v>
      </c>
      <c r="C168" s="353">
        <v>2.2445999999999998E-3</v>
      </c>
      <c r="D168" s="353">
        <v>2.581E-3</v>
      </c>
      <c r="E168" s="353">
        <v>3.9205000000000004E-3</v>
      </c>
      <c r="F168" s="354">
        <v>6.7510000000000001E-3</v>
      </c>
    </row>
    <row r="169" spans="1:6" ht="12" thickBot="1">
      <c r="A169" s="352">
        <v>41521</v>
      </c>
      <c r="B169" s="353">
        <v>1.817E-3</v>
      </c>
      <c r="C169" s="353">
        <v>2.2445999999999998E-3</v>
      </c>
      <c r="D169" s="353">
        <v>2.5899999999999999E-3</v>
      </c>
      <c r="E169" s="353">
        <v>3.9240000000000004E-3</v>
      </c>
      <c r="F169" s="354">
        <v>6.6810000000000003E-3</v>
      </c>
    </row>
    <row r="170" spans="1:6" ht="12" thickBot="1">
      <c r="A170" s="352">
        <v>41520</v>
      </c>
      <c r="B170" s="353">
        <v>1.8205999999999999E-3</v>
      </c>
      <c r="C170" s="353">
        <v>2.2522000000000002E-3</v>
      </c>
      <c r="D170" s="353">
        <v>2.5950000000000001E-3</v>
      </c>
      <c r="E170" s="353">
        <v>3.9350000000000001E-3</v>
      </c>
      <c r="F170" s="354">
        <v>6.6909999999999999E-3</v>
      </c>
    </row>
    <row r="171" spans="1:6" ht="12" thickBot="1">
      <c r="A171" s="352">
        <v>41519</v>
      </c>
      <c r="B171" s="353">
        <v>1.8255999999999999E-3</v>
      </c>
      <c r="C171" s="353">
        <v>2.2522000000000002E-3</v>
      </c>
      <c r="D171" s="353">
        <v>2.5950000000000001E-3</v>
      </c>
      <c r="E171" s="353">
        <v>3.9350000000000001E-3</v>
      </c>
      <c r="F171" s="354">
        <v>6.6810000000000003E-3</v>
      </c>
    </row>
    <row r="172" spans="1:6" ht="12" thickBot="1">
      <c r="A172" s="352">
        <v>41516</v>
      </c>
      <c r="B172" s="353">
        <v>1.8205999999999999E-3</v>
      </c>
      <c r="C172" s="353">
        <v>2.2522000000000002E-3</v>
      </c>
      <c r="D172" s="353">
        <v>2.5950000000000001E-3</v>
      </c>
      <c r="E172" s="353">
        <v>3.9300000000000003E-3</v>
      </c>
      <c r="F172" s="354">
        <v>6.6709999999999998E-3</v>
      </c>
    </row>
    <row r="173" spans="1:6" ht="12" thickBot="1">
      <c r="A173" s="352">
        <v>41515</v>
      </c>
      <c r="B173" s="353">
        <v>1.8255999999999999E-3</v>
      </c>
      <c r="C173" s="353">
        <v>2.2572E-3</v>
      </c>
      <c r="D173" s="353">
        <v>2.6120000000000002E-3</v>
      </c>
      <c r="E173" s="353">
        <v>3.9300000000000003E-3</v>
      </c>
      <c r="F173" s="354">
        <v>6.6709999999999998E-3</v>
      </c>
    </row>
    <row r="174" spans="1:6" ht="12" thickBot="1">
      <c r="A174" s="352">
        <v>41514</v>
      </c>
      <c r="B174" s="353">
        <v>1.8205999999999999E-3</v>
      </c>
      <c r="C174" s="353">
        <v>2.2572E-3</v>
      </c>
      <c r="D174" s="353">
        <v>2.6050000000000001E-3</v>
      </c>
      <c r="E174" s="353">
        <v>3.9300000000000003E-3</v>
      </c>
      <c r="F174" s="354">
        <v>6.6759999999999996E-3</v>
      </c>
    </row>
    <row r="175" spans="1:6" ht="12" thickBot="1">
      <c r="A175" s="352">
        <v>41513</v>
      </c>
      <c r="B175" s="353">
        <v>1.8255999999999999E-3</v>
      </c>
      <c r="C175" s="353">
        <v>2.2572E-3</v>
      </c>
      <c r="D175" s="353">
        <v>2.594E-3</v>
      </c>
      <c r="E175" s="353">
        <v>3.9350000000000001E-3</v>
      </c>
      <c r="F175" s="354">
        <v>6.6810000000000003E-3</v>
      </c>
    </row>
    <row r="176" spans="1:6" ht="12" thickBot="1">
      <c r="A176" s="352">
        <v>41512</v>
      </c>
      <c r="B176" s="353">
        <v>1.8406E-3</v>
      </c>
      <c r="C176" s="353">
        <v>2.2572E-3</v>
      </c>
      <c r="D176" s="353">
        <v>2.6210000000000001E-3</v>
      </c>
      <c r="E176" s="353">
        <v>3.96E-3</v>
      </c>
      <c r="F176" s="354">
        <v>6.7559999999999999E-3</v>
      </c>
    </row>
    <row r="177" spans="1:6" ht="12" thickBot="1">
      <c r="A177" s="352">
        <v>41509</v>
      </c>
      <c r="B177" s="353">
        <v>1.8406E-3</v>
      </c>
      <c r="C177" s="353">
        <v>2.2572E-3</v>
      </c>
      <c r="D177" s="353">
        <v>2.6210000000000001E-3</v>
      </c>
      <c r="E177" s="353">
        <v>3.96E-3</v>
      </c>
      <c r="F177" s="354">
        <v>6.7559999999999999E-3</v>
      </c>
    </row>
    <row r="178" spans="1:6" ht="12" thickBot="1">
      <c r="A178" s="352">
        <v>41508</v>
      </c>
      <c r="B178" s="353">
        <v>1.8406E-3</v>
      </c>
      <c r="C178" s="353">
        <v>2.2572E-3</v>
      </c>
      <c r="D178" s="353">
        <v>2.6210000000000001E-3</v>
      </c>
      <c r="E178" s="353">
        <v>3.9649999999999998E-3</v>
      </c>
      <c r="F178" s="354">
        <v>6.731E-3</v>
      </c>
    </row>
    <row r="179" spans="1:6" ht="12" thickBot="1">
      <c r="A179" s="352">
        <v>41507</v>
      </c>
      <c r="B179" s="353">
        <v>1.8335999999999999E-3</v>
      </c>
      <c r="C179" s="353">
        <v>2.2572E-3</v>
      </c>
      <c r="D179" s="353">
        <v>2.6210000000000001E-3</v>
      </c>
      <c r="E179" s="353">
        <v>3.9449999999999997E-3</v>
      </c>
      <c r="F179" s="354">
        <v>6.6610000000000003E-3</v>
      </c>
    </row>
    <row r="180" spans="1:6" ht="12" thickBot="1">
      <c r="A180" s="352">
        <v>41506</v>
      </c>
      <c r="B180" s="353">
        <v>1.8286000000000001E-3</v>
      </c>
      <c r="C180" s="353">
        <v>2.2522000000000002E-3</v>
      </c>
      <c r="D180" s="353">
        <v>2.6210000000000001E-3</v>
      </c>
      <c r="E180" s="353">
        <v>3.9449999999999997E-3</v>
      </c>
      <c r="F180" s="354">
        <v>6.6709999999999998E-3</v>
      </c>
    </row>
    <row r="181" spans="1:6" ht="12" thickBot="1">
      <c r="A181" s="352">
        <v>41502</v>
      </c>
      <c r="B181" s="353">
        <v>1.8406E-3</v>
      </c>
      <c r="C181" s="353">
        <v>2.2621999999999998E-3</v>
      </c>
      <c r="D181" s="353">
        <v>2.6410000000000001E-3</v>
      </c>
      <c r="E181" s="353">
        <v>3.9449999999999997E-3</v>
      </c>
      <c r="F181" s="354">
        <v>6.6759999999999996E-3</v>
      </c>
    </row>
    <row r="182" spans="1:6" ht="12" thickBot="1">
      <c r="A182" s="352">
        <v>41501</v>
      </c>
      <c r="B182" s="353">
        <v>1.8406E-3</v>
      </c>
      <c r="C182" s="353">
        <v>2.2621999999999998E-3</v>
      </c>
      <c r="D182" s="353">
        <v>2.6319999999999998E-3</v>
      </c>
      <c r="E182" s="353">
        <v>3.9449999999999997E-3</v>
      </c>
      <c r="F182" s="354">
        <v>6.6759999999999996E-3</v>
      </c>
    </row>
    <row r="183" spans="1:6" ht="12" thickBot="1">
      <c r="A183" s="352">
        <v>41500</v>
      </c>
      <c r="B183" s="353">
        <v>1.8406E-3</v>
      </c>
      <c r="C183" s="353">
        <v>2.2621999999999998E-3</v>
      </c>
      <c r="D183" s="353">
        <v>2.6319999999999998E-3</v>
      </c>
      <c r="E183" s="353">
        <v>3.9550000000000002E-3</v>
      </c>
      <c r="F183" s="354">
        <v>6.6759999999999996E-3</v>
      </c>
    </row>
    <row r="184" spans="1:6" ht="12" thickBot="1">
      <c r="A184" s="352">
        <v>41499</v>
      </c>
      <c r="B184" s="353">
        <v>1.8406E-3</v>
      </c>
      <c r="C184" s="353">
        <v>2.2621999999999998E-3</v>
      </c>
      <c r="D184" s="353">
        <v>2.6419999999999998E-3</v>
      </c>
      <c r="E184" s="353">
        <v>3.9550000000000002E-3</v>
      </c>
      <c r="F184" s="354">
        <v>6.646E-3</v>
      </c>
    </row>
    <row r="185" spans="1:6" ht="12" thickBot="1">
      <c r="A185" s="352">
        <v>41498</v>
      </c>
      <c r="B185" s="353">
        <v>1.8456E-3</v>
      </c>
      <c r="C185" s="353">
        <v>2.2672E-3</v>
      </c>
      <c r="D185" s="353">
        <v>2.647E-3</v>
      </c>
      <c r="E185" s="353">
        <v>3.9550000000000002E-3</v>
      </c>
      <c r="F185" s="354">
        <v>6.6509999999999998E-3</v>
      </c>
    </row>
    <row r="186" spans="1:6" ht="12" thickBot="1">
      <c r="A186" s="352">
        <v>41495</v>
      </c>
      <c r="B186" s="353">
        <v>1.8456E-3</v>
      </c>
      <c r="C186" s="353">
        <v>2.2672E-3</v>
      </c>
      <c r="D186" s="353">
        <v>2.647E-3</v>
      </c>
      <c r="E186" s="353">
        <v>3.9449999999999997E-3</v>
      </c>
      <c r="F186" s="354">
        <v>6.6489000000000001E-3</v>
      </c>
    </row>
    <row r="187" spans="1:6" ht="12" thickBot="1">
      <c r="A187" s="352">
        <v>41494</v>
      </c>
      <c r="B187" s="353">
        <v>1.8503E-3</v>
      </c>
      <c r="C187" s="353">
        <v>2.2699E-3</v>
      </c>
      <c r="D187" s="353">
        <v>2.647E-3</v>
      </c>
      <c r="E187" s="353">
        <v>3.9500000000000004E-3</v>
      </c>
      <c r="F187" s="354">
        <v>6.6489000000000001E-3</v>
      </c>
    </row>
    <row r="188" spans="1:6" ht="12" thickBot="1">
      <c r="A188" s="352">
        <v>41492</v>
      </c>
      <c r="B188" s="353">
        <v>1.8503E-3</v>
      </c>
      <c r="C188" s="353">
        <v>2.2699E-3</v>
      </c>
      <c r="D188" s="353">
        <v>2.6640000000000001E-3</v>
      </c>
      <c r="E188" s="353">
        <v>3.9550000000000002E-3</v>
      </c>
      <c r="F188" s="354">
        <v>6.6538999999999999E-3</v>
      </c>
    </row>
    <row r="189" spans="1:6" ht="12" thickBot="1">
      <c r="A189" s="352">
        <v>41491</v>
      </c>
      <c r="B189" s="353">
        <v>1.8603000000000001E-3</v>
      </c>
      <c r="C189" s="353">
        <v>2.2699E-3</v>
      </c>
      <c r="D189" s="353">
        <v>2.6540000000000001E-3</v>
      </c>
      <c r="E189" s="353">
        <v>3.9550000000000002E-3</v>
      </c>
      <c r="F189" s="354">
        <v>6.6639000000000004E-3</v>
      </c>
    </row>
    <row r="190" spans="1:6" ht="12" thickBot="1">
      <c r="A190" s="352">
        <v>41488</v>
      </c>
      <c r="B190" s="353">
        <v>1.8592999999999999E-3</v>
      </c>
      <c r="C190" s="353">
        <v>2.2788999999999999E-3</v>
      </c>
      <c r="D190" s="353">
        <v>2.666E-3</v>
      </c>
      <c r="E190" s="353">
        <v>3.9649999999999998E-3</v>
      </c>
      <c r="F190" s="354">
        <v>6.7419000000000003E-3</v>
      </c>
    </row>
    <row r="191" spans="1:6" ht="12" thickBot="1">
      <c r="A191" s="352">
        <v>41487</v>
      </c>
      <c r="B191" s="353">
        <v>1.8592999999999999E-3</v>
      </c>
      <c r="C191" s="353">
        <v>2.2788999999999999E-3</v>
      </c>
      <c r="D191" s="353">
        <v>2.6559999999999999E-3</v>
      </c>
      <c r="E191" s="353">
        <v>3.9699999999999996E-3</v>
      </c>
      <c r="F191" s="354">
        <v>6.7318999999999999E-3</v>
      </c>
    </row>
    <row r="192" spans="1:6" ht="12" thickBot="1">
      <c r="A192" s="352">
        <v>41486</v>
      </c>
      <c r="B192" s="353">
        <v>1.8672999999999999E-3</v>
      </c>
      <c r="C192" s="353">
        <v>2.2788999999999999E-3</v>
      </c>
      <c r="D192" s="353">
        <v>2.6559999999999999E-3</v>
      </c>
      <c r="E192" s="353">
        <v>3.9649999999999998E-3</v>
      </c>
      <c r="F192" s="354">
        <v>6.7318999999999999E-3</v>
      </c>
    </row>
    <row r="193" spans="1:6" ht="12" thickBot="1">
      <c r="A193" s="352">
        <v>41485</v>
      </c>
      <c r="B193" s="353">
        <v>1.8722999999999999E-3</v>
      </c>
      <c r="C193" s="353">
        <v>2.2748999999999998E-3</v>
      </c>
      <c r="D193" s="353">
        <v>2.65E-3</v>
      </c>
      <c r="E193" s="353">
        <v>3.9699999999999996E-3</v>
      </c>
      <c r="F193" s="354">
        <v>6.7318999999999999E-3</v>
      </c>
    </row>
    <row r="194" spans="1:6" ht="12" thickBot="1">
      <c r="A194" s="352">
        <v>41484</v>
      </c>
      <c r="B194" s="353">
        <v>1.8642999999999999E-3</v>
      </c>
      <c r="C194" s="353">
        <v>2.2748999999999998E-3</v>
      </c>
      <c r="D194" s="353">
        <v>2.66E-3</v>
      </c>
      <c r="E194" s="353">
        <v>3.9550000000000002E-3</v>
      </c>
      <c r="F194" s="354">
        <v>6.7318999999999999E-3</v>
      </c>
    </row>
    <row r="195" spans="1:6" ht="12" thickBot="1">
      <c r="A195" s="352">
        <v>41481</v>
      </c>
      <c r="B195" s="353">
        <v>1.8642999999999999E-3</v>
      </c>
      <c r="C195" s="353">
        <v>2.2748999999999998E-3</v>
      </c>
      <c r="D195" s="353">
        <v>2.65E-3</v>
      </c>
      <c r="E195" s="353">
        <v>3.9550000000000002E-3</v>
      </c>
      <c r="F195" s="354">
        <v>6.7368999999999997E-3</v>
      </c>
    </row>
    <row r="196" spans="1:6" ht="12" thickBot="1">
      <c r="A196" s="352">
        <v>41480</v>
      </c>
      <c r="B196" s="353">
        <v>1.8642999999999999E-3</v>
      </c>
      <c r="C196" s="353">
        <v>2.2889E-3</v>
      </c>
      <c r="D196" s="353">
        <v>2.6380000000000002E-3</v>
      </c>
      <c r="E196" s="353">
        <v>3.9649999999999998E-3</v>
      </c>
      <c r="F196" s="354">
        <v>6.7593999999999996E-3</v>
      </c>
    </row>
    <row r="197" spans="1:6" ht="12" thickBot="1">
      <c r="A197" s="352">
        <v>41479</v>
      </c>
      <c r="B197" s="353">
        <v>1.8933000000000001E-3</v>
      </c>
      <c r="C197" s="353">
        <v>2.2889E-3</v>
      </c>
      <c r="D197" s="353">
        <v>2.643E-3</v>
      </c>
      <c r="E197" s="353">
        <v>3.9649999999999998E-3</v>
      </c>
      <c r="F197" s="354">
        <v>6.7543999999999998E-3</v>
      </c>
    </row>
    <row r="198" spans="1:6" ht="12" thickBot="1">
      <c r="A198" s="352">
        <v>41478</v>
      </c>
      <c r="B198" s="353">
        <v>1.9002999999999999E-3</v>
      </c>
      <c r="C198" s="353">
        <v>2.3048999999999999E-3</v>
      </c>
      <c r="D198" s="353">
        <v>2.6589999999999999E-3</v>
      </c>
      <c r="E198" s="353">
        <v>3.9649999999999998E-3</v>
      </c>
      <c r="F198" s="354">
        <v>6.7593999999999996E-3</v>
      </c>
    </row>
    <row r="199" spans="1:6" ht="12" thickBot="1">
      <c r="A199" s="352">
        <v>41477</v>
      </c>
      <c r="B199" s="353">
        <v>1.9053E-3</v>
      </c>
      <c r="C199" s="353">
        <v>2.2929000000000001E-3</v>
      </c>
      <c r="D199" s="353">
        <v>2.647E-3</v>
      </c>
      <c r="E199" s="353">
        <v>3.9649999999999998E-3</v>
      </c>
      <c r="F199" s="354">
        <v>6.8094000000000002E-3</v>
      </c>
    </row>
    <row r="200" spans="1:6" ht="12" thickBot="1">
      <c r="A200" s="352">
        <v>41474</v>
      </c>
      <c r="B200" s="353">
        <v>1.9103E-3</v>
      </c>
      <c r="C200" s="353">
        <v>2.3108999999999998E-3</v>
      </c>
      <c r="D200" s="353">
        <v>2.647E-3</v>
      </c>
      <c r="E200" s="353">
        <v>3.9750000000000002E-3</v>
      </c>
      <c r="F200" s="354">
        <v>6.8094000000000002E-3</v>
      </c>
    </row>
    <row r="201" spans="1:6" ht="12" thickBot="1">
      <c r="A201" s="352">
        <v>41473</v>
      </c>
      <c r="B201" s="353">
        <v>1.9153E-3</v>
      </c>
      <c r="C201" s="353">
        <v>2.3159000000000001E-3</v>
      </c>
      <c r="D201" s="353">
        <v>2.6619999999999999E-3</v>
      </c>
      <c r="E201" s="353">
        <v>3.98E-3</v>
      </c>
      <c r="F201" s="354">
        <v>6.8094000000000002E-3</v>
      </c>
    </row>
    <row r="202" spans="1:6" ht="12" thickBot="1">
      <c r="A202" s="352">
        <v>41472</v>
      </c>
      <c r="B202" s="353">
        <v>1.9153E-3</v>
      </c>
      <c r="C202" s="353">
        <v>2.3134000000000002E-3</v>
      </c>
      <c r="D202" s="353">
        <v>2.6619999999999999E-3</v>
      </c>
      <c r="E202" s="353">
        <v>4.0000000000000001E-3</v>
      </c>
      <c r="F202" s="354">
        <v>6.8418999999999997E-3</v>
      </c>
    </row>
    <row r="203" spans="1:6" ht="12" thickBot="1">
      <c r="A203" s="352">
        <v>41471</v>
      </c>
      <c r="B203" s="353">
        <v>1.9053E-3</v>
      </c>
      <c r="C203" s="353">
        <v>2.3134000000000002E-3</v>
      </c>
      <c r="D203" s="353">
        <v>2.6619999999999999E-3</v>
      </c>
      <c r="E203" s="353">
        <v>4.0200000000000001E-3</v>
      </c>
      <c r="F203" s="354">
        <v>6.8719000000000002E-3</v>
      </c>
    </row>
    <row r="204" spans="1:6" ht="12" thickBot="1">
      <c r="A204" s="352">
        <v>41470</v>
      </c>
      <c r="B204" s="353">
        <v>1.9193000000000001E-3</v>
      </c>
      <c r="C204" s="353">
        <v>2.3303999999999998E-3</v>
      </c>
      <c r="D204" s="353">
        <v>2.676E-3</v>
      </c>
      <c r="E204" s="353">
        <v>4.0350000000000004E-3</v>
      </c>
      <c r="F204" s="354">
        <v>6.8985000000000001E-3</v>
      </c>
    </row>
    <row r="205" spans="1:6" ht="12" thickBot="1">
      <c r="A205" s="352">
        <v>41467</v>
      </c>
      <c r="B205" s="353">
        <v>1.9193000000000001E-3</v>
      </c>
      <c r="C205" s="353">
        <v>2.3303999999999998E-3</v>
      </c>
      <c r="D205" s="353">
        <v>2.676E-3</v>
      </c>
      <c r="E205" s="353">
        <v>4.0200000000000001E-3</v>
      </c>
      <c r="F205" s="354">
        <v>6.8585E-3</v>
      </c>
    </row>
    <row r="206" spans="1:6" ht="12" thickBot="1">
      <c r="A206" s="352">
        <v>41466</v>
      </c>
      <c r="B206" s="353">
        <v>1.9103E-3</v>
      </c>
      <c r="C206" s="353">
        <v>2.3354000000000001E-3</v>
      </c>
      <c r="D206" s="353">
        <v>2.6809999999999998E-3</v>
      </c>
      <c r="E206" s="353">
        <v>4.0400000000000002E-3</v>
      </c>
      <c r="F206" s="354">
        <v>6.8834999999999999E-3</v>
      </c>
    </row>
    <row r="207" spans="1:6" ht="12" thickBot="1">
      <c r="A207" s="352">
        <v>41465</v>
      </c>
      <c r="B207" s="353">
        <v>1.9212999999999999E-3</v>
      </c>
      <c r="C207" s="353">
        <v>2.3503999999999999E-3</v>
      </c>
      <c r="D207" s="353">
        <v>2.6909999999999998E-3</v>
      </c>
      <c r="E207" s="353">
        <v>4.084E-3</v>
      </c>
      <c r="F207" s="354">
        <v>6.9365E-3</v>
      </c>
    </row>
    <row r="208" spans="1:6" ht="12" thickBot="1">
      <c r="A208" s="352">
        <v>41464</v>
      </c>
      <c r="B208" s="353">
        <v>1.9276E-3</v>
      </c>
      <c r="C208" s="353">
        <v>2.3603999999999999E-3</v>
      </c>
      <c r="D208" s="353">
        <v>2.6909999999999998E-3</v>
      </c>
      <c r="E208" s="353">
        <v>4.084E-3</v>
      </c>
      <c r="F208" s="354">
        <v>6.9164999999999999E-3</v>
      </c>
    </row>
    <row r="209" spans="1:6" ht="12" thickBot="1">
      <c r="A209" s="352">
        <v>41463</v>
      </c>
      <c r="B209" s="353">
        <v>1.9277999999999999E-3</v>
      </c>
      <c r="C209" s="353">
        <v>2.3554000000000001E-3</v>
      </c>
      <c r="D209" s="353">
        <v>2.686E-3</v>
      </c>
      <c r="E209" s="353">
        <v>4.104E-3</v>
      </c>
      <c r="F209" s="354">
        <v>6.9414999999999998E-3</v>
      </c>
    </row>
    <row r="210" spans="1:6" ht="12" thickBot="1">
      <c r="A210" s="352">
        <v>41460</v>
      </c>
      <c r="B210" s="353">
        <v>1.9478E-3</v>
      </c>
      <c r="C210" s="353">
        <v>2.3684000000000001E-3</v>
      </c>
      <c r="D210" s="353">
        <v>2.699E-3</v>
      </c>
      <c r="E210" s="353">
        <v>4.0990000000000002E-3</v>
      </c>
      <c r="F210" s="354">
        <v>6.8964999999999999E-3</v>
      </c>
    </row>
    <row r="211" spans="1:6" ht="12" thickBot="1">
      <c r="A211" s="352">
        <v>41459</v>
      </c>
      <c r="B211" s="353">
        <v>1.9478E-3</v>
      </c>
      <c r="C211" s="353">
        <v>2.3733999999999999E-3</v>
      </c>
      <c r="D211" s="353">
        <v>2.709E-3</v>
      </c>
      <c r="E211" s="353">
        <v>4.1440000000000001E-3</v>
      </c>
      <c r="F211" s="354">
        <v>6.9164999999999999E-3</v>
      </c>
    </row>
    <row r="212" spans="1:6" ht="12" thickBot="1">
      <c r="A212" s="352">
        <v>41458</v>
      </c>
      <c r="B212" s="353">
        <v>1.9478E-3</v>
      </c>
      <c r="C212" s="353">
        <v>2.3763999999999999E-3</v>
      </c>
      <c r="D212" s="353">
        <v>2.7390000000000001E-3</v>
      </c>
      <c r="E212" s="353">
        <v>4.1450999999999997E-3</v>
      </c>
      <c r="F212" s="354">
        <v>6.9065000000000003E-3</v>
      </c>
    </row>
    <row r="213" spans="1:6" ht="12" thickBot="1">
      <c r="A213" s="352">
        <v>41457</v>
      </c>
      <c r="B213" s="353">
        <v>1.9528E-3</v>
      </c>
      <c r="C213" s="353">
        <v>2.3663999999999998E-3</v>
      </c>
      <c r="D213" s="353">
        <v>2.7290000000000001E-3</v>
      </c>
      <c r="E213" s="353">
        <v>4.1289999999999999E-3</v>
      </c>
      <c r="F213" s="354">
        <v>6.8814999999999996E-3</v>
      </c>
    </row>
    <row r="214" spans="1:6" ht="12" thickBot="1">
      <c r="A214" s="352">
        <v>41453</v>
      </c>
      <c r="B214" s="353">
        <v>1.9465000000000001E-3</v>
      </c>
      <c r="C214" s="353">
        <v>2.3555999999999998E-3</v>
      </c>
      <c r="D214" s="353">
        <v>2.7309999999999999E-3</v>
      </c>
      <c r="E214" s="353">
        <v>4.1339999999999997E-3</v>
      </c>
      <c r="F214" s="354">
        <v>6.8564999999999997E-3</v>
      </c>
    </row>
    <row r="215" spans="1:6" ht="12" thickBot="1">
      <c r="A215" s="352">
        <v>41452</v>
      </c>
      <c r="B215" s="353">
        <v>1.9505E-3</v>
      </c>
      <c r="C215" s="353">
        <v>2.3616000000000002E-3</v>
      </c>
      <c r="D215" s="353">
        <v>2.7399999999999998E-3</v>
      </c>
      <c r="E215" s="353">
        <v>4.1679999999999998E-3</v>
      </c>
      <c r="F215" s="354">
        <v>6.9065000000000003E-3</v>
      </c>
    </row>
    <row r="216" spans="1:6" ht="12" thickBot="1">
      <c r="A216" s="352">
        <v>41451</v>
      </c>
      <c r="B216" s="353">
        <v>1.9534999999999999E-3</v>
      </c>
      <c r="C216" s="353">
        <v>2.3636E-3</v>
      </c>
      <c r="D216" s="353">
        <v>2.7560000000000002E-3</v>
      </c>
      <c r="E216" s="353">
        <v>4.2190999999999999E-3</v>
      </c>
      <c r="F216" s="354">
        <v>6.9765000000000001E-3</v>
      </c>
    </row>
    <row r="217" spans="1:6" ht="12" thickBot="1">
      <c r="A217" s="352">
        <v>41450</v>
      </c>
      <c r="B217" s="353">
        <v>1.9434999999999999E-3</v>
      </c>
      <c r="C217" s="353">
        <v>2.3536E-3</v>
      </c>
      <c r="D217" s="353">
        <v>2.761E-3</v>
      </c>
      <c r="E217" s="353">
        <v>4.2341000000000002E-3</v>
      </c>
      <c r="F217" s="354">
        <v>7.0115000000000004E-3</v>
      </c>
    </row>
    <row r="218" spans="1:6" ht="12" thickBot="1">
      <c r="A218" s="352">
        <v>41449</v>
      </c>
      <c r="B218" s="353">
        <v>1.9534999999999999E-3</v>
      </c>
      <c r="C218" s="353">
        <v>2.3536E-3</v>
      </c>
      <c r="D218" s="353">
        <v>2.7675E-3</v>
      </c>
      <c r="E218" s="353">
        <v>4.2541000000000002E-3</v>
      </c>
      <c r="F218" s="354">
        <v>7.0315000000000004E-3</v>
      </c>
    </row>
    <row r="219" spans="1:6" ht="12" thickBot="1">
      <c r="A219" s="352">
        <v>41446</v>
      </c>
      <c r="B219" s="353">
        <v>1.9300000000000001E-3</v>
      </c>
      <c r="C219" s="353">
        <v>2.3280000000000002E-3</v>
      </c>
      <c r="D219" s="353">
        <v>2.7274999999999999E-3</v>
      </c>
      <c r="E219" s="353">
        <v>4.1380000000000002E-3</v>
      </c>
      <c r="F219" s="354">
        <v>6.8294999999999996E-3</v>
      </c>
    </row>
    <row r="220" spans="1:6" ht="12" thickBot="1">
      <c r="A220" s="352">
        <v>41445</v>
      </c>
      <c r="B220" s="353">
        <v>1.9300000000000001E-3</v>
      </c>
      <c r="C220" s="353">
        <v>2.3210000000000001E-3</v>
      </c>
      <c r="D220" s="353">
        <v>2.7255000000000001E-3</v>
      </c>
      <c r="E220" s="353">
        <v>4.1326000000000002E-3</v>
      </c>
      <c r="F220" s="354">
        <v>6.8044999999999998E-3</v>
      </c>
    </row>
    <row r="221" spans="1:6" ht="12" thickBot="1">
      <c r="A221" s="352">
        <v>41444</v>
      </c>
      <c r="B221" s="353">
        <v>1.916E-3</v>
      </c>
      <c r="C221" s="353">
        <v>2.2896000000000001E-3</v>
      </c>
      <c r="D221" s="353">
        <v>2.7174999999999999E-3</v>
      </c>
      <c r="E221" s="353">
        <v>4.0926000000000001E-3</v>
      </c>
      <c r="F221" s="354">
        <v>6.6810000000000003E-3</v>
      </c>
    </row>
    <row r="222" spans="1:6" ht="12" thickBot="1">
      <c r="A222" s="352">
        <v>41443</v>
      </c>
      <c r="B222" s="353">
        <v>1.916E-3</v>
      </c>
      <c r="C222" s="353">
        <v>2.3046E-3</v>
      </c>
      <c r="D222" s="353">
        <v>2.7225000000000001E-3</v>
      </c>
      <c r="E222" s="353">
        <v>4.0926000000000001E-3</v>
      </c>
      <c r="F222" s="354">
        <v>6.6810000000000003E-3</v>
      </c>
    </row>
    <row r="223" spans="1:6" ht="12" thickBot="1">
      <c r="A223" s="352">
        <v>41442</v>
      </c>
      <c r="B223" s="353">
        <v>1.916E-3</v>
      </c>
      <c r="C223" s="353">
        <v>2.3046E-3</v>
      </c>
      <c r="D223" s="353">
        <v>2.7325000000000001E-3</v>
      </c>
      <c r="E223" s="353">
        <v>4.1126000000000001E-3</v>
      </c>
      <c r="F223" s="354">
        <v>6.6810000000000003E-3</v>
      </c>
    </row>
    <row r="224" spans="1:6" ht="12" thickBot="1">
      <c r="A224" s="352">
        <v>41439</v>
      </c>
      <c r="B224" s="353">
        <v>1.9250000000000001E-3</v>
      </c>
      <c r="C224" s="353">
        <v>2.3026000000000001E-3</v>
      </c>
      <c r="D224" s="353">
        <v>2.7274999999999999E-3</v>
      </c>
      <c r="E224" s="353">
        <v>4.1126000000000001E-3</v>
      </c>
      <c r="F224" s="354">
        <v>6.6909999999999999E-3</v>
      </c>
    </row>
    <row r="225" spans="1:6" ht="12" thickBot="1">
      <c r="A225" s="352">
        <v>41438</v>
      </c>
      <c r="B225" s="353">
        <v>1.9250000000000001E-3</v>
      </c>
      <c r="C225" s="353">
        <v>2.3075999999999999E-3</v>
      </c>
      <c r="D225" s="353">
        <v>2.7325000000000001E-3</v>
      </c>
      <c r="E225" s="353">
        <v>4.1476000000000004E-3</v>
      </c>
      <c r="F225" s="354">
        <v>6.7869999999999996E-3</v>
      </c>
    </row>
    <row r="226" spans="1:6" ht="12" thickBot="1">
      <c r="A226" s="352">
        <v>41437</v>
      </c>
      <c r="B226" s="353">
        <v>1.9250000000000001E-3</v>
      </c>
      <c r="C226" s="353">
        <v>2.2975999999999999E-3</v>
      </c>
      <c r="D226" s="353">
        <v>2.7325000000000001E-3</v>
      </c>
      <c r="E226" s="353">
        <v>4.1376E-3</v>
      </c>
      <c r="F226" s="354">
        <v>6.8320000000000004E-3</v>
      </c>
    </row>
    <row r="227" spans="1:6" ht="12" thickBot="1">
      <c r="A227" s="352">
        <v>41436</v>
      </c>
      <c r="B227" s="353">
        <v>1.9250000000000001E-3</v>
      </c>
      <c r="C227" s="353">
        <v>2.2875999999999999E-3</v>
      </c>
      <c r="D227" s="353">
        <v>2.7225000000000001E-3</v>
      </c>
      <c r="E227" s="353">
        <v>4.1126000000000001E-3</v>
      </c>
      <c r="F227" s="354">
        <v>6.8469999999999998E-3</v>
      </c>
    </row>
    <row r="228" spans="1:6" ht="12" thickBot="1">
      <c r="A228" s="352">
        <v>41432</v>
      </c>
      <c r="B228" s="353">
        <v>1.9238E-3</v>
      </c>
      <c r="C228" s="353">
        <v>2.3026000000000001E-3</v>
      </c>
      <c r="D228" s="353">
        <v>2.7515E-3</v>
      </c>
      <c r="E228" s="353">
        <v>4.0975999999999999E-3</v>
      </c>
      <c r="F228" s="354">
        <v>6.8519999999999996E-3</v>
      </c>
    </row>
    <row r="229" spans="1:6" ht="12" thickBot="1">
      <c r="A229" s="352">
        <v>41431</v>
      </c>
      <c r="B229" s="353">
        <v>1.9288E-3</v>
      </c>
      <c r="C229" s="353">
        <v>2.2986E-3</v>
      </c>
      <c r="D229" s="353">
        <v>2.7425000000000001E-3</v>
      </c>
      <c r="E229" s="353">
        <v>4.1025999999999996E-3</v>
      </c>
      <c r="F229" s="354">
        <v>6.8519999999999996E-3</v>
      </c>
    </row>
    <row r="230" spans="1:6" ht="12" thickBot="1">
      <c r="A230" s="352">
        <v>41430</v>
      </c>
      <c r="B230" s="353">
        <v>1.9327999999999999E-3</v>
      </c>
      <c r="C230" s="353">
        <v>2.3016E-3</v>
      </c>
      <c r="D230" s="353">
        <v>2.7445E-3</v>
      </c>
      <c r="E230" s="353">
        <v>4.1276000000000004E-3</v>
      </c>
      <c r="F230" s="354">
        <v>6.862E-3</v>
      </c>
    </row>
    <row r="231" spans="1:6" ht="12" thickBot="1">
      <c r="A231" s="352">
        <v>41429</v>
      </c>
      <c r="B231" s="353">
        <v>1.9327999999999999E-3</v>
      </c>
      <c r="C231" s="353">
        <v>2.2966000000000002E-3</v>
      </c>
      <c r="D231" s="353">
        <v>2.7395000000000002E-3</v>
      </c>
      <c r="E231" s="353">
        <v>4.1175999999999999E-3</v>
      </c>
      <c r="F231" s="354">
        <v>6.8719999999999996E-3</v>
      </c>
    </row>
    <row r="232" spans="1:6" ht="12" thickBot="1">
      <c r="A232" s="352">
        <v>41425</v>
      </c>
      <c r="B232" s="353">
        <v>1.9428E-3</v>
      </c>
      <c r="C232" s="353">
        <v>2.2836000000000002E-3</v>
      </c>
      <c r="D232" s="353">
        <v>2.7525000000000002E-3</v>
      </c>
      <c r="E232" s="353">
        <v>4.1425999999999998E-3</v>
      </c>
      <c r="F232" s="354">
        <v>6.8919999999999997E-3</v>
      </c>
    </row>
    <row r="233" spans="1:6" ht="12" thickBot="1">
      <c r="A233" s="352">
        <v>41424</v>
      </c>
      <c r="B233" s="353">
        <v>1.9377999999999999E-3</v>
      </c>
      <c r="C233" s="353">
        <v>2.3050000000000002E-3</v>
      </c>
      <c r="D233" s="353">
        <v>2.7464999999999998E-3</v>
      </c>
      <c r="E233" s="353">
        <v>4.1625999999999998E-3</v>
      </c>
      <c r="F233" s="354">
        <v>6.8799999999999998E-3</v>
      </c>
    </row>
    <row r="234" spans="1:6" ht="12" thickBot="1">
      <c r="A234" s="352">
        <v>41423</v>
      </c>
      <c r="B234" s="353">
        <v>1.9377999999999999E-3</v>
      </c>
      <c r="C234" s="353">
        <v>2.31E-3</v>
      </c>
      <c r="D234" s="353">
        <v>2.7575E-3</v>
      </c>
      <c r="E234" s="353">
        <v>4.1625999999999998E-3</v>
      </c>
      <c r="F234" s="354">
        <v>6.9069999999999999E-3</v>
      </c>
    </row>
    <row r="235" spans="1:6" ht="12" thickBot="1">
      <c r="A235" s="352">
        <v>41422</v>
      </c>
      <c r="B235" s="353">
        <v>1.9277999999999999E-3</v>
      </c>
      <c r="C235" s="353">
        <v>2.2950000000000002E-3</v>
      </c>
      <c r="D235" s="353">
        <v>2.7274999999999999E-3</v>
      </c>
      <c r="E235" s="353">
        <v>4.1526000000000002E-3</v>
      </c>
      <c r="F235" s="354">
        <v>6.8399999999999997E-3</v>
      </c>
    </row>
    <row r="236" spans="1:6" ht="12" thickBot="1">
      <c r="A236" s="352">
        <v>41421</v>
      </c>
      <c r="B236" s="353">
        <v>1.9327999999999999E-3</v>
      </c>
      <c r="C236" s="353">
        <v>2.3050000000000002E-3</v>
      </c>
      <c r="D236" s="353">
        <v>2.7274999999999999E-3</v>
      </c>
      <c r="E236" s="353">
        <v>4.1739999999999998E-3</v>
      </c>
      <c r="F236" s="354">
        <v>6.8589000000000002E-3</v>
      </c>
    </row>
    <row r="237" spans="1:6" ht="12" thickBot="1">
      <c r="A237" s="352">
        <v>41418</v>
      </c>
      <c r="B237" s="353">
        <v>1.9327999999999999E-3</v>
      </c>
      <c r="C237" s="353">
        <v>2.3050000000000002E-3</v>
      </c>
      <c r="D237" s="353">
        <v>2.7274999999999999E-3</v>
      </c>
      <c r="E237" s="353">
        <v>4.1739999999999998E-3</v>
      </c>
      <c r="F237" s="354">
        <v>6.8589000000000002E-3</v>
      </c>
    </row>
    <row r="238" spans="1:6" ht="12" thickBot="1">
      <c r="A238" s="352">
        <v>41417</v>
      </c>
      <c r="B238" s="353">
        <v>1.9327999999999999E-3</v>
      </c>
      <c r="C238" s="353">
        <v>2.3050000000000002E-3</v>
      </c>
      <c r="D238" s="353">
        <v>2.7274999999999999E-3</v>
      </c>
      <c r="E238" s="353">
        <v>4.1739999999999998E-3</v>
      </c>
      <c r="F238" s="354">
        <v>6.8589000000000002E-3</v>
      </c>
    </row>
    <row r="239" spans="1:6" ht="12" thickBot="1">
      <c r="A239" s="352">
        <v>41416</v>
      </c>
      <c r="B239" s="353">
        <v>1.9528E-3</v>
      </c>
      <c r="C239" s="353">
        <v>2.31E-3</v>
      </c>
      <c r="D239" s="353">
        <v>2.7374999999999999E-3</v>
      </c>
      <c r="E239" s="353">
        <v>4.1840000000000002E-3</v>
      </c>
      <c r="F239" s="354">
        <v>6.8589000000000002E-3</v>
      </c>
    </row>
    <row r="240" spans="1:6" ht="12" thickBot="1">
      <c r="A240" s="352">
        <v>41415</v>
      </c>
      <c r="B240" s="353">
        <v>1.9627999999999998E-3</v>
      </c>
      <c r="C240" s="353">
        <v>2.32E-3</v>
      </c>
      <c r="D240" s="353">
        <v>2.7409999999999999E-3</v>
      </c>
      <c r="E240" s="353">
        <v>4.1840000000000002E-3</v>
      </c>
      <c r="F240" s="354">
        <v>6.8589000000000002E-3</v>
      </c>
    </row>
    <row r="241" spans="1:6" ht="12" thickBot="1">
      <c r="A241" s="352">
        <v>41414</v>
      </c>
      <c r="B241" s="353">
        <v>1.9618000000000001E-3</v>
      </c>
      <c r="C241" s="353">
        <v>2.3349999999999998E-3</v>
      </c>
      <c r="D241" s="353">
        <v>2.7309999999999999E-3</v>
      </c>
      <c r="E241" s="353">
        <v>4.1840000000000002E-3</v>
      </c>
      <c r="F241" s="354">
        <v>6.8738999999999996E-3</v>
      </c>
    </row>
    <row r="242" spans="1:6" ht="12" thickBot="1">
      <c r="A242" s="352">
        <v>41411</v>
      </c>
      <c r="B242" s="353">
        <v>1.9678E-3</v>
      </c>
      <c r="C242" s="353">
        <v>2.3349999999999998E-3</v>
      </c>
      <c r="D242" s="353">
        <v>2.7360000000000002E-3</v>
      </c>
      <c r="E242" s="353">
        <v>4.1939999999999998E-3</v>
      </c>
      <c r="F242" s="354">
        <v>6.8839000000000001E-3</v>
      </c>
    </row>
    <row r="243" spans="1:6" ht="12" thickBot="1">
      <c r="A243" s="352">
        <v>41410</v>
      </c>
      <c r="B243" s="353">
        <v>1.9819999999999998E-3</v>
      </c>
      <c r="C243" s="353">
        <v>2.3449999999999999E-3</v>
      </c>
      <c r="D243" s="353">
        <v>2.7409999999999999E-3</v>
      </c>
      <c r="E243" s="353">
        <v>4.1989999999999996E-3</v>
      </c>
      <c r="F243" s="354">
        <v>6.8989000000000003E-3</v>
      </c>
    </row>
    <row r="244" spans="1:6" ht="12" thickBot="1">
      <c r="A244" s="352">
        <v>41409</v>
      </c>
      <c r="B244" s="353">
        <v>1.9819999999999998E-3</v>
      </c>
      <c r="C244" s="353">
        <v>2.3500000000000001E-3</v>
      </c>
      <c r="D244" s="353">
        <v>2.7409999999999999E-3</v>
      </c>
      <c r="E244" s="353">
        <v>4.2090000000000001E-3</v>
      </c>
      <c r="F244" s="354">
        <v>6.8989000000000003E-3</v>
      </c>
    </row>
    <row r="245" spans="1:6" ht="12" thickBot="1">
      <c r="A245" s="352">
        <v>41408</v>
      </c>
      <c r="B245" s="353">
        <v>1.9819999999999998E-3</v>
      </c>
      <c r="C245" s="353">
        <v>2.3500000000000001E-3</v>
      </c>
      <c r="D245" s="353">
        <v>2.7409999999999999E-3</v>
      </c>
      <c r="E245" s="353">
        <v>4.2339999999999999E-3</v>
      </c>
      <c r="F245" s="354">
        <v>6.9509999999999997E-3</v>
      </c>
    </row>
    <row r="246" spans="1:6" ht="12" thickBot="1">
      <c r="A246" s="352">
        <v>41404</v>
      </c>
      <c r="B246" s="353">
        <v>1.9919999999999998E-3</v>
      </c>
      <c r="C246" s="353">
        <v>2.3739999999999998E-3</v>
      </c>
      <c r="D246" s="353">
        <v>2.751E-3</v>
      </c>
      <c r="E246" s="353">
        <v>4.2640000000000004E-3</v>
      </c>
      <c r="F246" s="354">
        <v>7.0109999999999999E-3</v>
      </c>
    </row>
    <row r="247" spans="1:6" ht="12" thickBot="1">
      <c r="A247" s="352">
        <v>41403</v>
      </c>
      <c r="B247" s="353">
        <v>1.9919999999999998E-3</v>
      </c>
      <c r="C247" s="353">
        <v>2.3739999999999998E-3</v>
      </c>
      <c r="D247" s="353">
        <v>2.751E-3</v>
      </c>
      <c r="E247" s="353">
        <v>4.274E-3</v>
      </c>
      <c r="F247" s="354">
        <v>7.0210000000000003E-3</v>
      </c>
    </row>
    <row r="248" spans="1:6" ht="12" thickBot="1">
      <c r="A248" s="352">
        <v>41402</v>
      </c>
      <c r="B248" s="353">
        <v>1.9919999999999998E-3</v>
      </c>
      <c r="C248" s="353">
        <v>2.3739999999999998E-3</v>
      </c>
      <c r="D248" s="353">
        <v>2.751E-3</v>
      </c>
      <c r="E248" s="353">
        <v>4.2839999999999996E-3</v>
      </c>
      <c r="F248" s="354">
        <v>7.0309999999999999E-3</v>
      </c>
    </row>
    <row r="249" spans="1:6" ht="12" thickBot="1">
      <c r="A249" s="352">
        <v>41401</v>
      </c>
      <c r="B249" s="353">
        <v>1.9919999999999998E-3</v>
      </c>
      <c r="C249" s="353">
        <v>2.3739999999999998E-3</v>
      </c>
      <c r="D249" s="353">
        <v>2.751E-3</v>
      </c>
      <c r="E249" s="353">
        <v>4.2839999999999996E-3</v>
      </c>
      <c r="F249" s="354">
        <v>7.0309999999999999E-3</v>
      </c>
    </row>
    <row r="250" spans="1:6" ht="12" thickBot="1">
      <c r="A250" s="352">
        <v>41400</v>
      </c>
      <c r="B250" s="353">
        <v>1.9819999999999998E-3</v>
      </c>
      <c r="C250" s="353">
        <v>2.3739999999999998E-3</v>
      </c>
      <c r="D250" s="353">
        <v>2.751E-3</v>
      </c>
      <c r="E250" s="353">
        <v>4.254E-3</v>
      </c>
      <c r="F250" s="354">
        <v>7.0210000000000003E-3</v>
      </c>
    </row>
    <row r="251" spans="1:6" ht="12" thickBot="1">
      <c r="A251" s="352">
        <v>41397</v>
      </c>
      <c r="B251" s="353">
        <v>1.9819999999999998E-3</v>
      </c>
      <c r="C251" s="353">
        <v>2.3739999999999998E-3</v>
      </c>
      <c r="D251" s="353">
        <v>2.751E-3</v>
      </c>
      <c r="E251" s="353">
        <v>4.254E-3</v>
      </c>
      <c r="F251" s="354">
        <v>7.0210000000000003E-3</v>
      </c>
    </row>
    <row r="252" spans="1:6" ht="12" thickBot="1">
      <c r="A252" s="352">
        <v>41396</v>
      </c>
      <c r="B252" s="353">
        <v>1.9819999999999998E-3</v>
      </c>
      <c r="C252" s="353">
        <v>2.3739999999999998E-3</v>
      </c>
      <c r="D252" s="353">
        <v>2.7309999999999999E-3</v>
      </c>
      <c r="E252" s="353">
        <v>4.254E-3</v>
      </c>
      <c r="F252" s="354">
        <v>7.0309999999999999E-3</v>
      </c>
    </row>
    <row r="253" spans="1:6" ht="12" thickBot="1">
      <c r="A253" s="352">
        <v>41394</v>
      </c>
      <c r="B253" s="353">
        <v>1.9819999999999998E-3</v>
      </c>
      <c r="C253" s="353">
        <v>2.3779999999999999E-3</v>
      </c>
      <c r="D253" s="353">
        <v>2.7309999999999999E-3</v>
      </c>
      <c r="E253" s="353">
        <v>4.254E-3</v>
      </c>
      <c r="F253" s="354">
        <v>7.045E-3</v>
      </c>
    </row>
    <row r="254" spans="1:6" ht="12" thickBot="1">
      <c r="A254" s="352">
        <v>41393</v>
      </c>
      <c r="B254" s="353">
        <v>1.9819999999999998E-3</v>
      </c>
      <c r="C254" s="353">
        <v>2.3930000000000002E-3</v>
      </c>
      <c r="D254" s="353">
        <v>2.7409999999999999E-3</v>
      </c>
      <c r="E254" s="353">
        <v>4.2989999999999999E-3</v>
      </c>
      <c r="F254" s="354">
        <v>7.0850000000000002E-3</v>
      </c>
    </row>
    <row r="255" spans="1:6" ht="12" thickBot="1">
      <c r="A255" s="352">
        <v>41390</v>
      </c>
      <c r="B255" s="353">
        <v>1.9819999999999998E-3</v>
      </c>
      <c r="C255" s="353">
        <v>2.398E-3</v>
      </c>
      <c r="D255" s="353">
        <v>2.7560000000000002E-3</v>
      </c>
      <c r="E255" s="353">
        <v>4.3039999999999997E-3</v>
      </c>
      <c r="F255" s="354">
        <v>7.1050000000000002E-3</v>
      </c>
    </row>
    <row r="256" spans="1:6" ht="12" thickBot="1">
      <c r="A256" s="352">
        <v>41389</v>
      </c>
      <c r="B256" s="353">
        <v>1.9819999999999998E-3</v>
      </c>
      <c r="C256" s="353">
        <v>2.398E-3</v>
      </c>
      <c r="D256" s="353">
        <v>2.7560000000000002E-3</v>
      </c>
      <c r="E256" s="353">
        <v>4.3039999999999997E-3</v>
      </c>
      <c r="F256" s="354">
        <v>7.11E-3</v>
      </c>
    </row>
    <row r="257" spans="1:6" ht="12" thickBot="1">
      <c r="A257" s="352">
        <v>41388</v>
      </c>
      <c r="B257" s="353">
        <v>1.9819999999999998E-3</v>
      </c>
      <c r="C257" s="353">
        <v>2.398E-3</v>
      </c>
      <c r="D257" s="353">
        <v>2.7560000000000002E-3</v>
      </c>
      <c r="E257" s="353">
        <v>4.3140000000000001E-3</v>
      </c>
      <c r="F257" s="354">
        <v>7.1199999999999996E-3</v>
      </c>
    </row>
    <row r="258" spans="1:6" ht="12" thickBot="1">
      <c r="A258" s="352">
        <v>41387</v>
      </c>
      <c r="B258" s="353">
        <v>2.0019999999999999E-3</v>
      </c>
      <c r="C258" s="353">
        <v>2.398E-3</v>
      </c>
      <c r="D258" s="353">
        <v>2.7560000000000002E-3</v>
      </c>
      <c r="E258" s="353">
        <v>4.3140000000000001E-3</v>
      </c>
      <c r="F258" s="354">
        <v>7.11E-3</v>
      </c>
    </row>
    <row r="259" spans="1:6" ht="12" thickBot="1">
      <c r="A259" s="352">
        <v>41386</v>
      </c>
      <c r="B259" s="353">
        <v>1.9919999999999998E-3</v>
      </c>
      <c r="C259" s="353">
        <v>2.398E-3</v>
      </c>
      <c r="D259" s="353">
        <v>2.751E-3</v>
      </c>
      <c r="E259" s="353">
        <v>4.3290000000000004E-3</v>
      </c>
      <c r="F259" s="354">
        <v>7.1549999999999999E-3</v>
      </c>
    </row>
    <row r="260" spans="1:6" ht="12" thickBot="1">
      <c r="A260" s="352">
        <v>41383</v>
      </c>
      <c r="B260" s="353">
        <v>1.9919999999999998E-3</v>
      </c>
      <c r="C260" s="353">
        <v>2.398E-3</v>
      </c>
      <c r="D260" s="353">
        <v>2.761E-3</v>
      </c>
      <c r="E260" s="353">
        <v>4.3340000000000002E-3</v>
      </c>
      <c r="F260" s="354">
        <v>7.1500000000000001E-3</v>
      </c>
    </row>
    <row r="261" spans="1:6" ht="12" thickBot="1">
      <c r="A261" s="352">
        <v>41382</v>
      </c>
      <c r="B261" s="353">
        <v>1.9919999999999998E-3</v>
      </c>
      <c r="C261" s="353">
        <v>2.398E-3</v>
      </c>
      <c r="D261" s="353">
        <v>2.761E-3</v>
      </c>
      <c r="E261" s="353">
        <v>4.3290000000000004E-3</v>
      </c>
      <c r="F261" s="354">
        <v>7.1500000000000001E-3</v>
      </c>
    </row>
    <row r="262" spans="1:6" ht="12" thickBot="1">
      <c r="A262" s="352">
        <v>41381</v>
      </c>
      <c r="B262" s="353">
        <v>1.9919999999999998E-3</v>
      </c>
      <c r="C262" s="353">
        <v>2.398E-3</v>
      </c>
      <c r="D262" s="353">
        <v>2.761E-3</v>
      </c>
      <c r="E262" s="353">
        <v>4.3290000000000004E-3</v>
      </c>
      <c r="F262" s="354">
        <v>7.1500000000000001E-3</v>
      </c>
    </row>
    <row r="263" spans="1:6" ht="12" thickBot="1">
      <c r="A263" s="352">
        <v>41380</v>
      </c>
      <c r="B263" s="353">
        <v>2.0019999999999999E-3</v>
      </c>
      <c r="C263" s="353">
        <v>2.4030000000000002E-3</v>
      </c>
      <c r="D263" s="353">
        <v>2.771E-3</v>
      </c>
      <c r="E263" s="353">
        <v>4.3639999999999998E-3</v>
      </c>
      <c r="F263" s="354">
        <v>7.175E-3</v>
      </c>
    </row>
    <row r="264" spans="1:6" ht="12" thickBot="1">
      <c r="A264" s="352">
        <v>41379</v>
      </c>
      <c r="B264" s="353">
        <v>1.9970000000000001E-3</v>
      </c>
      <c r="C264" s="353">
        <v>2.4030000000000002E-3</v>
      </c>
      <c r="D264" s="353">
        <v>2.7759999999999998E-3</v>
      </c>
      <c r="E264" s="353">
        <v>4.3790000000000001E-3</v>
      </c>
      <c r="F264" s="354">
        <v>7.1900000000000002E-3</v>
      </c>
    </row>
    <row r="265" spans="1:6" ht="12" thickBot="1">
      <c r="A265" s="352">
        <v>41376</v>
      </c>
      <c r="B265" s="353">
        <v>1.9970000000000001E-3</v>
      </c>
      <c r="C265" s="353">
        <v>2.4030000000000002E-3</v>
      </c>
      <c r="D265" s="353">
        <v>2.7759999999999998E-3</v>
      </c>
      <c r="E265" s="353">
        <v>4.3790000000000001E-3</v>
      </c>
      <c r="F265" s="354">
        <v>7.1900000000000002E-3</v>
      </c>
    </row>
    <row r="266" spans="1:6" ht="12" thickBot="1">
      <c r="A266" s="352">
        <v>41375</v>
      </c>
      <c r="B266" s="353">
        <v>1.9870000000000001E-3</v>
      </c>
      <c r="C266" s="353">
        <v>2.4030000000000002E-3</v>
      </c>
      <c r="D266" s="353">
        <v>2.771E-3</v>
      </c>
      <c r="E266" s="353">
        <v>4.3889999999999997E-3</v>
      </c>
      <c r="F266" s="354">
        <v>7.1999999999999998E-3</v>
      </c>
    </row>
    <row r="267" spans="1:6" ht="12" thickBot="1">
      <c r="A267" s="352">
        <v>41374</v>
      </c>
      <c r="B267" s="353">
        <v>1.993E-3</v>
      </c>
      <c r="C267" s="353">
        <v>2.4030000000000002E-3</v>
      </c>
      <c r="D267" s="353">
        <v>2.771E-3</v>
      </c>
      <c r="E267" s="353">
        <v>4.3990000000000001E-3</v>
      </c>
      <c r="F267" s="354">
        <v>7.2100000000000003E-3</v>
      </c>
    </row>
    <row r="268" spans="1:6" ht="12" thickBot="1">
      <c r="A268" s="352">
        <v>41373</v>
      </c>
      <c r="B268" s="353">
        <v>1.993E-3</v>
      </c>
      <c r="C268" s="353">
        <v>2.4030000000000002E-3</v>
      </c>
      <c r="D268" s="353">
        <v>2.7810000000000001E-3</v>
      </c>
      <c r="E268" s="353">
        <v>4.4190000000000002E-3</v>
      </c>
      <c r="F268" s="354">
        <v>7.2100000000000003E-3</v>
      </c>
    </row>
    <row r="269" spans="1:6" ht="12" thickBot="1">
      <c r="A269" s="352">
        <v>41372</v>
      </c>
      <c r="B269" s="353">
        <v>2.003E-3</v>
      </c>
      <c r="C269" s="353">
        <v>2.4030000000000002E-3</v>
      </c>
      <c r="D269" s="353">
        <v>2.794E-3</v>
      </c>
      <c r="E269" s="353">
        <v>4.4190000000000002E-3</v>
      </c>
      <c r="F269" s="354">
        <v>7.2100000000000003E-3</v>
      </c>
    </row>
    <row r="270" spans="1:6" ht="12" thickBot="1">
      <c r="A270" s="352">
        <v>41369</v>
      </c>
      <c r="B270" s="353">
        <v>2.003E-3</v>
      </c>
      <c r="C270" s="353">
        <v>2.4030000000000002E-3</v>
      </c>
      <c r="D270" s="353">
        <v>2.794E-3</v>
      </c>
      <c r="E270" s="353">
        <v>4.4190000000000002E-3</v>
      </c>
      <c r="F270" s="354">
        <v>7.2100000000000003E-3</v>
      </c>
    </row>
    <row r="271" spans="1:6" ht="12" thickBot="1">
      <c r="A271" s="352">
        <v>41368</v>
      </c>
      <c r="B271" s="353">
        <v>2.003E-3</v>
      </c>
      <c r="C271" s="353">
        <v>2.4030000000000002E-3</v>
      </c>
      <c r="D271" s="353">
        <v>2.8040000000000001E-3</v>
      </c>
      <c r="E271" s="353">
        <v>4.424E-3</v>
      </c>
      <c r="F271" s="354">
        <v>7.2300000000000003E-3</v>
      </c>
    </row>
    <row r="272" spans="1:6" ht="12" thickBot="1">
      <c r="A272" s="352">
        <v>41367</v>
      </c>
      <c r="B272" s="353">
        <v>2.0170000000000001E-3</v>
      </c>
      <c r="C272" s="353">
        <v>2.415E-3</v>
      </c>
      <c r="D272" s="353">
        <v>2.8110000000000001E-3</v>
      </c>
      <c r="E272" s="353">
        <v>4.424E-3</v>
      </c>
      <c r="F272" s="354">
        <v>7.2500000000000004E-3</v>
      </c>
    </row>
    <row r="273" spans="1:6" ht="12" thickBot="1">
      <c r="A273" s="352">
        <v>41366</v>
      </c>
      <c r="B273" s="353">
        <v>2.0270000000000002E-3</v>
      </c>
      <c r="C273" s="353">
        <v>2.415E-3</v>
      </c>
      <c r="D273" s="353">
        <v>2.8210000000000002E-3</v>
      </c>
      <c r="E273" s="353">
        <v>4.4390000000000002E-3</v>
      </c>
      <c r="F273" s="354">
        <v>7.28E-3</v>
      </c>
    </row>
    <row r="274" spans="1:6" ht="12" thickBot="1">
      <c r="A274" s="352">
        <v>41365</v>
      </c>
      <c r="B274" s="353">
        <v>2.0370000000000002E-3</v>
      </c>
      <c r="C274" s="353">
        <v>2.4299999999999999E-3</v>
      </c>
      <c r="D274" s="353">
        <v>2.826E-3</v>
      </c>
      <c r="E274" s="353">
        <v>4.4489999999999998E-3</v>
      </c>
      <c r="F274" s="354">
        <v>7.3150000000000003E-3</v>
      </c>
    </row>
    <row r="275" spans="1:6" ht="12" thickBot="1">
      <c r="A275" s="352">
        <v>41361</v>
      </c>
      <c r="B275" s="353">
        <v>2.0370000000000002E-3</v>
      </c>
      <c r="C275" s="353">
        <v>2.4299999999999999E-3</v>
      </c>
      <c r="D275" s="353">
        <v>2.826E-3</v>
      </c>
      <c r="E275" s="353">
        <v>4.4489999999999998E-3</v>
      </c>
      <c r="F275" s="354">
        <v>7.3150000000000003E-3</v>
      </c>
    </row>
    <row r="276" spans="1:6" ht="12" thickBot="1">
      <c r="A276" s="352">
        <v>41360</v>
      </c>
      <c r="B276" s="353">
        <v>2.0370000000000002E-3</v>
      </c>
      <c r="C276" s="353">
        <v>2.4299999999999999E-3</v>
      </c>
      <c r="D276" s="353">
        <v>2.836E-3</v>
      </c>
      <c r="E276" s="353">
        <v>4.4489999999999998E-3</v>
      </c>
      <c r="F276" s="354">
        <v>7.3150000000000003E-3</v>
      </c>
    </row>
    <row r="277" spans="1:6" ht="12" thickBot="1">
      <c r="A277" s="352">
        <v>41359</v>
      </c>
      <c r="B277" s="353">
        <v>2.0370000000000002E-3</v>
      </c>
      <c r="C277" s="353">
        <v>2.4299999999999999E-3</v>
      </c>
      <c r="D277" s="353">
        <v>2.836E-3</v>
      </c>
      <c r="E277" s="353">
        <v>4.4590000000000003E-3</v>
      </c>
      <c r="F277" s="354">
        <v>7.3249999999999999E-3</v>
      </c>
    </row>
    <row r="278" spans="1:6" ht="12" thickBot="1">
      <c r="A278" s="352">
        <v>41355</v>
      </c>
      <c r="B278" s="353">
        <v>2.042E-3</v>
      </c>
      <c r="C278" s="353">
        <v>2.4350000000000001E-3</v>
      </c>
      <c r="D278" s="353">
        <v>2.846E-3</v>
      </c>
      <c r="E278" s="353">
        <v>4.4790000000000003E-3</v>
      </c>
      <c r="F278" s="354">
        <v>7.3749999999999996E-3</v>
      </c>
    </row>
    <row r="279" spans="1:6" ht="12" thickBot="1">
      <c r="A279" s="352">
        <v>41354</v>
      </c>
      <c r="B279" s="353">
        <v>2.042E-3</v>
      </c>
      <c r="C279" s="353">
        <v>2.4299999999999999E-3</v>
      </c>
      <c r="D279" s="353">
        <v>2.8410000000000002E-3</v>
      </c>
      <c r="E279" s="353">
        <v>4.4739999999999997E-3</v>
      </c>
      <c r="F279" s="354">
        <v>7.3550000000000004E-3</v>
      </c>
    </row>
    <row r="280" spans="1:6" ht="12" thickBot="1">
      <c r="A280" s="352">
        <v>41353</v>
      </c>
      <c r="B280" s="353">
        <v>2.0470000000000002E-3</v>
      </c>
      <c r="C280" s="353">
        <v>2.4299999999999999E-3</v>
      </c>
      <c r="D280" s="353">
        <v>2.8410000000000002E-3</v>
      </c>
      <c r="E280" s="353">
        <v>4.4790000000000003E-3</v>
      </c>
      <c r="F280" s="354">
        <v>7.3699999999999998E-3</v>
      </c>
    </row>
    <row r="281" spans="1:6" ht="12" thickBot="1">
      <c r="A281" s="352">
        <v>41352</v>
      </c>
      <c r="B281" s="353">
        <v>2.0370000000000002E-3</v>
      </c>
      <c r="C281" s="353">
        <v>2.4199999999999998E-3</v>
      </c>
      <c r="D281" s="353">
        <v>2.8210000000000002E-3</v>
      </c>
      <c r="E281" s="353">
        <v>4.4790000000000003E-3</v>
      </c>
      <c r="F281" s="354">
        <v>7.3499999999999998E-3</v>
      </c>
    </row>
    <row r="282" spans="1:6" ht="12" thickBot="1">
      <c r="A282" s="352">
        <v>41351</v>
      </c>
      <c r="B282" s="353">
        <v>2.032E-3</v>
      </c>
      <c r="C282" s="353">
        <v>2.415E-3</v>
      </c>
      <c r="D282" s="353">
        <v>2.8010000000000001E-3</v>
      </c>
      <c r="E282" s="353">
        <v>4.4539999999999996E-3</v>
      </c>
      <c r="F282" s="354">
        <v>7.3150000000000003E-3</v>
      </c>
    </row>
    <row r="283" spans="1:6" ht="12" thickBot="1">
      <c r="A283" s="352">
        <v>41348</v>
      </c>
      <c r="B283" s="353">
        <v>2.032E-3</v>
      </c>
      <c r="C283" s="353">
        <v>2.415E-3</v>
      </c>
      <c r="D283" s="353">
        <v>2.8010000000000001E-3</v>
      </c>
      <c r="E283" s="353">
        <v>4.4489999999999998E-3</v>
      </c>
      <c r="F283" s="354">
        <v>7.3099999999999997E-3</v>
      </c>
    </row>
    <row r="284" spans="1:6" ht="12" thickBot="1">
      <c r="A284" s="352">
        <v>41347</v>
      </c>
      <c r="B284" s="353">
        <v>2.032E-3</v>
      </c>
      <c r="C284" s="353">
        <v>2.415E-3</v>
      </c>
      <c r="D284" s="353">
        <v>2.8010000000000001E-3</v>
      </c>
      <c r="E284" s="353">
        <v>4.4489999999999998E-3</v>
      </c>
      <c r="F284" s="354">
        <v>7.2899999999999996E-3</v>
      </c>
    </row>
    <row r="285" spans="1:6" ht="12" thickBot="1">
      <c r="A285" s="352">
        <v>41346</v>
      </c>
      <c r="B285" s="353">
        <v>2.032E-3</v>
      </c>
      <c r="C285" s="353">
        <v>2.415E-3</v>
      </c>
      <c r="D285" s="353">
        <v>2.8010000000000001E-3</v>
      </c>
      <c r="E285" s="353">
        <v>4.4489999999999998E-3</v>
      </c>
      <c r="F285" s="354">
        <v>7.3000000000000001E-3</v>
      </c>
    </row>
    <row r="286" spans="1:6" ht="12" thickBot="1">
      <c r="A286" s="352">
        <v>41345</v>
      </c>
      <c r="B286" s="353">
        <v>2.032E-3</v>
      </c>
      <c r="C286" s="353">
        <v>2.415E-3</v>
      </c>
      <c r="D286" s="353">
        <v>2.8110000000000001E-3</v>
      </c>
      <c r="E286" s="353">
        <v>4.4590000000000003E-3</v>
      </c>
      <c r="F286" s="354">
        <v>7.3049999999999999E-3</v>
      </c>
    </row>
    <row r="287" spans="1:6" ht="12" thickBot="1">
      <c r="A287" s="352">
        <v>41344</v>
      </c>
      <c r="B287" s="353">
        <v>2.0219999999999999E-3</v>
      </c>
      <c r="C287" s="353">
        <v>2.405E-3</v>
      </c>
      <c r="D287" s="353">
        <v>2.8010000000000001E-3</v>
      </c>
      <c r="E287" s="353">
        <v>4.4689999999999999E-3</v>
      </c>
      <c r="F287" s="354">
        <v>7.3299999999999997E-3</v>
      </c>
    </row>
    <row r="288" spans="1:6" ht="12" thickBot="1">
      <c r="A288" s="352">
        <v>41341</v>
      </c>
      <c r="B288" s="353">
        <v>2.0219999999999999E-3</v>
      </c>
      <c r="C288" s="353">
        <v>2.405E-3</v>
      </c>
      <c r="D288" s="353">
        <v>2.8010000000000001E-3</v>
      </c>
      <c r="E288" s="353">
        <v>4.4739999999999997E-3</v>
      </c>
      <c r="F288" s="354">
        <v>7.3350000000000004E-3</v>
      </c>
    </row>
    <row r="289" spans="1:6" ht="12" thickBot="1">
      <c r="A289" s="352">
        <v>41340</v>
      </c>
      <c r="B289" s="353">
        <v>2.0219999999999999E-3</v>
      </c>
      <c r="C289" s="353">
        <v>2.405E-3</v>
      </c>
      <c r="D289" s="353">
        <v>2.8059999999999999E-3</v>
      </c>
      <c r="E289" s="353">
        <v>4.4939999999999997E-3</v>
      </c>
      <c r="F289" s="354">
        <v>7.365E-3</v>
      </c>
    </row>
    <row r="290" spans="1:6" ht="12" thickBot="1">
      <c r="A290" s="352">
        <v>41339</v>
      </c>
      <c r="B290" s="353">
        <v>2.0219999999999999E-3</v>
      </c>
      <c r="C290" s="353">
        <v>2.405E-3</v>
      </c>
      <c r="D290" s="353">
        <v>2.7959999999999999E-3</v>
      </c>
      <c r="E290" s="353">
        <v>4.4990000000000004E-3</v>
      </c>
      <c r="F290" s="354">
        <v>7.3850000000000001E-3</v>
      </c>
    </row>
    <row r="291" spans="1:6" ht="12" thickBot="1">
      <c r="A291" s="352">
        <v>41338</v>
      </c>
      <c r="B291" s="353">
        <v>2.032E-3</v>
      </c>
      <c r="C291" s="353">
        <v>2.415E-3</v>
      </c>
      <c r="D291" s="353">
        <v>2.8110000000000001E-3</v>
      </c>
      <c r="E291" s="353">
        <v>4.5240000000000002E-3</v>
      </c>
      <c r="F291" s="354">
        <v>7.43E-3</v>
      </c>
    </row>
    <row r="292" spans="1:6" ht="12" thickBot="1">
      <c r="A292" s="352">
        <v>41337</v>
      </c>
      <c r="B292" s="353">
        <v>2.052E-3</v>
      </c>
      <c r="C292" s="353">
        <v>2.4250000000000001E-3</v>
      </c>
      <c r="D292" s="353">
        <v>2.8310000000000002E-3</v>
      </c>
      <c r="E292" s="353">
        <v>4.5539999999999999E-3</v>
      </c>
      <c r="F292" s="354">
        <v>7.45E-3</v>
      </c>
    </row>
    <row r="293" spans="1:6" ht="12" thickBot="1">
      <c r="A293" s="352">
        <v>41334</v>
      </c>
      <c r="B293" s="353">
        <v>2.0370000000000002E-3</v>
      </c>
      <c r="C293" s="353">
        <v>2.415E-3</v>
      </c>
      <c r="D293" s="353">
        <v>2.8410000000000002E-3</v>
      </c>
      <c r="E293" s="353">
        <v>4.5640000000000003E-3</v>
      </c>
      <c r="F293" s="354">
        <v>7.4949999999999999E-3</v>
      </c>
    </row>
    <row r="294" spans="1:6" ht="12" thickBot="1">
      <c r="A294" s="352">
        <v>41333</v>
      </c>
      <c r="B294" s="353">
        <v>2.0370000000000002E-3</v>
      </c>
      <c r="C294" s="353">
        <v>2.4299999999999999E-3</v>
      </c>
      <c r="D294" s="353">
        <v>2.8709999999999999E-3</v>
      </c>
      <c r="E294" s="353">
        <v>4.5690000000000001E-3</v>
      </c>
      <c r="F294" s="354">
        <v>7.515E-3</v>
      </c>
    </row>
    <row r="295" spans="1:6" ht="12" thickBot="1">
      <c r="A295" s="352">
        <v>41332</v>
      </c>
      <c r="B295" s="353">
        <v>2.0370000000000002E-3</v>
      </c>
      <c r="C295" s="353">
        <v>2.4350000000000001E-3</v>
      </c>
      <c r="D295" s="353">
        <v>2.8709999999999999E-3</v>
      </c>
      <c r="E295" s="353">
        <v>4.5690000000000001E-3</v>
      </c>
      <c r="F295" s="354">
        <v>7.5249999999999996E-3</v>
      </c>
    </row>
    <row r="296" spans="1:6" ht="12" thickBot="1">
      <c r="A296" s="352">
        <v>41331</v>
      </c>
      <c r="B296" s="353">
        <v>2.0370000000000002E-3</v>
      </c>
      <c r="C296" s="353">
        <v>2.4299999999999999E-3</v>
      </c>
      <c r="D296" s="353">
        <v>2.8660000000000001E-3</v>
      </c>
      <c r="E296" s="353">
        <v>4.5690000000000001E-3</v>
      </c>
      <c r="F296" s="354">
        <v>7.5249999999999996E-3</v>
      </c>
    </row>
    <row r="297" spans="1:6" ht="12" thickBot="1">
      <c r="A297" s="352">
        <v>41330</v>
      </c>
      <c r="B297" s="353">
        <v>2.0270000000000002E-3</v>
      </c>
      <c r="C297" s="353">
        <v>2.4399999999999999E-3</v>
      </c>
      <c r="D297" s="353">
        <v>2.8660000000000001E-3</v>
      </c>
      <c r="E297" s="353">
        <v>4.5989999999999998E-3</v>
      </c>
      <c r="F297" s="354">
        <v>7.5449999999999996E-3</v>
      </c>
    </row>
    <row r="298" spans="1:6" ht="12" thickBot="1">
      <c r="A298" s="352">
        <v>41327</v>
      </c>
      <c r="B298" s="353">
        <v>2.0270000000000002E-3</v>
      </c>
      <c r="C298" s="353">
        <v>2.4499999999999999E-3</v>
      </c>
      <c r="D298" s="353">
        <v>2.8809999999999999E-3</v>
      </c>
      <c r="E298" s="353">
        <v>4.5989999999999998E-3</v>
      </c>
      <c r="F298" s="354">
        <v>7.5550000000000001E-3</v>
      </c>
    </row>
    <row r="299" spans="1:6" ht="12" thickBot="1">
      <c r="A299" s="352">
        <v>41326</v>
      </c>
      <c r="B299" s="353">
        <v>2.0170000000000001E-3</v>
      </c>
      <c r="C299" s="353">
        <v>2.4499999999999999E-3</v>
      </c>
      <c r="D299" s="353">
        <v>2.8809999999999999E-3</v>
      </c>
      <c r="E299" s="353">
        <v>4.614E-3</v>
      </c>
      <c r="F299" s="354">
        <v>7.5599999999999999E-3</v>
      </c>
    </row>
    <row r="300" spans="1:6" ht="12" thickBot="1">
      <c r="A300" s="352">
        <v>41325</v>
      </c>
      <c r="B300" s="353">
        <v>2.0170000000000001E-3</v>
      </c>
      <c r="C300" s="353">
        <v>2.4550000000000002E-3</v>
      </c>
      <c r="D300" s="353">
        <v>2.8909999999999999E-3</v>
      </c>
      <c r="E300" s="353">
        <v>4.6290000000000003E-3</v>
      </c>
      <c r="F300" s="354">
        <v>7.5849999999999997E-3</v>
      </c>
    </row>
    <row r="301" spans="1:6" ht="12" thickBot="1">
      <c r="A301" s="352">
        <v>41324</v>
      </c>
      <c r="B301" s="353">
        <v>2.0170000000000001E-3</v>
      </c>
      <c r="C301" s="353">
        <v>2.4550000000000002E-3</v>
      </c>
      <c r="D301" s="353">
        <v>2.8909999999999999E-3</v>
      </c>
      <c r="E301" s="353">
        <v>4.6290000000000003E-3</v>
      </c>
      <c r="F301" s="354">
        <v>7.5950000000000002E-3</v>
      </c>
    </row>
    <row r="302" spans="1:6" ht="12" thickBot="1">
      <c r="A302" s="352">
        <v>41323</v>
      </c>
      <c r="B302" s="353">
        <v>2.0070000000000001E-3</v>
      </c>
      <c r="C302" s="353">
        <v>2.4550000000000002E-3</v>
      </c>
      <c r="D302" s="353">
        <v>2.8909999999999999E-3</v>
      </c>
      <c r="E302" s="353">
        <v>4.6290000000000003E-3</v>
      </c>
      <c r="F302" s="354">
        <v>7.6E-3</v>
      </c>
    </row>
    <row r="303" spans="1:6" ht="12" thickBot="1">
      <c r="A303" s="352">
        <v>41320</v>
      </c>
      <c r="B303" s="353">
        <v>2.0219999999999999E-3</v>
      </c>
      <c r="C303" s="353">
        <v>2.4650000000000002E-3</v>
      </c>
      <c r="D303" s="353">
        <v>2.9009999999999999E-3</v>
      </c>
      <c r="E303" s="353">
        <v>4.6340000000000001E-3</v>
      </c>
      <c r="F303" s="354">
        <v>7.6E-3</v>
      </c>
    </row>
    <row r="304" spans="1:6" ht="12" thickBot="1">
      <c r="A304" s="352">
        <v>41319</v>
      </c>
      <c r="B304" s="353">
        <v>2.0170000000000001E-3</v>
      </c>
      <c r="C304" s="353">
        <v>2.47E-3</v>
      </c>
      <c r="D304" s="353">
        <v>2.9009999999999999E-3</v>
      </c>
      <c r="E304" s="353">
        <v>4.6490000000000004E-3</v>
      </c>
      <c r="F304" s="354">
        <v>7.6249999999999998E-3</v>
      </c>
    </row>
    <row r="305" spans="1:6" ht="12" thickBot="1">
      <c r="A305" s="352">
        <v>41318</v>
      </c>
      <c r="B305" s="353">
        <v>2.0119999999999999E-3</v>
      </c>
      <c r="C305" s="353">
        <v>2.4599999999999999E-3</v>
      </c>
      <c r="D305" s="353">
        <v>2.9009999999999999E-3</v>
      </c>
      <c r="E305" s="353">
        <v>4.6490000000000004E-3</v>
      </c>
      <c r="F305" s="354">
        <v>7.62E-3</v>
      </c>
    </row>
    <row r="306" spans="1:6" ht="12" thickBot="1">
      <c r="A306" s="352">
        <v>41317</v>
      </c>
      <c r="B306" s="353">
        <v>2.0119999999999999E-3</v>
      </c>
      <c r="C306" s="353">
        <v>2.4599999999999999E-3</v>
      </c>
      <c r="D306" s="353">
        <v>2.921E-3</v>
      </c>
      <c r="E306" s="353">
        <v>4.6589999999999999E-3</v>
      </c>
      <c r="F306" s="354">
        <v>7.6400000000000001E-3</v>
      </c>
    </row>
    <row r="307" spans="1:6" ht="12" thickBot="1">
      <c r="A307" s="352">
        <v>41316</v>
      </c>
      <c r="B307" s="353">
        <v>2.0219999999999999E-3</v>
      </c>
      <c r="C307" s="353">
        <v>2.4750000000000002E-3</v>
      </c>
      <c r="D307" s="353">
        <v>2.931E-3</v>
      </c>
      <c r="E307" s="353">
        <v>4.6490000000000004E-3</v>
      </c>
      <c r="F307" s="354">
        <v>7.6499999999999997E-3</v>
      </c>
    </row>
    <row r="308" spans="1:6" ht="12" thickBot="1">
      <c r="A308" s="352">
        <v>41313</v>
      </c>
      <c r="B308" s="353">
        <v>2.0019999999999999E-3</v>
      </c>
      <c r="C308" s="353">
        <v>2.4750000000000002E-3</v>
      </c>
      <c r="D308" s="353">
        <v>2.9199999999999999E-3</v>
      </c>
      <c r="E308" s="353">
        <v>4.6540000000000002E-3</v>
      </c>
      <c r="F308" s="354">
        <v>7.6600000000000001E-3</v>
      </c>
    </row>
    <row r="309" spans="1:6" ht="12" thickBot="1">
      <c r="A309" s="352">
        <v>41312</v>
      </c>
      <c r="B309" s="353">
        <v>1.9919999999999998E-3</v>
      </c>
      <c r="C309" s="353">
        <v>2.4599999999999999E-3</v>
      </c>
      <c r="D309" s="353">
        <v>2.9199999999999999E-3</v>
      </c>
      <c r="E309" s="353">
        <v>4.6690000000000004E-3</v>
      </c>
      <c r="F309" s="354">
        <v>7.6750000000000004E-3</v>
      </c>
    </row>
    <row r="310" spans="1:6" ht="12" thickBot="1">
      <c r="A310" s="352">
        <v>41311</v>
      </c>
      <c r="B310" s="353">
        <v>1.9919999999999998E-3</v>
      </c>
      <c r="C310" s="353">
        <v>2.4599999999999999E-3</v>
      </c>
      <c r="D310" s="353">
        <v>2.9299999999999999E-3</v>
      </c>
      <c r="E310" s="353">
        <v>4.679E-3</v>
      </c>
      <c r="F310" s="354">
        <v>7.6949999999999996E-3</v>
      </c>
    </row>
    <row r="311" spans="1:6" ht="12" thickBot="1">
      <c r="A311" s="352">
        <v>41310</v>
      </c>
      <c r="B311" s="353">
        <v>1.9919999999999998E-3</v>
      </c>
      <c r="C311" s="353">
        <v>2.4550000000000002E-3</v>
      </c>
      <c r="D311" s="353">
        <v>2.9550000000000002E-3</v>
      </c>
      <c r="E311" s="353">
        <v>4.6889999999999996E-3</v>
      </c>
      <c r="F311" s="354">
        <v>7.705E-3</v>
      </c>
    </row>
    <row r="312" spans="1:6" ht="12" thickBot="1">
      <c r="A312" s="352">
        <v>41309</v>
      </c>
      <c r="B312" s="353">
        <v>1.9819999999999998E-3</v>
      </c>
      <c r="C312" s="353">
        <v>2.4550000000000002E-3</v>
      </c>
      <c r="D312" s="353">
        <v>2.9550000000000002E-3</v>
      </c>
      <c r="E312" s="353">
        <v>4.6690000000000004E-3</v>
      </c>
      <c r="F312" s="354">
        <v>7.7299999999999999E-3</v>
      </c>
    </row>
    <row r="313" spans="1:6" ht="12" thickBot="1">
      <c r="A313" s="352">
        <v>41306</v>
      </c>
      <c r="B313" s="353">
        <v>1.9919999999999998E-3</v>
      </c>
      <c r="C313" s="353">
        <v>2.4650000000000002E-3</v>
      </c>
      <c r="D313" s="353">
        <v>2.9550000000000002E-3</v>
      </c>
      <c r="E313" s="353">
        <v>4.679E-3</v>
      </c>
      <c r="F313" s="354">
        <v>7.77E-3</v>
      </c>
    </row>
    <row r="314" spans="1:6" ht="12" thickBot="1">
      <c r="A314" s="352">
        <v>41305</v>
      </c>
      <c r="B314" s="353">
        <v>1.9970000000000001E-3</v>
      </c>
      <c r="C314" s="353">
        <v>2.4550000000000002E-3</v>
      </c>
      <c r="D314" s="353">
        <v>2.98E-3</v>
      </c>
      <c r="E314" s="353">
        <v>4.6839999999999998E-3</v>
      </c>
      <c r="F314" s="354">
        <v>7.8100000000000001E-3</v>
      </c>
    </row>
    <row r="315" spans="1:6" ht="12" thickBot="1">
      <c r="A315" s="352">
        <v>41304</v>
      </c>
      <c r="B315" s="353">
        <v>2.0170000000000001E-3</v>
      </c>
      <c r="C315" s="353">
        <v>2.4550000000000002E-3</v>
      </c>
      <c r="D315" s="353">
        <v>2.9849999999999998E-3</v>
      </c>
      <c r="E315" s="353">
        <v>4.7314999999999996E-3</v>
      </c>
      <c r="F315" s="354">
        <v>7.9050000000000006E-3</v>
      </c>
    </row>
    <row r="316" spans="1:6" ht="12" thickBot="1">
      <c r="A316" s="352">
        <v>41303</v>
      </c>
      <c r="B316" s="353">
        <v>2.0170000000000001E-3</v>
      </c>
      <c r="C316" s="353">
        <v>2.4650000000000002E-3</v>
      </c>
      <c r="D316" s="353">
        <v>3.0049999999999999E-3</v>
      </c>
      <c r="E316" s="353">
        <v>4.7574999999999996E-3</v>
      </c>
      <c r="F316" s="354">
        <v>7.9550000000000003E-3</v>
      </c>
    </row>
    <row r="317" spans="1:6" ht="12" thickBot="1">
      <c r="A317" s="352">
        <v>41302</v>
      </c>
      <c r="B317" s="353">
        <v>2.0270000000000002E-3</v>
      </c>
      <c r="C317" s="353">
        <v>2.4750000000000002E-3</v>
      </c>
      <c r="D317" s="353">
        <v>3.0149999999999999E-3</v>
      </c>
      <c r="E317" s="353">
        <v>4.7574999999999996E-3</v>
      </c>
      <c r="F317" s="354">
        <v>7.9749999999999995E-3</v>
      </c>
    </row>
    <row r="318" spans="1:6" ht="12" thickBot="1">
      <c r="A318" s="352">
        <v>41299</v>
      </c>
      <c r="B318" s="353">
        <v>2.0370000000000002E-3</v>
      </c>
      <c r="C318" s="353">
        <v>2.4849999999999998E-3</v>
      </c>
      <c r="D318" s="353">
        <v>3.0049999999999999E-3</v>
      </c>
      <c r="E318" s="353">
        <v>4.7650000000000001E-3</v>
      </c>
      <c r="F318" s="354">
        <v>7.9649999999999999E-3</v>
      </c>
    </row>
    <row r="319" spans="1:6" ht="12" thickBot="1">
      <c r="A319" s="352">
        <v>41298</v>
      </c>
      <c r="B319" s="353">
        <v>2.0370000000000002E-3</v>
      </c>
      <c r="C319" s="353">
        <v>2.4849999999999998E-3</v>
      </c>
      <c r="D319" s="353">
        <v>3.0049999999999999E-3</v>
      </c>
      <c r="E319" s="353">
        <v>4.7650000000000001E-3</v>
      </c>
      <c r="F319" s="354">
        <v>7.9850000000000008E-3</v>
      </c>
    </row>
    <row r="320" spans="1:6" ht="12" thickBot="1">
      <c r="A320" s="352">
        <v>41297</v>
      </c>
      <c r="B320" s="353">
        <v>2.0370000000000002E-3</v>
      </c>
      <c r="C320" s="353">
        <v>2.4949999999999998E-3</v>
      </c>
      <c r="D320" s="353">
        <v>3.0100000000000001E-3</v>
      </c>
      <c r="E320" s="353">
        <v>4.8050000000000002E-3</v>
      </c>
      <c r="F320" s="354">
        <v>8.0750000000000006E-3</v>
      </c>
    </row>
    <row r="321" spans="1:6" ht="12" thickBot="1">
      <c r="A321" s="352">
        <v>41296</v>
      </c>
      <c r="B321" s="353">
        <v>2.0470000000000002E-3</v>
      </c>
      <c r="C321" s="353">
        <v>2.4949999999999998E-3</v>
      </c>
      <c r="D321" s="353">
        <v>3.0200000000000001E-3</v>
      </c>
      <c r="E321" s="353">
        <v>4.8349999999999999E-3</v>
      </c>
      <c r="F321" s="354">
        <v>8.09E-3</v>
      </c>
    </row>
    <row r="322" spans="1:6" ht="12" thickBot="1">
      <c r="A322" s="352">
        <v>41295</v>
      </c>
      <c r="B322" s="353">
        <v>2.0470000000000002E-3</v>
      </c>
      <c r="C322" s="353">
        <v>2.4949999999999998E-3</v>
      </c>
      <c r="D322" s="353">
        <v>3.0200000000000001E-3</v>
      </c>
      <c r="E322" s="353">
        <v>4.8349999999999999E-3</v>
      </c>
      <c r="F322" s="354">
        <v>8.09E-3</v>
      </c>
    </row>
    <row r="323" spans="1:6" ht="12" thickBot="1">
      <c r="A323" s="352">
        <v>41292</v>
      </c>
      <c r="B323" s="353">
        <v>2.0470000000000002E-3</v>
      </c>
      <c r="C323" s="353">
        <v>2.4949999999999998E-3</v>
      </c>
      <c r="D323" s="353">
        <v>3.0200000000000001E-3</v>
      </c>
      <c r="E323" s="353">
        <v>4.8450000000000003E-3</v>
      </c>
      <c r="F323" s="354">
        <v>8.09E-3</v>
      </c>
    </row>
    <row r="324" spans="1:6" ht="12" thickBot="1">
      <c r="A324" s="352">
        <v>41291</v>
      </c>
      <c r="B324" s="353">
        <v>2.0470000000000002E-3</v>
      </c>
      <c r="C324" s="353">
        <v>2.5000000000000001E-3</v>
      </c>
      <c r="D324" s="353">
        <v>3.0200000000000001E-3</v>
      </c>
      <c r="E324" s="353">
        <v>4.8650000000000004E-3</v>
      </c>
      <c r="F324" s="354">
        <v>8.0999999999999996E-3</v>
      </c>
    </row>
    <row r="325" spans="1:6" ht="12" thickBot="1">
      <c r="A325" s="352">
        <v>41290</v>
      </c>
      <c r="B325" s="353">
        <v>2.0569999999999998E-3</v>
      </c>
      <c r="C325" s="353">
        <v>2.5000000000000001E-3</v>
      </c>
      <c r="D325" s="353">
        <v>3.0300000000000001E-3</v>
      </c>
      <c r="E325" s="353">
        <v>4.875E-3</v>
      </c>
      <c r="F325" s="354">
        <v>8.0949999999999998E-3</v>
      </c>
    </row>
    <row r="326" spans="1:6" ht="12" thickBot="1">
      <c r="A326" s="352">
        <v>41289</v>
      </c>
      <c r="B326" s="353">
        <v>2.0569999999999998E-3</v>
      </c>
      <c r="C326" s="353">
        <v>2.5000000000000001E-3</v>
      </c>
      <c r="D326" s="353">
        <v>3.0300000000000001E-3</v>
      </c>
      <c r="E326" s="353">
        <v>4.8999999999999998E-3</v>
      </c>
      <c r="F326" s="354">
        <v>8.1399999999999997E-3</v>
      </c>
    </row>
    <row r="327" spans="1:6" ht="12" thickBot="1">
      <c r="A327" s="352">
        <v>41288</v>
      </c>
      <c r="B327" s="353">
        <v>2.0569999999999998E-3</v>
      </c>
      <c r="C327" s="353">
        <v>2.5000000000000001E-3</v>
      </c>
      <c r="D327" s="353">
        <v>3.0400000000000002E-3</v>
      </c>
      <c r="E327" s="353">
        <v>4.9100000000000003E-3</v>
      </c>
      <c r="F327" s="354">
        <v>8.1899999999999994E-3</v>
      </c>
    </row>
    <row r="328" spans="1:6" ht="12" thickBot="1">
      <c r="A328" s="352">
        <v>41285</v>
      </c>
      <c r="B328" s="353">
        <v>2.0569999999999998E-3</v>
      </c>
      <c r="C328" s="353">
        <v>2.5100000000000001E-3</v>
      </c>
      <c r="D328" s="353">
        <v>3.0400000000000002E-3</v>
      </c>
      <c r="E328" s="353">
        <v>4.96E-3</v>
      </c>
      <c r="F328" s="354">
        <v>8.2100000000000003E-3</v>
      </c>
    </row>
    <row r="329" spans="1:6" ht="12" thickBot="1">
      <c r="A329" s="352">
        <v>41284</v>
      </c>
      <c r="B329" s="353">
        <v>2.0569999999999998E-3</v>
      </c>
      <c r="C329" s="353">
        <v>2.5100000000000001E-3</v>
      </c>
      <c r="D329" s="353">
        <v>3.0500000000000002E-3</v>
      </c>
      <c r="E329" s="353">
        <v>4.9800000000000001E-3</v>
      </c>
      <c r="F329" s="354">
        <v>8.2299999999999995E-3</v>
      </c>
    </row>
    <row r="330" spans="1:6" ht="12" thickBot="1">
      <c r="A330" s="352">
        <v>41283</v>
      </c>
      <c r="B330" s="353">
        <v>2.0669999999999998E-3</v>
      </c>
      <c r="C330" s="353">
        <v>2.5200000000000001E-3</v>
      </c>
      <c r="D330" s="353">
        <v>3.0500000000000002E-3</v>
      </c>
      <c r="E330" s="353">
        <v>5.0000000000000001E-3</v>
      </c>
      <c r="F330" s="354">
        <v>8.3400000000000002E-3</v>
      </c>
    </row>
    <row r="331" spans="1:6" ht="12" thickBot="1">
      <c r="A331" s="352">
        <v>41282</v>
      </c>
      <c r="B331" s="353">
        <v>2.0769999999999999E-3</v>
      </c>
      <c r="C331" s="353">
        <v>2.5200000000000001E-3</v>
      </c>
      <c r="D331" s="353">
        <v>3.0500000000000002E-3</v>
      </c>
      <c r="E331" s="353">
        <v>5.0025E-3</v>
      </c>
      <c r="F331" s="354">
        <v>8.345E-3</v>
      </c>
    </row>
    <row r="332" spans="1:6" ht="12" thickBot="1">
      <c r="A332" s="352">
        <v>41278</v>
      </c>
      <c r="B332" s="353">
        <v>2.0769999999999999E-3</v>
      </c>
      <c r="C332" s="353">
        <v>2.5249999999999999E-3</v>
      </c>
      <c r="D332" s="353">
        <v>3.0500000000000002E-3</v>
      </c>
      <c r="E332" s="353">
        <v>5.0124999999999996E-3</v>
      </c>
      <c r="F332" s="354">
        <v>8.3850000000000001E-3</v>
      </c>
    </row>
    <row r="333" spans="1:6" ht="12" thickBot="1">
      <c r="A333" s="352">
        <v>41277</v>
      </c>
      <c r="B333" s="353">
        <v>2.0769999999999999E-3</v>
      </c>
      <c r="C333" s="353">
        <v>2.5200000000000001E-3</v>
      </c>
      <c r="D333" s="353">
        <v>3.0500000000000002E-3</v>
      </c>
      <c r="E333" s="353">
        <v>5.0324999999999996E-3</v>
      </c>
      <c r="F333" s="354">
        <v>8.3949999999999997E-3</v>
      </c>
    </row>
    <row r="334" spans="1:6" ht="12" thickBot="1">
      <c r="A334" s="355">
        <v>41276</v>
      </c>
      <c r="B334" s="356">
        <v>2.0769999999999999E-3</v>
      </c>
      <c r="C334" s="356">
        <v>2.5249999999999999E-3</v>
      </c>
      <c r="D334" s="356">
        <v>3.0500000000000002E-3</v>
      </c>
      <c r="E334" s="356">
        <v>5.0625000000000002E-3</v>
      </c>
      <c r="F334" s="357">
        <v>8.4250000000000002E-3</v>
      </c>
    </row>
    <row r="335" spans="1:6">
      <c r="A335" s="346">
        <v>2012</v>
      </c>
      <c r="B335" s="347"/>
      <c r="C335" s="347"/>
      <c r="D335" s="347"/>
      <c r="E335" s="347"/>
      <c r="F335" s="347"/>
    </row>
    <row r="336" spans="1:6" ht="12" thickBot="1">
      <c r="A336" s="348"/>
      <c r="B336" s="610"/>
      <c r="C336" s="611"/>
      <c r="D336" s="611"/>
      <c r="E336" s="611"/>
      <c r="F336" s="612"/>
    </row>
    <row r="337" spans="1:6" ht="12" thickBot="1">
      <c r="A337" s="349" t="s">
        <v>1061</v>
      </c>
      <c r="B337" s="350" t="s">
        <v>1062</v>
      </c>
      <c r="C337" s="350" t="s">
        <v>1063</v>
      </c>
      <c r="D337" s="350" t="s">
        <v>1064</v>
      </c>
      <c r="E337" s="350" t="s">
        <v>1065</v>
      </c>
      <c r="F337" s="351" t="s">
        <v>1066</v>
      </c>
    </row>
    <row r="338" spans="1:6" ht="12" thickBot="1">
      <c r="A338" s="352">
        <v>41274</v>
      </c>
      <c r="B338" s="353">
        <v>2.0869999999999999E-3</v>
      </c>
      <c r="C338" s="353">
        <v>2.5349999999999999E-3</v>
      </c>
      <c r="D338" s="353">
        <v>3.0599999999999998E-3</v>
      </c>
      <c r="E338" s="353">
        <v>5.0825000000000002E-3</v>
      </c>
      <c r="F338" s="354">
        <v>8.4349999999999998E-3</v>
      </c>
    </row>
    <row r="339" spans="1:6" ht="12" thickBot="1">
      <c r="A339" s="352">
        <v>41271</v>
      </c>
      <c r="B339" s="353">
        <v>2.0969999999999999E-3</v>
      </c>
      <c r="C339" s="353">
        <v>2.5349999999999999E-3</v>
      </c>
      <c r="D339" s="353">
        <v>3.0799999999999998E-3</v>
      </c>
      <c r="E339" s="353">
        <v>5.0825000000000002E-3</v>
      </c>
      <c r="F339" s="354">
        <v>8.4349999999999998E-3</v>
      </c>
    </row>
    <row r="340" spans="1:6" ht="12" thickBot="1">
      <c r="A340" s="352">
        <v>41270</v>
      </c>
      <c r="B340" s="353">
        <v>2.117E-3</v>
      </c>
      <c r="C340" s="353">
        <v>2.5500000000000002E-3</v>
      </c>
      <c r="D340" s="353">
        <v>3.1099999999999999E-3</v>
      </c>
      <c r="E340" s="353">
        <v>5.1025000000000003E-3</v>
      </c>
      <c r="F340" s="354">
        <v>8.4349999999999998E-3</v>
      </c>
    </row>
    <row r="341" spans="1:6" ht="12" thickBot="1">
      <c r="A341" s="352">
        <v>41269</v>
      </c>
      <c r="B341" s="353">
        <v>2.0969999999999999E-3</v>
      </c>
      <c r="C341" s="353">
        <v>2.5400000000000002E-3</v>
      </c>
      <c r="D341" s="353">
        <v>3.0999999999999999E-3</v>
      </c>
      <c r="E341" s="353">
        <v>5.1025000000000003E-3</v>
      </c>
      <c r="F341" s="354">
        <v>8.43E-3</v>
      </c>
    </row>
    <row r="342" spans="1:6" ht="12" thickBot="1">
      <c r="A342" s="352">
        <v>41267</v>
      </c>
      <c r="B342" s="353">
        <v>2.0969999999999999E-3</v>
      </c>
      <c r="C342" s="353">
        <v>2.5400000000000002E-3</v>
      </c>
      <c r="D342" s="353">
        <v>3.0999999999999999E-3</v>
      </c>
      <c r="E342" s="353">
        <v>5.1025000000000003E-3</v>
      </c>
      <c r="F342" s="354">
        <v>8.43E-3</v>
      </c>
    </row>
    <row r="343" spans="1:6" ht="12" thickBot="1">
      <c r="A343" s="352">
        <v>41264</v>
      </c>
      <c r="B343" s="353">
        <v>2.0969999999999999E-3</v>
      </c>
      <c r="C343" s="353">
        <v>2.5400000000000002E-3</v>
      </c>
      <c r="D343" s="353">
        <v>3.0999999999999999E-3</v>
      </c>
      <c r="E343" s="353">
        <v>5.1025000000000003E-3</v>
      </c>
      <c r="F343" s="354">
        <v>8.43E-3</v>
      </c>
    </row>
    <row r="344" spans="1:6" ht="12" thickBot="1">
      <c r="A344" s="352">
        <v>41263</v>
      </c>
      <c r="B344" s="353">
        <v>2.1069999999999999E-3</v>
      </c>
      <c r="C344" s="353">
        <v>2.5400000000000002E-3</v>
      </c>
      <c r="D344" s="353">
        <v>3.0999999999999999E-3</v>
      </c>
      <c r="E344" s="353">
        <v>5.1025000000000003E-3</v>
      </c>
      <c r="F344" s="354">
        <v>8.43E-3</v>
      </c>
    </row>
    <row r="345" spans="1:6" ht="12" thickBot="1">
      <c r="A345" s="352">
        <v>41262</v>
      </c>
      <c r="B345" s="353">
        <v>2.1069999999999999E-3</v>
      </c>
      <c r="C345" s="353">
        <v>2.5349999999999999E-3</v>
      </c>
      <c r="D345" s="353">
        <v>3.0999999999999999E-3</v>
      </c>
      <c r="E345" s="353">
        <v>5.0974999999999996E-3</v>
      </c>
      <c r="F345" s="354">
        <v>8.43E-3</v>
      </c>
    </row>
    <row r="346" spans="1:6" ht="12" thickBot="1">
      <c r="A346" s="352">
        <v>41261</v>
      </c>
      <c r="B346" s="353">
        <v>2.1069999999999999E-3</v>
      </c>
      <c r="C346" s="353">
        <v>2.5300000000000001E-3</v>
      </c>
      <c r="D346" s="353">
        <v>3.0899999999999999E-3</v>
      </c>
      <c r="E346" s="353">
        <v>5.0850000000000001E-3</v>
      </c>
      <c r="F346" s="354">
        <v>8.4250000000000002E-3</v>
      </c>
    </row>
    <row r="347" spans="1:6" ht="12" thickBot="1">
      <c r="A347" s="352">
        <v>41260</v>
      </c>
      <c r="B347" s="353">
        <v>2.0999999999999999E-3</v>
      </c>
      <c r="C347" s="353">
        <v>2.5500000000000002E-3</v>
      </c>
      <c r="D347" s="353">
        <v>3.0899999999999999E-3</v>
      </c>
      <c r="E347" s="353">
        <v>5.0850000000000001E-3</v>
      </c>
      <c r="F347" s="354">
        <v>8.4250000000000002E-3</v>
      </c>
    </row>
    <row r="348" spans="1:6" ht="12" thickBot="1">
      <c r="A348" s="352">
        <v>41257</v>
      </c>
      <c r="B348" s="353">
        <v>2.0899999999999998E-3</v>
      </c>
      <c r="C348" s="353">
        <v>2.5500000000000002E-3</v>
      </c>
      <c r="D348" s="353">
        <v>3.0799999999999998E-3</v>
      </c>
      <c r="E348" s="353">
        <v>5.11E-3</v>
      </c>
      <c r="F348" s="354">
        <v>8.4399999999999996E-3</v>
      </c>
    </row>
    <row r="349" spans="1:6" ht="12" thickBot="1">
      <c r="A349" s="352">
        <v>41256</v>
      </c>
      <c r="B349" s="353">
        <v>2.0899999999999998E-3</v>
      </c>
      <c r="C349" s="353">
        <v>2.5500000000000002E-3</v>
      </c>
      <c r="D349" s="353">
        <v>3.0799999999999998E-3</v>
      </c>
      <c r="E349" s="353">
        <v>5.13E-3</v>
      </c>
      <c r="F349" s="354">
        <v>8.4600000000000005E-3</v>
      </c>
    </row>
    <row r="350" spans="1:6" ht="12" thickBot="1">
      <c r="A350" s="352">
        <v>41255</v>
      </c>
      <c r="B350" s="353">
        <v>2.0899999999999998E-3</v>
      </c>
      <c r="C350" s="353">
        <v>2.5500000000000002E-3</v>
      </c>
      <c r="D350" s="353">
        <v>3.0950000000000001E-3</v>
      </c>
      <c r="E350" s="353">
        <v>5.1450000000000003E-3</v>
      </c>
      <c r="F350" s="354">
        <v>8.4950000000000008E-3</v>
      </c>
    </row>
    <row r="351" spans="1:6" ht="12" thickBot="1">
      <c r="A351" s="352">
        <v>41254</v>
      </c>
      <c r="B351" s="353">
        <v>2.1099999999999999E-3</v>
      </c>
      <c r="C351" s="353">
        <v>2.5600000000000002E-3</v>
      </c>
      <c r="D351" s="353">
        <v>3.0950000000000001E-3</v>
      </c>
      <c r="E351" s="353">
        <v>5.1700000000000001E-3</v>
      </c>
      <c r="F351" s="354">
        <v>8.5199999999999998E-3</v>
      </c>
    </row>
    <row r="352" spans="1:6" ht="12" thickBot="1">
      <c r="A352" s="352">
        <v>41253</v>
      </c>
      <c r="B352" s="353">
        <v>2.1199999999999999E-3</v>
      </c>
      <c r="C352" s="353">
        <v>2.5600000000000002E-3</v>
      </c>
      <c r="D352" s="353">
        <v>3.1050000000000001E-3</v>
      </c>
      <c r="E352" s="353">
        <v>5.1799999999999997E-3</v>
      </c>
      <c r="F352" s="354">
        <v>8.5299999999999994E-3</v>
      </c>
    </row>
    <row r="353" spans="1:6" ht="12" thickBot="1">
      <c r="A353" s="352">
        <v>41250</v>
      </c>
      <c r="B353" s="353">
        <v>2.1199999999999999E-3</v>
      </c>
      <c r="C353" s="353">
        <v>2.5600000000000002E-3</v>
      </c>
      <c r="D353" s="353">
        <v>3.0950000000000001E-3</v>
      </c>
      <c r="E353" s="353">
        <v>5.1900000000000002E-3</v>
      </c>
      <c r="F353" s="354">
        <v>8.5299999999999994E-3</v>
      </c>
    </row>
    <row r="354" spans="1:6" ht="12" thickBot="1">
      <c r="A354" s="352">
        <v>41249</v>
      </c>
      <c r="B354" s="353">
        <v>2.1299999999999999E-3</v>
      </c>
      <c r="C354" s="353">
        <v>2.5799999999999998E-3</v>
      </c>
      <c r="D354" s="353">
        <v>3.1050000000000001E-3</v>
      </c>
      <c r="E354" s="353">
        <v>5.2399999999999999E-3</v>
      </c>
      <c r="F354" s="354">
        <v>8.5500000000000003E-3</v>
      </c>
    </row>
    <row r="355" spans="1:6" ht="12" thickBot="1">
      <c r="A355" s="352">
        <v>41248</v>
      </c>
      <c r="B355" s="353">
        <v>2.1299999999999999E-3</v>
      </c>
      <c r="C355" s="353">
        <v>2.5799999999999998E-3</v>
      </c>
      <c r="D355" s="353">
        <v>3.1050000000000001E-3</v>
      </c>
      <c r="E355" s="353">
        <v>5.2500000000000003E-3</v>
      </c>
      <c r="F355" s="354">
        <v>8.5900000000000004E-3</v>
      </c>
    </row>
    <row r="356" spans="1:6" ht="12" thickBot="1">
      <c r="A356" s="352">
        <v>41247</v>
      </c>
      <c r="B356" s="353">
        <v>2.1299999999999999E-3</v>
      </c>
      <c r="C356" s="353">
        <v>2.5799999999999998E-3</v>
      </c>
      <c r="D356" s="353">
        <v>3.1050000000000001E-3</v>
      </c>
      <c r="E356" s="353">
        <v>5.2500000000000003E-3</v>
      </c>
      <c r="F356" s="354">
        <v>8.5900000000000004E-3</v>
      </c>
    </row>
    <row r="357" spans="1:6" ht="12" thickBot="1">
      <c r="A357" s="352">
        <v>41246</v>
      </c>
      <c r="B357" s="353">
        <v>2.15E-3</v>
      </c>
      <c r="C357" s="353">
        <v>2.5799999999999998E-3</v>
      </c>
      <c r="D357" s="353">
        <v>3.1050000000000001E-3</v>
      </c>
      <c r="E357" s="353">
        <v>5.2599999999999999E-3</v>
      </c>
      <c r="F357" s="354">
        <v>8.6E-3</v>
      </c>
    </row>
    <row r="358" spans="1:6" ht="12" thickBot="1">
      <c r="A358" s="352">
        <v>41243</v>
      </c>
      <c r="B358" s="353">
        <v>2.1450000000000002E-3</v>
      </c>
      <c r="C358" s="353">
        <v>2.5699999999999998E-3</v>
      </c>
      <c r="D358" s="353">
        <v>3.1050000000000001E-3</v>
      </c>
      <c r="E358" s="353">
        <v>5.2599999999999999E-3</v>
      </c>
      <c r="F358" s="354">
        <v>8.6E-3</v>
      </c>
    </row>
    <row r="359" spans="1:6" ht="12" thickBot="1">
      <c r="A359" s="352">
        <v>41242</v>
      </c>
      <c r="B359" s="353">
        <v>2.1350000000000002E-3</v>
      </c>
      <c r="C359" s="353">
        <v>2.5699999999999998E-3</v>
      </c>
      <c r="D359" s="353">
        <v>3.1050000000000001E-3</v>
      </c>
      <c r="E359" s="353">
        <v>5.2700000000000004E-3</v>
      </c>
      <c r="F359" s="354">
        <v>8.6099999999999996E-3</v>
      </c>
    </row>
    <row r="360" spans="1:6" ht="12" thickBot="1">
      <c r="A360" s="352">
        <v>41241</v>
      </c>
      <c r="B360" s="353">
        <v>2.0899999999999998E-3</v>
      </c>
      <c r="C360" s="353">
        <v>2.5699999999999998E-3</v>
      </c>
      <c r="D360" s="353">
        <v>3.1050000000000001E-3</v>
      </c>
      <c r="E360" s="353">
        <v>5.28E-3</v>
      </c>
      <c r="F360" s="354">
        <v>8.6E-3</v>
      </c>
    </row>
    <row r="361" spans="1:6" ht="12" thickBot="1">
      <c r="A361" s="352">
        <v>41240</v>
      </c>
      <c r="B361" s="353">
        <v>2.0899999999999998E-3</v>
      </c>
      <c r="C361" s="353">
        <v>2.5699999999999998E-3</v>
      </c>
      <c r="D361" s="353">
        <v>3.1150000000000001E-3</v>
      </c>
      <c r="E361" s="353">
        <v>5.28E-3</v>
      </c>
      <c r="F361" s="354">
        <v>8.6E-3</v>
      </c>
    </row>
    <row r="362" spans="1:6" ht="12" thickBot="1">
      <c r="A362" s="352">
        <v>41239</v>
      </c>
      <c r="B362" s="353">
        <v>2.0899999999999998E-3</v>
      </c>
      <c r="C362" s="353">
        <v>2.5699999999999998E-3</v>
      </c>
      <c r="D362" s="353">
        <v>3.1150000000000001E-3</v>
      </c>
      <c r="E362" s="353">
        <v>5.2700000000000004E-3</v>
      </c>
      <c r="F362" s="354">
        <v>8.6E-3</v>
      </c>
    </row>
    <row r="363" spans="1:6" ht="12" thickBot="1">
      <c r="A363" s="352">
        <v>41236</v>
      </c>
      <c r="B363" s="353">
        <v>2.085E-3</v>
      </c>
      <c r="C363" s="353">
        <v>2.5699999999999998E-3</v>
      </c>
      <c r="D363" s="353">
        <v>3.1150000000000001E-3</v>
      </c>
      <c r="E363" s="353">
        <v>5.2700000000000004E-3</v>
      </c>
      <c r="F363" s="354">
        <v>8.5900000000000004E-3</v>
      </c>
    </row>
    <row r="364" spans="1:6" ht="12" thickBot="1">
      <c r="A364" s="352">
        <v>41235</v>
      </c>
      <c r="B364" s="353">
        <v>2.075E-3</v>
      </c>
      <c r="C364" s="353">
        <v>2.5699999999999998E-3</v>
      </c>
      <c r="D364" s="353">
        <v>3.1150000000000001E-3</v>
      </c>
      <c r="E364" s="353">
        <v>5.2700000000000004E-3</v>
      </c>
      <c r="F364" s="354">
        <v>8.6E-3</v>
      </c>
    </row>
    <row r="365" spans="1:6" ht="12" thickBot="1">
      <c r="A365" s="352">
        <v>41234</v>
      </c>
      <c r="B365" s="353">
        <v>2.075E-3</v>
      </c>
      <c r="C365" s="353">
        <v>2.5699999999999998E-3</v>
      </c>
      <c r="D365" s="353">
        <v>3.1150000000000001E-3</v>
      </c>
      <c r="E365" s="353">
        <v>5.2700000000000004E-3</v>
      </c>
      <c r="F365" s="354">
        <v>8.6099999999999996E-3</v>
      </c>
    </row>
    <row r="366" spans="1:6" ht="12" thickBot="1">
      <c r="A366" s="352">
        <v>41233</v>
      </c>
      <c r="B366" s="353">
        <v>2.075E-3</v>
      </c>
      <c r="C366" s="353">
        <v>2.5699999999999998E-3</v>
      </c>
      <c r="D366" s="353">
        <v>3.1050000000000001E-3</v>
      </c>
      <c r="E366" s="353">
        <v>5.2700000000000004E-3</v>
      </c>
      <c r="F366" s="354">
        <v>8.6E-3</v>
      </c>
    </row>
    <row r="367" spans="1:6" ht="12" thickBot="1">
      <c r="A367" s="352">
        <v>41232</v>
      </c>
      <c r="B367" s="353">
        <v>2.075E-3</v>
      </c>
      <c r="C367" s="353">
        <v>2.5699999999999998E-3</v>
      </c>
      <c r="D367" s="353">
        <v>3.1150000000000001E-3</v>
      </c>
      <c r="E367" s="353">
        <v>5.28E-3</v>
      </c>
      <c r="F367" s="354">
        <v>8.6E-3</v>
      </c>
    </row>
    <row r="368" spans="1:6" ht="12" thickBot="1">
      <c r="A368" s="352">
        <v>41229</v>
      </c>
      <c r="B368" s="353">
        <v>2.075E-3</v>
      </c>
      <c r="C368" s="353">
        <v>2.5699999999999998E-3</v>
      </c>
      <c r="D368" s="353">
        <v>3.1150000000000001E-3</v>
      </c>
      <c r="E368" s="353">
        <v>5.2599999999999999E-3</v>
      </c>
      <c r="F368" s="354">
        <v>8.6E-3</v>
      </c>
    </row>
    <row r="369" spans="1:6" ht="12" thickBot="1">
      <c r="A369" s="352">
        <v>41228</v>
      </c>
      <c r="B369" s="353">
        <v>2.075E-3</v>
      </c>
      <c r="C369" s="353">
        <v>2.5699999999999998E-3</v>
      </c>
      <c r="D369" s="353">
        <v>3.1099999999999999E-3</v>
      </c>
      <c r="E369" s="353">
        <v>5.2300000000000003E-3</v>
      </c>
      <c r="F369" s="354">
        <v>8.5950000000000002E-3</v>
      </c>
    </row>
    <row r="370" spans="1:6" ht="12" thickBot="1">
      <c r="A370" s="352">
        <v>41227</v>
      </c>
      <c r="B370" s="353">
        <v>2.075E-3</v>
      </c>
      <c r="C370" s="353">
        <v>2.5899999999999999E-3</v>
      </c>
      <c r="D370" s="353">
        <v>3.0999999999999999E-3</v>
      </c>
      <c r="E370" s="353">
        <v>5.2300000000000003E-3</v>
      </c>
      <c r="F370" s="354">
        <v>8.6049999999999998E-3</v>
      </c>
    </row>
    <row r="371" spans="1:6" ht="12" thickBot="1">
      <c r="A371" s="352">
        <v>41226</v>
      </c>
      <c r="B371" s="353">
        <v>2.0799999999999998E-3</v>
      </c>
      <c r="C371" s="353">
        <v>2.5899999999999999E-3</v>
      </c>
      <c r="D371" s="353">
        <v>3.0999999999999999E-3</v>
      </c>
      <c r="E371" s="353">
        <v>5.2399999999999999E-3</v>
      </c>
      <c r="F371" s="354">
        <v>8.6149999999999994E-3</v>
      </c>
    </row>
    <row r="372" spans="1:6" ht="12" thickBot="1">
      <c r="A372" s="352">
        <v>41222</v>
      </c>
      <c r="B372" s="353">
        <v>2.0899999999999998E-3</v>
      </c>
      <c r="C372" s="353">
        <v>2.5950000000000001E-3</v>
      </c>
      <c r="D372" s="353">
        <v>3.0999999999999999E-3</v>
      </c>
      <c r="E372" s="353">
        <v>5.2649999999999997E-3</v>
      </c>
      <c r="F372" s="354">
        <v>8.6199999999999992E-3</v>
      </c>
    </row>
    <row r="373" spans="1:6" ht="12" thickBot="1">
      <c r="A373" s="352">
        <v>41221</v>
      </c>
      <c r="B373" s="353">
        <v>2.0899999999999998E-3</v>
      </c>
      <c r="C373" s="353">
        <v>2.5950000000000001E-3</v>
      </c>
      <c r="D373" s="353">
        <v>3.0999999999999999E-3</v>
      </c>
      <c r="E373" s="353">
        <v>5.2649999999999997E-3</v>
      </c>
      <c r="F373" s="354">
        <v>8.6199999999999992E-3</v>
      </c>
    </row>
    <row r="374" spans="1:6" ht="12" thickBot="1">
      <c r="A374" s="352">
        <v>41220</v>
      </c>
      <c r="B374" s="353">
        <v>2.0899999999999998E-3</v>
      </c>
      <c r="C374" s="353">
        <v>2.5950000000000001E-3</v>
      </c>
      <c r="D374" s="353">
        <v>3.0999999999999999E-3</v>
      </c>
      <c r="E374" s="353">
        <v>5.2950000000000002E-3</v>
      </c>
      <c r="F374" s="354">
        <v>8.6599999999999993E-3</v>
      </c>
    </row>
    <row r="375" spans="1:6" ht="12" thickBot="1">
      <c r="A375" s="352">
        <v>41219</v>
      </c>
      <c r="B375" s="353">
        <v>2.0899999999999998E-3</v>
      </c>
      <c r="C375" s="353">
        <v>2.5950000000000001E-3</v>
      </c>
      <c r="D375" s="353">
        <v>3.1175E-3</v>
      </c>
      <c r="E375" s="353">
        <v>5.3350000000000003E-3</v>
      </c>
      <c r="F375" s="354">
        <v>8.7150000000000005E-3</v>
      </c>
    </row>
    <row r="376" spans="1:6" ht="12" thickBot="1">
      <c r="A376" s="352">
        <v>41215</v>
      </c>
      <c r="B376" s="353">
        <v>2.0899999999999998E-3</v>
      </c>
      <c r="C376" s="353">
        <v>2.6050000000000001E-3</v>
      </c>
      <c r="D376" s="353">
        <v>3.1275000000000001E-3</v>
      </c>
      <c r="E376" s="353">
        <v>5.3800000000000002E-3</v>
      </c>
      <c r="F376" s="354">
        <v>8.7500000000000008E-3</v>
      </c>
    </row>
    <row r="377" spans="1:6" ht="12" thickBot="1">
      <c r="A377" s="352">
        <v>41214</v>
      </c>
      <c r="B377" s="353">
        <v>2.0999999999999999E-3</v>
      </c>
      <c r="C377" s="353">
        <v>2.6050000000000001E-3</v>
      </c>
      <c r="D377" s="353">
        <v>3.1275000000000001E-3</v>
      </c>
      <c r="E377" s="353">
        <v>5.3940000000000004E-3</v>
      </c>
      <c r="F377" s="354">
        <v>8.7550000000000006E-3</v>
      </c>
    </row>
    <row r="378" spans="1:6" ht="12" thickBot="1">
      <c r="A378" s="352">
        <v>41213</v>
      </c>
      <c r="B378" s="353">
        <v>2.1199999999999999E-3</v>
      </c>
      <c r="C378" s="353">
        <v>2.6099999999999999E-3</v>
      </c>
      <c r="D378" s="353">
        <v>3.1275000000000001E-3</v>
      </c>
      <c r="E378" s="353">
        <v>5.3990000000000002E-3</v>
      </c>
      <c r="F378" s="354">
        <v>8.7550000000000006E-3</v>
      </c>
    </row>
    <row r="379" spans="1:6" ht="12" thickBot="1">
      <c r="A379" s="352">
        <v>41212</v>
      </c>
      <c r="B379" s="353">
        <v>2.1199999999999999E-3</v>
      </c>
      <c r="C379" s="353">
        <v>2.6099999999999999E-3</v>
      </c>
      <c r="D379" s="353">
        <v>3.1275000000000001E-3</v>
      </c>
      <c r="E379" s="353">
        <v>5.3990000000000002E-3</v>
      </c>
      <c r="F379" s="354">
        <v>8.7749999999999998E-3</v>
      </c>
    </row>
    <row r="380" spans="1:6" ht="12" thickBot="1">
      <c r="A380" s="352">
        <v>41211</v>
      </c>
      <c r="B380" s="353">
        <v>2.1199999999999999E-3</v>
      </c>
      <c r="C380" s="353">
        <v>2.6050000000000001E-3</v>
      </c>
      <c r="D380" s="353">
        <v>3.1275000000000001E-3</v>
      </c>
      <c r="E380" s="353">
        <v>5.4289999999999998E-3</v>
      </c>
      <c r="F380" s="354">
        <v>8.7749999999999998E-3</v>
      </c>
    </row>
    <row r="381" spans="1:6" ht="12" thickBot="1">
      <c r="A381" s="352">
        <v>41208</v>
      </c>
      <c r="B381" s="353">
        <v>2.1199999999999999E-3</v>
      </c>
      <c r="C381" s="353">
        <v>2.6099999999999999E-3</v>
      </c>
      <c r="D381" s="353">
        <v>3.1324999999999999E-3</v>
      </c>
      <c r="E381" s="353">
        <v>5.4489999999999999E-3</v>
      </c>
      <c r="F381" s="354">
        <v>8.8050000000000003E-3</v>
      </c>
    </row>
    <row r="382" spans="1:6" ht="12" thickBot="1">
      <c r="A382" s="352">
        <v>41207</v>
      </c>
      <c r="B382" s="353">
        <v>2.1099999999999999E-3</v>
      </c>
      <c r="C382" s="353">
        <v>2.5999999999999999E-3</v>
      </c>
      <c r="D382" s="353">
        <v>3.1324999999999999E-3</v>
      </c>
      <c r="E382" s="353">
        <v>5.4689999999999999E-3</v>
      </c>
      <c r="F382" s="354">
        <v>8.8050000000000003E-3</v>
      </c>
    </row>
    <row r="383" spans="1:6" ht="12" thickBot="1">
      <c r="A383" s="352">
        <v>41206</v>
      </c>
      <c r="B383" s="353">
        <v>2.1050000000000001E-3</v>
      </c>
      <c r="C383" s="353">
        <v>2.6050000000000001E-3</v>
      </c>
      <c r="D383" s="353">
        <v>3.1424999999999999E-3</v>
      </c>
      <c r="E383" s="353">
        <v>5.4790000000000004E-3</v>
      </c>
      <c r="F383" s="354">
        <v>8.8149999999999999E-3</v>
      </c>
    </row>
    <row r="384" spans="1:6" ht="12" thickBot="1">
      <c r="A384" s="352">
        <v>41205</v>
      </c>
      <c r="B384" s="353">
        <v>2.1069999999999999E-3</v>
      </c>
      <c r="C384" s="353">
        <v>2.6050000000000001E-3</v>
      </c>
      <c r="D384" s="353">
        <v>3.1524999999999999E-3</v>
      </c>
      <c r="E384" s="353">
        <v>5.5339999999999999E-3</v>
      </c>
      <c r="F384" s="354">
        <v>8.8800000000000007E-3</v>
      </c>
    </row>
    <row r="385" spans="1:6" ht="12" thickBot="1">
      <c r="A385" s="352">
        <v>41204</v>
      </c>
      <c r="B385" s="353">
        <v>2.1069999999999999E-3</v>
      </c>
      <c r="C385" s="353">
        <v>2.6099999999999999E-3</v>
      </c>
      <c r="D385" s="353">
        <v>3.1575000000000002E-3</v>
      </c>
      <c r="E385" s="353">
        <v>5.5589999999999997E-3</v>
      </c>
      <c r="F385" s="354">
        <v>8.9049999999999997E-3</v>
      </c>
    </row>
    <row r="386" spans="1:6" ht="12" thickBot="1">
      <c r="A386" s="352">
        <v>41201</v>
      </c>
      <c r="B386" s="353">
        <v>2.1069999999999999E-3</v>
      </c>
      <c r="C386" s="353">
        <v>2.6150000000000001E-3</v>
      </c>
      <c r="D386" s="353">
        <v>3.1725E-3</v>
      </c>
      <c r="E386" s="353">
        <v>5.594E-3</v>
      </c>
      <c r="F386" s="354">
        <v>8.9650000000000007E-3</v>
      </c>
    </row>
    <row r="387" spans="1:6" ht="12" thickBot="1">
      <c r="A387" s="352">
        <v>41200</v>
      </c>
      <c r="B387" s="353">
        <v>2.1069999999999999E-3</v>
      </c>
      <c r="C387" s="353">
        <v>2.6350000000000002E-3</v>
      </c>
      <c r="D387" s="353">
        <v>3.1874999999999998E-3</v>
      </c>
      <c r="E387" s="353">
        <v>5.659E-3</v>
      </c>
      <c r="F387" s="354">
        <v>9.0100000000000006E-3</v>
      </c>
    </row>
    <row r="388" spans="1:6" ht="12" thickBot="1">
      <c r="A388" s="352">
        <v>41199</v>
      </c>
      <c r="B388" s="353">
        <v>2.117E-3</v>
      </c>
      <c r="C388" s="353">
        <v>2.6424999999999999E-3</v>
      </c>
      <c r="D388" s="353">
        <v>3.2074999999999998E-3</v>
      </c>
      <c r="E388" s="353">
        <v>5.7039999999999999E-3</v>
      </c>
      <c r="F388" s="354">
        <v>9.0550000000000005E-3</v>
      </c>
    </row>
    <row r="389" spans="1:6" ht="12" thickBot="1">
      <c r="A389" s="352">
        <v>41198</v>
      </c>
      <c r="B389" s="353">
        <v>2.1320000000000002E-3</v>
      </c>
      <c r="C389" s="353">
        <v>2.6700000000000001E-3</v>
      </c>
      <c r="D389" s="353">
        <v>3.2475E-3</v>
      </c>
      <c r="E389" s="353">
        <v>5.7840000000000001E-3</v>
      </c>
      <c r="F389" s="354">
        <v>9.1800000000000007E-3</v>
      </c>
    </row>
    <row r="390" spans="1:6" ht="12" thickBot="1">
      <c r="A390" s="352">
        <v>41194</v>
      </c>
      <c r="B390" s="353">
        <v>2.14E-3</v>
      </c>
      <c r="C390" s="353">
        <v>2.7550000000000001E-3</v>
      </c>
      <c r="D390" s="353">
        <v>3.3425E-3</v>
      </c>
      <c r="E390" s="353">
        <v>5.9589999999999999E-3</v>
      </c>
      <c r="F390" s="354">
        <v>9.3600000000000003E-3</v>
      </c>
    </row>
    <row r="391" spans="1:6" ht="12" thickBot="1">
      <c r="A391" s="352">
        <v>41193</v>
      </c>
      <c r="B391" s="353">
        <v>2.14E-3</v>
      </c>
      <c r="C391" s="353">
        <v>2.7799999999999999E-3</v>
      </c>
      <c r="D391" s="353">
        <v>3.4025000000000001E-3</v>
      </c>
      <c r="E391" s="353">
        <v>6.0390000000000001E-3</v>
      </c>
      <c r="F391" s="354">
        <v>9.4149999999999998E-3</v>
      </c>
    </row>
    <row r="392" spans="1:6" ht="12" thickBot="1">
      <c r="A392" s="352">
        <v>41192</v>
      </c>
      <c r="B392" s="353">
        <v>2.14E-3</v>
      </c>
      <c r="C392" s="353">
        <v>2.8E-3</v>
      </c>
      <c r="D392" s="353">
        <v>3.4275E-3</v>
      </c>
      <c r="E392" s="353">
        <v>6.0790000000000002E-3</v>
      </c>
      <c r="F392" s="354">
        <v>9.4450000000000003E-3</v>
      </c>
    </row>
    <row r="393" spans="1:6" ht="12" thickBot="1">
      <c r="A393" s="352">
        <v>41191</v>
      </c>
      <c r="B393" s="353">
        <v>2.1549999999999998E-3</v>
      </c>
      <c r="C393" s="353">
        <v>2.8349999999999998E-3</v>
      </c>
      <c r="D393" s="353">
        <v>3.4675000000000001E-3</v>
      </c>
      <c r="E393" s="353">
        <v>6.1539999999999997E-3</v>
      </c>
      <c r="F393" s="354">
        <v>9.5200000000000007E-3</v>
      </c>
    </row>
    <row r="394" spans="1:6" ht="12" thickBot="1">
      <c r="A394" s="352">
        <v>41190</v>
      </c>
      <c r="B394" s="353">
        <v>2.1749999999999999E-3</v>
      </c>
      <c r="C394" s="353">
        <v>2.8549999999999999E-3</v>
      </c>
      <c r="D394" s="353">
        <v>3.5025E-3</v>
      </c>
      <c r="E394" s="353">
        <v>6.169E-3</v>
      </c>
      <c r="F394" s="354">
        <v>9.5350000000000001E-3</v>
      </c>
    </row>
    <row r="395" spans="1:6" ht="12" thickBot="1">
      <c r="A395" s="352">
        <v>41187</v>
      </c>
      <c r="B395" s="353">
        <v>2.1849999999999999E-3</v>
      </c>
      <c r="C395" s="353">
        <v>2.8549999999999999E-3</v>
      </c>
      <c r="D395" s="353">
        <v>3.5125E-3</v>
      </c>
      <c r="E395" s="353">
        <v>6.1789999999999996E-3</v>
      </c>
      <c r="F395" s="354">
        <v>9.5449999999999997E-3</v>
      </c>
    </row>
    <row r="396" spans="1:6" ht="12" thickBot="1">
      <c r="A396" s="352">
        <v>41186</v>
      </c>
      <c r="B396" s="353">
        <v>2.1849999999999999E-3</v>
      </c>
      <c r="C396" s="353">
        <v>2.875E-3</v>
      </c>
      <c r="D396" s="353">
        <v>3.5225E-3</v>
      </c>
      <c r="E396" s="353">
        <v>6.2040000000000003E-3</v>
      </c>
      <c r="F396" s="354">
        <v>9.5650000000000006E-3</v>
      </c>
    </row>
    <row r="397" spans="1:6" ht="12" thickBot="1">
      <c r="A397" s="352">
        <v>41185</v>
      </c>
      <c r="B397" s="353">
        <v>2.1849999999999999E-3</v>
      </c>
      <c r="C397" s="353">
        <v>2.875E-3</v>
      </c>
      <c r="D397" s="353">
        <v>3.5249999999999999E-3</v>
      </c>
      <c r="E397" s="353">
        <v>6.2240000000000004E-3</v>
      </c>
      <c r="F397" s="354">
        <v>9.5899999999999996E-3</v>
      </c>
    </row>
    <row r="398" spans="1:6" ht="12" thickBot="1">
      <c r="A398" s="352">
        <v>41184</v>
      </c>
      <c r="B398" s="353">
        <v>2.1450000000000002E-3</v>
      </c>
      <c r="C398" s="353">
        <v>2.8549999999999999E-3</v>
      </c>
      <c r="D398" s="353">
        <v>3.5400000000000002E-3</v>
      </c>
      <c r="E398" s="353">
        <v>6.2589999999999998E-3</v>
      </c>
      <c r="F398" s="354">
        <v>9.6150000000000003E-3</v>
      </c>
    </row>
    <row r="399" spans="1:6" ht="12" thickBot="1">
      <c r="A399" s="352">
        <v>41183</v>
      </c>
      <c r="B399" s="353">
        <v>2.1350000000000002E-3</v>
      </c>
      <c r="C399" s="353">
        <v>2.8625E-3</v>
      </c>
      <c r="D399" s="353">
        <v>3.5525000000000001E-3</v>
      </c>
      <c r="E399" s="353">
        <v>6.3064999999999996E-3</v>
      </c>
      <c r="F399" s="354">
        <v>9.6675000000000007E-3</v>
      </c>
    </row>
    <row r="400" spans="1:6" ht="12" thickBot="1">
      <c r="A400" s="352">
        <v>41180</v>
      </c>
      <c r="B400" s="353">
        <v>2.1424999999999999E-3</v>
      </c>
      <c r="C400" s="353">
        <v>2.9099999999999998E-3</v>
      </c>
      <c r="D400" s="353">
        <v>3.5850000000000001E-3</v>
      </c>
      <c r="E400" s="353">
        <v>6.3590000000000001E-3</v>
      </c>
      <c r="F400" s="354">
        <v>9.7300000000000008E-3</v>
      </c>
    </row>
    <row r="401" spans="1:6" ht="12" thickBot="1">
      <c r="A401" s="352">
        <v>41179</v>
      </c>
      <c r="B401" s="353">
        <v>2.1450000000000002E-3</v>
      </c>
      <c r="C401" s="353">
        <v>2.9375E-3</v>
      </c>
      <c r="D401" s="353">
        <v>3.6024999999999998E-3</v>
      </c>
      <c r="E401" s="353">
        <v>6.4064999999999999E-3</v>
      </c>
      <c r="F401" s="354">
        <v>9.7575000000000005E-3</v>
      </c>
    </row>
    <row r="402" spans="1:6" ht="12" thickBot="1">
      <c r="A402" s="352">
        <v>41178</v>
      </c>
      <c r="B402" s="353">
        <v>2.1549999999999998E-3</v>
      </c>
      <c r="C402" s="353">
        <v>2.9475E-3</v>
      </c>
      <c r="D402" s="353">
        <v>3.6224999999999999E-3</v>
      </c>
      <c r="E402" s="353">
        <v>6.4289999999999998E-3</v>
      </c>
      <c r="F402" s="354">
        <v>9.75E-3</v>
      </c>
    </row>
    <row r="403" spans="1:6" ht="12" thickBot="1">
      <c r="A403" s="352">
        <v>41177</v>
      </c>
      <c r="B403" s="353">
        <v>2.1549999999999998E-3</v>
      </c>
      <c r="C403" s="353">
        <v>2.9424999999999998E-3</v>
      </c>
      <c r="D403" s="353">
        <v>3.6350000000000002E-3</v>
      </c>
      <c r="E403" s="353">
        <v>6.4565000000000004E-3</v>
      </c>
      <c r="F403" s="354">
        <v>9.7824999999999995E-3</v>
      </c>
    </row>
    <row r="404" spans="1:6" ht="12" thickBot="1">
      <c r="A404" s="352">
        <v>41176</v>
      </c>
      <c r="B404" s="353">
        <v>2.1649999999999998E-3</v>
      </c>
      <c r="C404" s="353">
        <v>2.9575000000000001E-3</v>
      </c>
      <c r="D404" s="353">
        <v>3.6725E-3</v>
      </c>
      <c r="E404" s="353">
        <v>6.5114999999999999E-3</v>
      </c>
      <c r="F404" s="354">
        <v>9.8224999999999996E-3</v>
      </c>
    </row>
    <row r="405" spans="1:6" ht="12" thickBot="1">
      <c r="A405" s="352">
        <v>41173</v>
      </c>
      <c r="B405" s="353">
        <v>2.1649999999999998E-3</v>
      </c>
      <c r="C405" s="353">
        <v>2.9675000000000001E-3</v>
      </c>
      <c r="D405" s="353">
        <v>3.6925E-3</v>
      </c>
      <c r="E405" s="353">
        <v>6.5539999999999999E-3</v>
      </c>
      <c r="F405" s="354">
        <v>9.8449999999999996E-3</v>
      </c>
    </row>
    <row r="406" spans="1:6" ht="12" thickBot="1">
      <c r="A406" s="352">
        <v>41172</v>
      </c>
      <c r="B406" s="353">
        <v>2.1649999999999998E-3</v>
      </c>
      <c r="C406" s="353">
        <v>2.9824999999999999E-3</v>
      </c>
      <c r="D406" s="353">
        <v>3.7299999999999998E-3</v>
      </c>
      <c r="E406" s="353">
        <v>6.5764999999999999E-3</v>
      </c>
      <c r="F406" s="354">
        <v>9.8525000000000001E-3</v>
      </c>
    </row>
    <row r="407" spans="1:6" ht="12" thickBot="1">
      <c r="A407" s="352">
        <v>41171</v>
      </c>
      <c r="B407" s="353">
        <v>2.1849999999999999E-3</v>
      </c>
      <c r="C407" s="353">
        <v>3.0025E-3</v>
      </c>
      <c r="D407" s="353">
        <v>3.7575E-3</v>
      </c>
      <c r="E407" s="353">
        <v>6.594E-3</v>
      </c>
      <c r="F407" s="354">
        <v>9.8750000000000001E-3</v>
      </c>
    </row>
    <row r="408" spans="1:6" ht="12" thickBot="1">
      <c r="A408" s="352">
        <v>41170</v>
      </c>
      <c r="B408" s="353">
        <v>2.1849999999999999E-3</v>
      </c>
      <c r="C408" s="353">
        <v>3.0049999999999999E-3</v>
      </c>
      <c r="D408" s="353">
        <v>3.7875000000000001E-3</v>
      </c>
      <c r="E408" s="353">
        <v>6.6439999999999997E-3</v>
      </c>
      <c r="F408" s="354">
        <v>9.8949999999999993E-3</v>
      </c>
    </row>
    <row r="409" spans="1:6" ht="12" thickBot="1">
      <c r="A409" s="352">
        <v>41169</v>
      </c>
      <c r="B409" s="353">
        <v>2.1900000000000001E-3</v>
      </c>
      <c r="C409" s="353">
        <v>3.0149999999999999E-3</v>
      </c>
      <c r="D409" s="353">
        <v>3.8075000000000001E-3</v>
      </c>
      <c r="E409" s="353">
        <v>6.6689999999999996E-3</v>
      </c>
      <c r="F409" s="354">
        <v>9.92E-3</v>
      </c>
    </row>
    <row r="410" spans="1:6" ht="12" thickBot="1">
      <c r="A410" s="352">
        <v>41166</v>
      </c>
      <c r="B410" s="353">
        <v>2.2000000000000001E-3</v>
      </c>
      <c r="C410" s="353">
        <v>3.045E-3</v>
      </c>
      <c r="D410" s="353">
        <v>3.8525E-3</v>
      </c>
      <c r="E410" s="353">
        <v>6.7289999999999997E-3</v>
      </c>
      <c r="F410" s="354">
        <v>9.9699999999999997E-3</v>
      </c>
    </row>
    <row r="411" spans="1:6" ht="12" thickBot="1">
      <c r="A411" s="352">
        <v>41165</v>
      </c>
      <c r="B411" s="353">
        <v>2.2074999999999998E-3</v>
      </c>
      <c r="C411" s="353">
        <v>3.0975E-3</v>
      </c>
      <c r="D411" s="353">
        <v>3.8874999999999999E-3</v>
      </c>
      <c r="E411" s="353">
        <v>6.7939999999999997E-3</v>
      </c>
      <c r="F411" s="354">
        <v>1.004E-2</v>
      </c>
    </row>
    <row r="412" spans="1:6" ht="12" thickBot="1">
      <c r="A412" s="352">
        <v>41164</v>
      </c>
      <c r="B412" s="353">
        <v>2.2374999999999999E-3</v>
      </c>
      <c r="C412" s="353">
        <v>3.1524999999999999E-3</v>
      </c>
      <c r="D412" s="353">
        <v>3.9424999999999998E-3</v>
      </c>
      <c r="E412" s="353">
        <v>6.8339999999999998E-3</v>
      </c>
      <c r="F412" s="354">
        <v>1.008E-2</v>
      </c>
    </row>
    <row r="413" spans="1:6" ht="12" thickBot="1">
      <c r="A413" s="352">
        <v>41163</v>
      </c>
      <c r="B413" s="353">
        <v>2.2675E-3</v>
      </c>
      <c r="C413" s="353">
        <v>3.1874999999999998E-3</v>
      </c>
      <c r="D413" s="353">
        <v>3.9874999999999997E-3</v>
      </c>
      <c r="E413" s="353">
        <v>6.8690000000000001E-3</v>
      </c>
      <c r="F413" s="354">
        <v>1.0145E-2</v>
      </c>
    </row>
    <row r="414" spans="1:6" ht="12" thickBot="1">
      <c r="A414" s="352">
        <v>41162</v>
      </c>
      <c r="B414" s="353">
        <v>2.2799999999999999E-3</v>
      </c>
      <c r="C414" s="353">
        <v>3.215E-3</v>
      </c>
      <c r="D414" s="353">
        <v>4.0425000000000001E-3</v>
      </c>
      <c r="E414" s="353">
        <v>6.9065000000000003E-3</v>
      </c>
      <c r="F414" s="354">
        <v>1.0175E-2</v>
      </c>
    </row>
    <row r="415" spans="1:6" ht="12" thickBot="1">
      <c r="A415" s="352">
        <v>41159</v>
      </c>
      <c r="B415" s="353">
        <v>2.2799999999999999E-3</v>
      </c>
      <c r="C415" s="353">
        <v>3.2299999999999998E-3</v>
      </c>
      <c r="D415" s="353">
        <v>4.0775000000000004E-3</v>
      </c>
      <c r="E415" s="353">
        <v>6.9465000000000004E-3</v>
      </c>
      <c r="F415" s="354">
        <v>1.0240000000000001E-2</v>
      </c>
    </row>
    <row r="416" spans="1:6" ht="12" thickBot="1">
      <c r="A416" s="352">
        <v>41158</v>
      </c>
      <c r="B416" s="353">
        <v>2.2750000000000001E-3</v>
      </c>
      <c r="C416" s="353">
        <v>3.235E-3</v>
      </c>
      <c r="D416" s="353">
        <v>4.0835000000000003E-3</v>
      </c>
      <c r="E416" s="353">
        <v>6.9814999999999999E-3</v>
      </c>
      <c r="F416" s="354">
        <v>1.0245000000000001E-2</v>
      </c>
    </row>
    <row r="417" spans="1:6" ht="12" thickBot="1">
      <c r="A417" s="352">
        <v>41157</v>
      </c>
      <c r="B417" s="353">
        <v>2.2799999999999999E-3</v>
      </c>
      <c r="C417" s="353">
        <v>3.2499999999999999E-3</v>
      </c>
      <c r="D417" s="353">
        <v>4.0984999999999997E-3</v>
      </c>
      <c r="E417" s="353">
        <v>7.0064999999999997E-3</v>
      </c>
      <c r="F417" s="354">
        <v>1.0265E-2</v>
      </c>
    </row>
    <row r="418" spans="1:6" ht="12" thickBot="1">
      <c r="A418" s="352">
        <v>41156</v>
      </c>
      <c r="B418" s="353">
        <v>2.2824999999999998E-3</v>
      </c>
      <c r="C418" s="353">
        <v>3.2525000000000002E-3</v>
      </c>
      <c r="D418" s="353">
        <v>4.1184999999999998E-3</v>
      </c>
      <c r="E418" s="353">
        <v>7.0165000000000002E-3</v>
      </c>
      <c r="F418" s="354">
        <v>1.027E-2</v>
      </c>
    </row>
    <row r="419" spans="1:6" ht="12" thickBot="1">
      <c r="A419" s="352">
        <v>41155</v>
      </c>
      <c r="B419" s="353">
        <v>2.3050000000000002E-3</v>
      </c>
      <c r="C419" s="353">
        <v>3.2650000000000001E-3</v>
      </c>
      <c r="D419" s="353">
        <v>4.1434999999999996E-3</v>
      </c>
      <c r="E419" s="353">
        <v>7.0514999999999996E-3</v>
      </c>
      <c r="F419" s="354">
        <v>1.0295E-2</v>
      </c>
    </row>
    <row r="420" spans="1:6" ht="12" thickBot="1">
      <c r="A420" s="352">
        <v>41152</v>
      </c>
      <c r="B420" s="353">
        <v>2.3050000000000002E-3</v>
      </c>
      <c r="C420" s="353">
        <v>3.2750000000000001E-3</v>
      </c>
      <c r="D420" s="353">
        <v>4.1824999999999996E-3</v>
      </c>
      <c r="E420" s="353">
        <v>7.0765000000000003E-3</v>
      </c>
      <c r="F420" s="354">
        <v>1.0319999999999999E-2</v>
      </c>
    </row>
    <row r="421" spans="1:6" ht="12" thickBot="1">
      <c r="A421" s="352">
        <v>41151</v>
      </c>
      <c r="B421" s="353">
        <v>2.3050000000000002E-3</v>
      </c>
      <c r="C421" s="353">
        <v>3.2850000000000002E-3</v>
      </c>
      <c r="D421" s="353">
        <v>4.2075000000000003E-3</v>
      </c>
      <c r="E421" s="353">
        <v>7.0914999999999997E-3</v>
      </c>
      <c r="F421" s="354">
        <v>1.0330000000000001E-2</v>
      </c>
    </row>
    <row r="422" spans="1:6" ht="12" thickBot="1">
      <c r="A422" s="352">
        <v>41150</v>
      </c>
      <c r="B422" s="353">
        <v>2.3149999999999998E-3</v>
      </c>
      <c r="C422" s="353">
        <v>3.2950000000000002E-3</v>
      </c>
      <c r="D422" s="353">
        <v>4.2174999999999999E-3</v>
      </c>
      <c r="E422" s="353">
        <v>7.0914999999999997E-3</v>
      </c>
      <c r="F422" s="354">
        <v>1.034E-2</v>
      </c>
    </row>
    <row r="423" spans="1:6" ht="12" thickBot="1">
      <c r="A423" s="352">
        <v>41149</v>
      </c>
      <c r="B423" s="353">
        <v>2.3349999999999998E-3</v>
      </c>
      <c r="C423" s="353">
        <v>3.2950000000000002E-3</v>
      </c>
      <c r="D423" s="353">
        <v>4.2275000000000004E-3</v>
      </c>
      <c r="E423" s="353">
        <v>7.1065E-3</v>
      </c>
      <c r="F423" s="354">
        <v>1.035E-2</v>
      </c>
    </row>
    <row r="424" spans="1:6" ht="12" thickBot="1">
      <c r="A424" s="352">
        <v>41148</v>
      </c>
      <c r="B424" s="353">
        <v>2.3449999999999999E-3</v>
      </c>
      <c r="C424" s="353">
        <v>3.3E-3</v>
      </c>
      <c r="D424" s="353">
        <v>4.2484999999999997E-3</v>
      </c>
      <c r="E424" s="353">
        <v>7.1215000000000002E-3</v>
      </c>
      <c r="F424" s="354">
        <v>1.0364999999999999E-2</v>
      </c>
    </row>
    <row r="425" spans="1:6" ht="12" thickBot="1">
      <c r="A425" s="352">
        <v>41145</v>
      </c>
      <c r="B425" s="353">
        <v>2.3449999999999999E-3</v>
      </c>
      <c r="C425" s="353">
        <v>3.3E-3</v>
      </c>
      <c r="D425" s="353">
        <v>4.2484999999999997E-3</v>
      </c>
      <c r="E425" s="353">
        <v>7.1215000000000002E-3</v>
      </c>
      <c r="F425" s="354">
        <v>1.0364999999999999E-2</v>
      </c>
    </row>
    <row r="426" spans="1:6" ht="12" thickBot="1">
      <c r="A426" s="352">
        <v>41144</v>
      </c>
      <c r="B426" s="353">
        <v>2.3549999999999999E-3</v>
      </c>
      <c r="C426" s="353">
        <v>3.31E-3</v>
      </c>
      <c r="D426" s="353">
        <v>4.2684999999999997E-3</v>
      </c>
      <c r="E426" s="353">
        <v>7.1364999999999996E-3</v>
      </c>
      <c r="F426" s="354">
        <v>1.04E-2</v>
      </c>
    </row>
    <row r="427" spans="1:6" ht="12" thickBot="1">
      <c r="A427" s="352">
        <v>41143</v>
      </c>
      <c r="B427" s="353">
        <v>2.3649999999999999E-3</v>
      </c>
      <c r="C427" s="353">
        <v>3.3400000000000001E-3</v>
      </c>
      <c r="D427" s="353">
        <v>4.3074999999999997E-3</v>
      </c>
      <c r="E427" s="353">
        <v>7.1615000000000003E-3</v>
      </c>
      <c r="F427" s="354">
        <v>1.0410000000000001E-2</v>
      </c>
    </row>
    <row r="428" spans="1:6" ht="12" thickBot="1">
      <c r="A428" s="352">
        <v>41142</v>
      </c>
      <c r="B428" s="353">
        <v>2.3749999999999999E-3</v>
      </c>
      <c r="C428" s="353">
        <v>3.3400000000000001E-3</v>
      </c>
      <c r="D428" s="353">
        <v>4.3350000000000003E-3</v>
      </c>
      <c r="E428" s="353">
        <v>7.1815000000000004E-3</v>
      </c>
      <c r="F428" s="354">
        <v>1.042E-2</v>
      </c>
    </row>
    <row r="429" spans="1:6" ht="12" thickBot="1">
      <c r="A429" s="352">
        <v>41138</v>
      </c>
      <c r="B429" s="353">
        <v>2.3700000000000001E-3</v>
      </c>
      <c r="C429" s="353">
        <v>3.3300000000000001E-3</v>
      </c>
      <c r="D429" s="353">
        <v>4.3449999999999999E-3</v>
      </c>
      <c r="E429" s="353">
        <v>7.1815000000000004E-3</v>
      </c>
      <c r="F429" s="354">
        <v>1.044E-2</v>
      </c>
    </row>
    <row r="430" spans="1:6" ht="12" thickBot="1">
      <c r="A430" s="352">
        <v>41137</v>
      </c>
      <c r="B430" s="353">
        <v>2.3700000000000001E-3</v>
      </c>
      <c r="C430" s="353">
        <v>3.3300000000000001E-3</v>
      </c>
      <c r="D430" s="353">
        <v>4.3350000000000003E-3</v>
      </c>
      <c r="E430" s="353">
        <v>7.1815000000000004E-3</v>
      </c>
      <c r="F430" s="354">
        <v>1.044E-2</v>
      </c>
    </row>
    <row r="431" spans="1:6" ht="12" thickBot="1">
      <c r="A431" s="352">
        <v>41136</v>
      </c>
      <c r="B431" s="353">
        <v>2.3800000000000002E-3</v>
      </c>
      <c r="C431" s="353">
        <v>3.3300000000000001E-3</v>
      </c>
      <c r="D431" s="353">
        <v>4.3449999999999999E-3</v>
      </c>
      <c r="E431" s="353">
        <v>7.1815000000000004E-3</v>
      </c>
      <c r="F431" s="354">
        <v>1.0449999999999999E-2</v>
      </c>
    </row>
    <row r="432" spans="1:6" ht="12" thickBot="1">
      <c r="A432" s="352">
        <v>41135</v>
      </c>
      <c r="B432" s="353">
        <v>2.385E-3</v>
      </c>
      <c r="C432" s="353">
        <v>3.3300000000000001E-3</v>
      </c>
      <c r="D432" s="353">
        <v>4.365E-3</v>
      </c>
      <c r="E432" s="353">
        <v>7.1915E-3</v>
      </c>
      <c r="F432" s="354">
        <v>1.0460000000000001E-2</v>
      </c>
    </row>
    <row r="433" spans="1:6" ht="12" thickBot="1">
      <c r="A433" s="352">
        <v>41134</v>
      </c>
      <c r="B433" s="353">
        <v>2.395E-3</v>
      </c>
      <c r="C433" s="353">
        <v>3.3300000000000001E-3</v>
      </c>
      <c r="D433" s="353">
        <v>4.3449999999999999E-3</v>
      </c>
      <c r="E433" s="353">
        <v>7.1915E-3</v>
      </c>
      <c r="F433" s="354">
        <v>1.0460000000000001E-2</v>
      </c>
    </row>
    <row r="434" spans="1:6" ht="12" thickBot="1">
      <c r="A434" s="352">
        <v>41131</v>
      </c>
      <c r="B434" s="353">
        <v>2.3974999999999999E-3</v>
      </c>
      <c r="C434" s="353">
        <v>3.3325E-3</v>
      </c>
      <c r="D434" s="353">
        <v>4.3699999999999998E-3</v>
      </c>
      <c r="E434" s="353">
        <v>7.2014999999999996E-3</v>
      </c>
      <c r="F434" s="354">
        <v>1.0465E-2</v>
      </c>
    </row>
    <row r="435" spans="1:6" ht="12" thickBot="1">
      <c r="A435" s="352">
        <v>41130</v>
      </c>
      <c r="B435" s="353">
        <v>2.3925000000000001E-3</v>
      </c>
      <c r="C435" s="353">
        <v>3.3475000000000002E-3</v>
      </c>
      <c r="D435" s="353">
        <v>4.3750000000000004E-3</v>
      </c>
      <c r="E435" s="353">
        <v>7.2164999999999998E-3</v>
      </c>
      <c r="F435" s="354">
        <v>1.0465E-2</v>
      </c>
    </row>
    <row r="436" spans="1:6" ht="12" thickBot="1">
      <c r="A436" s="352">
        <v>41129</v>
      </c>
      <c r="B436" s="353">
        <v>2.4025000000000001E-3</v>
      </c>
      <c r="C436" s="353">
        <v>3.3475000000000002E-3</v>
      </c>
      <c r="D436" s="353">
        <v>4.3674999999999999E-3</v>
      </c>
      <c r="E436" s="353">
        <v>7.2065000000000002E-3</v>
      </c>
      <c r="F436" s="354">
        <v>1.0465E-2</v>
      </c>
    </row>
    <row r="437" spans="1:6" ht="12" thickBot="1">
      <c r="A437" s="352">
        <v>41127</v>
      </c>
      <c r="B437" s="353">
        <v>2.4325000000000002E-3</v>
      </c>
      <c r="C437" s="353">
        <v>3.3874999999999999E-3</v>
      </c>
      <c r="D437" s="353">
        <v>4.3885E-3</v>
      </c>
      <c r="E437" s="353">
        <v>7.2414999999999997E-3</v>
      </c>
      <c r="F437" s="354">
        <v>1.0472E-2</v>
      </c>
    </row>
    <row r="438" spans="1:6" ht="12" thickBot="1">
      <c r="A438" s="352">
        <v>41124</v>
      </c>
      <c r="B438" s="353">
        <v>2.4375E-3</v>
      </c>
      <c r="C438" s="353">
        <v>3.3774999999999999E-3</v>
      </c>
      <c r="D438" s="353">
        <v>4.3934999999999998E-3</v>
      </c>
      <c r="E438" s="353">
        <v>7.2364999999999999E-3</v>
      </c>
      <c r="F438" s="354">
        <v>1.0462000000000001E-2</v>
      </c>
    </row>
    <row r="439" spans="1:6" ht="12" thickBot="1">
      <c r="A439" s="352">
        <v>41123</v>
      </c>
      <c r="B439" s="353">
        <v>2.4424999999999998E-3</v>
      </c>
      <c r="C439" s="353">
        <v>3.3674999999999998E-3</v>
      </c>
      <c r="D439" s="353">
        <v>4.4184999999999997E-3</v>
      </c>
      <c r="E439" s="353">
        <v>7.2515000000000001E-3</v>
      </c>
      <c r="F439" s="354">
        <v>1.0482E-2</v>
      </c>
    </row>
    <row r="440" spans="1:6" ht="12" thickBot="1">
      <c r="A440" s="352">
        <v>41122</v>
      </c>
      <c r="B440" s="353">
        <v>2.447E-3</v>
      </c>
      <c r="C440" s="353">
        <v>3.3674999999999998E-3</v>
      </c>
      <c r="D440" s="353">
        <v>4.4159999999999998E-3</v>
      </c>
      <c r="E440" s="353">
        <v>7.2490000000000002E-3</v>
      </c>
      <c r="F440" s="354">
        <v>1.047E-2</v>
      </c>
    </row>
    <row r="441" spans="1:6" ht="12" thickBot="1">
      <c r="A441" s="352">
        <v>41121</v>
      </c>
      <c r="B441" s="353">
        <v>2.457E-3</v>
      </c>
      <c r="C441" s="353">
        <v>3.3774999999999999E-3</v>
      </c>
      <c r="D441" s="353">
        <v>4.4260000000000002E-3</v>
      </c>
      <c r="E441" s="353">
        <v>7.2589999999999998E-3</v>
      </c>
      <c r="F441" s="354">
        <v>1.0534999999999999E-2</v>
      </c>
    </row>
    <row r="442" spans="1:6" ht="12" thickBot="1">
      <c r="A442" s="352">
        <v>41120</v>
      </c>
      <c r="B442" s="353">
        <v>2.457E-3</v>
      </c>
      <c r="C442" s="353">
        <v>3.3925000000000001E-3</v>
      </c>
      <c r="D442" s="353">
        <v>4.4460000000000003E-3</v>
      </c>
      <c r="E442" s="353">
        <v>7.2639999999999996E-3</v>
      </c>
      <c r="F442" s="354">
        <v>1.0585000000000001E-2</v>
      </c>
    </row>
    <row r="443" spans="1:6" ht="12" thickBot="1">
      <c r="A443" s="352">
        <v>41117</v>
      </c>
      <c r="B443" s="353">
        <v>2.457E-3</v>
      </c>
      <c r="C443" s="353">
        <v>3.3925000000000001E-3</v>
      </c>
      <c r="D443" s="353">
        <v>4.4660000000000004E-3</v>
      </c>
      <c r="E443" s="353">
        <v>7.2439999999999996E-3</v>
      </c>
      <c r="F443" s="354">
        <v>1.0605E-2</v>
      </c>
    </row>
    <row r="444" spans="1:6" ht="12" thickBot="1">
      <c r="A444" s="352">
        <v>41116</v>
      </c>
      <c r="B444" s="353">
        <v>2.4520000000000002E-3</v>
      </c>
      <c r="C444" s="353">
        <v>3.3874999999999999E-3</v>
      </c>
      <c r="D444" s="353">
        <v>4.4710000000000001E-3</v>
      </c>
      <c r="E444" s="353">
        <v>7.2439999999999996E-3</v>
      </c>
      <c r="F444" s="354">
        <v>1.0605E-2</v>
      </c>
    </row>
    <row r="445" spans="1:6" ht="12" thickBot="1">
      <c r="A445" s="352">
        <v>41115</v>
      </c>
      <c r="B445" s="353">
        <v>2.4420000000000002E-3</v>
      </c>
      <c r="C445" s="353">
        <v>3.3574999999999998E-3</v>
      </c>
      <c r="D445" s="353">
        <v>4.4809999999999997E-3</v>
      </c>
      <c r="E445" s="353">
        <v>7.2639999999999996E-3</v>
      </c>
      <c r="F445" s="354">
        <v>1.0614999999999999E-2</v>
      </c>
    </row>
    <row r="446" spans="1:6" ht="12" thickBot="1">
      <c r="A446" s="352">
        <v>41114</v>
      </c>
      <c r="B446" s="353">
        <v>2.4420000000000002E-3</v>
      </c>
      <c r="C446" s="353">
        <v>3.3574999999999998E-3</v>
      </c>
      <c r="D446" s="353">
        <v>4.4809999999999997E-3</v>
      </c>
      <c r="E446" s="353">
        <v>7.2639999999999996E-3</v>
      </c>
      <c r="F446" s="354">
        <v>1.0614999999999999E-2</v>
      </c>
    </row>
    <row r="447" spans="1:6" ht="12" thickBot="1">
      <c r="A447" s="352">
        <v>41113</v>
      </c>
      <c r="B447" s="353">
        <v>2.4620000000000002E-3</v>
      </c>
      <c r="C447" s="353">
        <v>3.3825000000000001E-3</v>
      </c>
      <c r="D447" s="353">
        <v>4.5110000000000003E-3</v>
      </c>
      <c r="E447" s="353">
        <v>7.2740000000000001E-3</v>
      </c>
      <c r="F447" s="354">
        <v>1.0630000000000001E-2</v>
      </c>
    </row>
    <row r="448" spans="1:6" ht="12" thickBot="1">
      <c r="A448" s="352">
        <v>41109</v>
      </c>
      <c r="B448" s="353">
        <v>2.4675000000000001E-3</v>
      </c>
      <c r="C448" s="353">
        <v>3.3925000000000001E-3</v>
      </c>
      <c r="D448" s="353">
        <v>4.5310000000000003E-3</v>
      </c>
      <c r="E448" s="353">
        <v>7.2789999999999999E-3</v>
      </c>
      <c r="F448" s="354">
        <v>1.0645E-2</v>
      </c>
    </row>
    <row r="449" spans="1:6" ht="12" thickBot="1">
      <c r="A449" s="352">
        <v>41108</v>
      </c>
      <c r="B449" s="353">
        <v>2.4675000000000001E-3</v>
      </c>
      <c r="C449" s="353">
        <v>3.3974999999999999E-3</v>
      </c>
      <c r="D449" s="353">
        <v>4.5510000000000004E-3</v>
      </c>
      <c r="E449" s="353">
        <v>7.2839999999999997E-3</v>
      </c>
      <c r="F449" s="354">
        <v>1.0659999999999999E-2</v>
      </c>
    </row>
    <row r="450" spans="1:6" ht="12" thickBot="1">
      <c r="A450" s="352">
        <v>41107</v>
      </c>
      <c r="B450" s="353">
        <v>2.4675000000000001E-3</v>
      </c>
      <c r="C450" s="353">
        <v>3.3974999999999999E-3</v>
      </c>
      <c r="D450" s="353">
        <v>4.5510000000000004E-3</v>
      </c>
      <c r="E450" s="353">
        <v>7.2839999999999997E-3</v>
      </c>
      <c r="F450" s="354">
        <v>1.0659999999999999E-2</v>
      </c>
    </row>
    <row r="451" spans="1:6" ht="12" thickBot="1">
      <c r="A451" s="352">
        <v>41106</v>
      </c>
      <c r="B451" s="353">
        <v>2.4775000000000001E-3</v>
      </c>
      <c r="C451" s="353">
        <v>3.4074999999999999E-3</v>
      </c>
      <c r="D451" s="353">
        <v>4.5510000000000004E-3</v>
      </c>
      <c r="E451" s="353">
        <v>7.2839999999999997E-3</v>
      </c>
      <c r="F451" s="354">
        <v>1.0659999999999999E-2</v>
      </c>
    </row>
    <row r="452" spans="1:6" ht="12" thickBot="1">
      <c r="A452" s="352">
        <v>41103</v>
      </c>
      <c r="B452" s="353">
        <v>2.4775000000000001E-3</v>
      </c>
      <c r="C452" s="353">
        <v>3.4074999999999999E-3</v>
      </c>
      <c r="D452" s="353">
        <v>4.5510000000000004E-3</v>
      </c>
      <c r="E452" s="353">
        <v>7.2839999999999997E-3</v>
      </c>
      <c r="F452" s="354">
        <v>1.0670000000000001E-2</v>
      </c>
    </row>
    <row r="453" spans="1:6" ht="12" thickBot="1">
      <c r="A453" s="352">
        <v>41102</v>
      </c>
      <c r="B453" s="353">
        <v>2.4875000000000001E-3</v>
      </c>
      <c r="C453" s="353">
        <v>3.4074999999999999E-3</v>
      </c>
      <c r="D453" s="353">
        <v>4.5510000000000004E-3</v>
      </c>
      <c r="E453" s="353">
        <v>7.2940000000000001E-3</v>
      </c>
      <c r="F453" s="354">
        <v>1.0685E-2</v>
      </c>
    </row>
    <row r="454" spans="1:6" ht="12" thickBot="1">
      <c r="A454" s="352">
        <v>41101</v>
      </c>
      <c r="B454" s="353">
        <v>2.4875000000000001E-3</v>
      </c>
      <c r="C454" s="353">
        <v>3.4275E-3</v>
      </c>
      <c r="D454" s="353">
        <v>4.561E-3</v>
      </c>
      <c r="E454" s="353">
        <v>7.3439999999999998E-3</v>
      </c>
      <c r="F454" s="354">
        <v>1.0695E-2</v>
      </c>
    </row>
    <row r="455" spans="1:6" ht="12" thickBot="1">
      <c r="A455" s="352">
        <v>41100</v>
      </c>
      <c r="B455" s="353">
        <v>2.4875000000000001E-3</v>
      </c>
      <c r="C455" s="353">
        <v>3.4375E-3</v>
      </c>
      <c r="D455" s="353">
        <v>4.5760000000000002E-3</v>
      </c>
      <c r="E455" s="353">
        <v>7.3639999999999999E-3</v>
      </c>
      <c r="F455" s="354">
        <v>1.0695E-2</v>
      </c>
    </row>
    <row r="456" spans="1:6" ht="12" thickBot="1">
      <c r="A456" s="352">
        <v>41099</v>
      </c>
      <c r="B456" s="353">
        <v>2.4875000000000001E-3</v>
      </c>
      <c r="C456" s="353">
        <v>3.4375E-3</v>
      </c>
      <c r="D456" s="353">
        <v>4.5760000000000002E-3</v>
      </c>
      <c r="E456" s="353">
        <v>7.3639999999999999E-3</v>
      </c>
      <c r="F456" s="354">
        <v>1.0695E-2</v>
      </c>
    </row>
    <row r="457" spans="1:6" ht="12" thickBot="1">
      <c r="A457" s="352">
        <v>41096</v>
      </c>
      <c r="B457" s="353">
        <v>2.4575E-3</v>
      </c>
      <c r="C457" s="353">
        <v>3.4125000000000002E-3</v>
      </c>
      <c r="D457" s="353">
        <v>4.5760000000000002E-3</v>
      </c>
      <c r="E457" s="353">
        <v>7.3639999999999999E-3</v>
      </c>
      <c r="F457" s="354">
        <v>1.0695E-2</v>
      </c>
    </row>
    <row r="458" spans="1:6" ht="12" thickBot="1">
      <c r="A458" s="352">
        <v>41095</v>
      </c>
      <c r="B458" s="353">
        <v>2.4575E-3</v>
      </c>
      <c r="C458" s="353">
        <v>3.4175E-3</v>
      </c>
      <c r="D458" s="353">
        <v>4.5960000000000003E-3</v>
      </c>
      <c r="E458" s="353">
        <v>7.3639999999999999E-3</v>
      </c>
      <c r="F458" s="354">
        <v>1.0695E-2</v>
      </c>
    </row>
    <row r="459" spans="1:6" ht="12" thickBot="1">
      <c r="A459" s="352">
        <v>41094</v>
      </c>
      <c r="B459" s="353">
        <v>2.4575E-3</v>
      </c>
      <c r="C459" s="353">
        <v>3.4175E-3</v>
      </c>
      <c r="D459" s="353">
        <v>4.5960000000000003E-3</v>
      </c>
      <c r="E459" s="353">
        <v>7.3639999999999999E-3</v>
      </c>
      <c r="F459" s="354">
        <v>1.0695E-2</v>
      </c>
    </row>
    <row r="460" spans="1:6" ht="12" thickBot="1">
      <c r="A460" s="352">
        <v>41093</v>
      </c>
      <c r="B460" s="353">
        <v>2.4575E-3</v>
      </c>
      <c r="C460" s="353">
        <v>3.4275E-3</v>
      </c>
      <c r="D460" s="353">
        <v>4.6059999999999999E-3</v>
      </c>
      <c r="E460" s="353">
        <v>7.3439999999999998E-3</v>
      </c>
      <c r="F460" s="354">
        <v>1.0695E-2</v>
      </c>
    </row>
    <row r="461" spans="1:6" ht="12" thickBot="1">
      <c r="A461" s="352">
        <v>41089</v>
      </c>
      <c r="B461" s="353">
        <v>2.4575E-3</v>
      </c>
      <c r="C461" s="353">
        <v>3.4275E-3</v>
      </c>
      <c r="D461" s="353">
        <v>4.6059999999999999E-3</v>
      </c>
      <c r="E461" s="353">
        <v>7.3439999999999998E-3</v>
      </c>
      <c r="F461" s="354">
        <v>1.068E-2</v>
      </c>
    </row>
    <row r="462" spans="1:6" ht="12" thickBot="1">
      <c r="A462" s="352">
        <v>41088</v>
      </c>
      <c r="B462" s="353">
        <v>2.4524999999999998E-3</v>
      </c>
      <c r="C462" s="353">
        <v>3.4275E-3</v>
      </c>
      <c r="D462" s="353">
        <v>4.6059999999999999E-3</v>
      </c>
      <c r="E462" s="353">
        <v>7.3439999999999998E-3</v>
      </c>
      <c r="F462" s="354">
        <v>1.068E-2</v>
      </c>
    </row>
    <row r="463" spans="1:6" ht="12" thickBot="1">
      <c r="A463" s="352">
        <v>41087</v>
      </c>
      <c r="B463" s="353">
        <v>2.4524999999999998E-3</v>
      </c>
      <c r="C463" s="353">
        <v>3.4275E-3</v>
      </c>
      <c r="D463" s="353">
        <v>4.6059999999999999E-3</v>
      </c>
      <c r="E463" s="353">
        <v>7.3439999999999998E-3</v>
      </c>
      <c r="F463" s="354">
        <v>1.0675E-2</v>
      </c>
    </row>
    <row r="464" spans="1:6" ht="12" thickBot="1">
      <c r="A464" s="352">
        <v>41086</v>
      </c>
      <c r="B464" s="353">
        <v>2.4524999999999998E-3</v>
      </c>
      <c r="C464" s="353">
        <v>3.4275E-3</v>
      </c>
      <c r="D464" s="353">
        <v>4.6059999999999999E-3</v>
      </c>
      <c r="E464" s="353">
        <v>7.3439999999999998E-3</v>
      </c>
      <c r="F464" s="354">
        <v>1.0670000000000001E-2</v>
      </c>
    </row>
    <row r="465" spans="1:6" ht="12" thickBot="1">
      <c r="A465" s="352">
        <v>41085</v>
      </c>
      <c r="B465" s="353">
        <v>2.4524999999999998E-3</v>
      </c>
      <c r="C465" s="353">
        <v>3.4275E-3</v>
      </c>
      <c r="D465" s="353">
        <v>4.6059999999999999E-3</v>
      </c>
      <c r="E465" s="353">
        <v>7.339E-3</v>
      </c>
      <c r="F465" s="354">
        <v>1.0659999999999999E-2</v>
      </c>
    </row>
    <row r="466" spans="1:6" ht="12" thickBot="1">
      <c r="A466" s="352">
        <v>41082</v>
      </c>
      <c r="B466" s="353">
        <v>2.4524999999999998E-3</v>
      </c>
      <c r="C466" s="353">
        <v>3.4375E-3</v>
      </c>
      <c r="D466" s="353">
        <v>4.6160000000000003E-3</v>
      </c>
      <c r="E466" s="353">
        <v>7.3439999999999998E-3</v>
      </c>
      <c r="F466" s="354">
        <v>1.0685E-2</v>
      </c>
    </row>
    <row r="467" spans="1:6" ht="12" thickBot="1">
      <c r="A467" s="352">
        <v>41081</v>
      </c>
      <c r="B467" s="353">
        <v>2.4524999999999998E-3</v>
      </c>
      <c r="C467" s="353">
        <v>3.4775000000000001E-3</v>
      </c>
      <c r="D467" s="353">
        <v>4.6759999999999996E-3</v>
      </c>
      <c r="E467" s="353">
        <v>7.3740000000000003E-3</v>
      </c>
      <c r="F467" s="354">
        <v>1.0685E-2</v>
      </c>
    </row>
    <row r="468" spans="1:6" ht="12" thickBot="1">
      <c r="A468" s="352">
        <v>41080</v>
      </c>
      <c r="B468" s="353">
        <v>2.4524999999999998E-3</v>
      </c>
      <c r="C468" s="353">
        <v>3.4775000000000001E-3</v>
      </c>
      <c r="D468" s="353">
        <v>4.6759999999999996E-3</v>
      </c>
      <c r="E468" s="353">
        <v>7.3740000000000003E-3</v>
      </c>
      <c r="F468" s="354">
        <v>1.0685E-2</v>
      </c>
    </row>
    <row r="469" spans="1:6" ht="12" thickBot="1">
      <c r="A469" s="352">
        <v>41079</v>
      </c>
      <c r="B469" s="353">
        <v>2.4375E-3</v>
      </c>
      <c r="C469" s="353">
        <v>3.4775000000000001E-3</v>
      </c>
      <c r="D469" s="353">
        <v>4.6785000000000004E-3</v>
      </c>
      <c r="E469" s="353">
        <v>7.3740000000000003E-3</v>
      </c>
      <c r="F469" s="354">
        <v>1.0695E-2</v>
      </c>
    </row>
    <row r="470" spans="1:6" ht="12" thickBot="1">
      <c r="A470" s="352">
        <v>41075</v>
      </c>
      <c r="B470" s="353">
        <v>2.4275E-3</v>
      </c>
      <c r="C470" s="353">
        <v>3.4775000000000001E-3</v>
      </c>
      <c r="D470" s="353">
        <v>4.6785000000000004E-3</v>
      </c>
      <c r="E470" s="353">
        <v>7.3740000000000003E-3</v>
      </c>
      <c r="F470" s="354">
        <v>1.0695E-2</v>
      </c>
    </row>
    <row r="471" spans="1:6" ht="12" thickBot="1">
      <c r="A471" s="352">
        <v>41074</v>
      </c>
      <c r="B471" s="353">
        <v>2.4275E-3</v>
      </c>
      <c r="C471" s="353">
        <v>3.4775000000000001E-3</v>
      </c>
      <c r="D471" s="353">
        <v>4.6785000000000004E-3</v>
      </c>
      <c r="E471" s="353">
        <v>7.3790000000000001E-3</v>
      </c>
      <c r="F471" s="354">
        <v>1.0711999999999999E-2</v>
      </c>
    </row>
    <row r="472" spans="1:6" ht="12" thickBot="1">
      <c r="A472" s="352">
        <v>41073</v>
      </c>
      <c r="B472" s="353">
        <v>2.4174999999999999E-3</v>
      </c>
      <c r="C472" s="353">
        <v>3.4775000000000001E-3</v>
      </c>
      <c r="D472" s="353">
        <v>4.6785000000000004E-3</v>
      </c>
      <c r="E472" s="353">
        <v>7.3790000000000001E-3</v>
      </c>
      <c r="F472" s="354">
        <v>1.0707E-2</v>
      </c>
    </row>
    <row r="473" spans="1:6" ht="12" thickBot="1">
      <c r="A473" s="352">
        <v>41072</v>
      </c>
      <c r="B473" s="353">
        <v>2.4074999999999999E-3</v>
      </c>
      <c r="C473" s="353">
        <v>3.4724999999999999E-3</v>
      </c>
      <c r="D473" s="353">
        <v>4.6785000000000004E-3</v>
      </c>
      <c r="E473" s="353">
        <v>7.3689999999999997E-3</v>
      </c>
      <c r="F473" s="354">
        <v>1.0707E-2</v>
      </c>
    </row>
    <row r="474" spans="1:6" ht="12" thickBot="1">
      <c r="A474" s="352">
        <v>41068</v>
      </c>
      <c r="B474" s="353">
        <v>2.4074999999999999E-3</v>
      </c>
      <c r="C474" s="353">
        <v>3.4675000000000001E-3</v>
      </c>
      <c r="D474" s="353">
        <v>4.6785000000000004E-3</v>
      </c>
      <c r="E474" s="353">
        <v>7.3689999999999997E-3</v>
      </c>
      <c r="F474" s="354">
        <v>1.0702E-2</v>
      </c>
    </row>
    <row r="475" spans="1:6" ht="12" thickBot="1">
      <c r="A475" s="352">
        <v>41067</v>
      </c>
      <c r="B475" s="353">
        <v>2.4074999999999999E-3</v>
      </c>
      <c r="C475" s="353">
        <v>3.4675000000000001E-3</v>
      </c>
      <c r="D475" s="353">
        <v>4.6785000000000004E-3</v>
      </c>
      <c r="E475" s="353">
        <v>7.3689999999999997E-3</v>
      </c>
      <c r="F475" s="354">
        <v>1.0697E-2</v>
      </c>
    </row>
    <row r="476" spans="1:6" ht="12" thickBot="1">
      <c r="A476" s="352">
        <v>41066</v>
      </c>
      <c r="B476" s="353">
        <v>2.4074999999999999E-3</v>
      </c>
      <c r="C476" s="353">
        <v>3.4675000000000001E-3</v>
      </c>
      <c r="D476" s="353">
        <v>4.6785000000000004E-3</v>
      </c>
      <c r="E476" s="353">
        <v>7.3790000000000001E-3</v>
      </c>
      <c r="F476" s="354">
        <v>1.0707E-2</v>
      </c>
    </row>
    <row r="477" spans="1:6" ht="12" thickBot="1">
      <c r="A477" s="352">
        <v>41065</v>
      </c>
      <c r="B477" s="353">
        <v>2.3974999999999999E-3</v>
      </c>
      <c r="C477" s="353">
        <v>3.4675000000000001E-3</v>
      </c>
      <c r="D477" s="353">
        <v>4.6785000000000004E-3</v>
      </c>
      <c r="E477" s="353">
        <v>7.3790000000000001E-3</v>
      </c>
      <c r="F477" s="354">
        <v>1.0707E-2</v>
      </c>
    </row>
    <row r="478" spans="1:6" ht="12" thickBot="1">
      <c r="A478" s="352">
        <v>41064</v>
      </c>
      <c r="B478" s="353">
        <v>2.3974999999999999E-3</v>
      </c>
      <c r="C478" s="353">
        <v>3.4675000000000001E-3</v>
      </c>
      <c r="D478" s="353">
        <v>4.6785000000000004E-3</v>
      </c>
      <c r="E478" s="353">
        <v>7.3790000000000001E-3</v>
      </c>
      <c r="F478" s="354">
        <v>1.0707E-2</v>
      </c>
    </row>
    <row r="479" spans="1:6" ht="12" thickBot="1">
      <c r="A479" s="352">
        <v>41061</v>
      </c>
      <c r="B479" s="353">
        <v>2.3974999999999999E-3</v>
      </c>
      <c r="C479" s="353">
        <v>3.4675000000000001E-3</v>
      </c>
      <c r="D479" s="353">
        <v>4.6785000000000004E-3</v>
      </c>
      <c r="E479" s="353">
        <v>7.3790000000000001E-3</v>
      </c>
      <c r="F479" s="354">
        <v>1.0707E-2</v>
      </c>
    </row>
    <row r="480" spans="1:6" ht="12" thickBot="1">
      <c r="A480" s="352">
        <v>41060</v>
      </c>
      <c r="B480" s="353">
        <v>2.3874999999999999E-3</v>
      </c>
      <c r="C480" s="353">
        <v>3.4575000000000001E-3</v>
      </c>
      <c r="D480" s="353">
        <v>4.6684999999999999E-3</v>
      </c>
      <c r="E480" s="353">
        <v>7.3639999999999999E-3</v>
      </c>
      <c r="F480" s="354">
        <v>1.0692E-2</v>
      </c>
    </row>
    <row r="481" spans="1:6" ht="12" thickBot="1">
      <c r="A481" s="352">
        <v>41059</v>
      </c>
      <c r="B481" s="353">
        <v>2.3874999999999999E-3</v>
      </c>
      <c r="C481" s="353">
        <v>3.4575000000000001E-3</v>
      </c>
      <c r="D481" s="353">
        <v>4.6684999999999999E-3</v>
      </c>
      <c r="E481" s="353">
        <v>7.3639999999999999E-3</v>
      </c>
      <c r="F481" s="354">
        <v>1.0692E-2</v>
      </c>
    </row>
    <row r="482" spans="1:6" ht="12" thickBot="1">
      <c r="A482" s="352">
        <v>41058</v>
      </c>
      <c r="B482" s="353">
        <v>2.3874999999999999E-3</v>
      </c>
      <c r="C482" s="353">
        <v>3.4575000000000001E-3</v>
      </c>
      <c r="D482" s="353">
        <v>4.6684999999999999E-3</v>
      </c>
      <c r="E482" s="353">
        <v>7.3639999999999999E-3</v>
      </c>
      <c r="F482" s="354">
        <v>1.0692E-2</v>
      </c>
    </row>
    <row r="483" spans="1:6" ht="12" thickBot="1">
      <c r="A483" s="352">
        <v>41057</v>
      </c>
      <c r="B483" s="353">
        <v>2.3874999999999999E-3</v>
      </c>
      <c r="C483" s="353">
        <v>3.4575000000000001E-3</v>
      </c>
      <c r="D483" s="353">
        <v>4.6684999999999999E-3</v>
      </c>
      <c r="E483" s="353">
        <v>7.3639999999999999E-3</v>
      </c>
      <c r="F483" s="354">
        <v>1.0692E-2</v>
      </c>
    </row>
    <row r="484" spans="1:6" ht="12" thickBot="1">
      <c r="A484" s="352">
        <v>41054</v>
      </c>
      <c r="B484" s="353">
        <v>2.3874999999999999E-3</v>
      </c>
      <c r="C484" s="353">
        <v>3.4575000000000001E-3</v>
      </c>
      <c r="D484" s="353">
        <v>4.6684999999999999E-3</v>
      </c>
      <c r="E484" s="353">
        <v>7.3639999999999999E-3</v>
      </c>
      <c r="F484" s="354">
        <v>1.0692E-2</v>
      </c>
    </row>
    <row r="485" spans="1:6" ht="12" thickBot="1">
      <c r="A485" s="352">
        <v>41053</v>
      </c>
      <c r="B485" s="353">
        <v>2.3874999999999999E-3</v>
      </c>
      <c r="C485" s="353">
        <v>3.4575000000000001E-3</v>
      </c>
      <c r="D485" s="353">
        <v>4.6684999999999999E-3</v>
      </c>
      <c r="E485" s="353">
        <v>7.3639999999999999E-3</v>
      </c>
      <c r="F485" s="354">
        <v>1.0692E-2</v>
      </c>
    </row>
    <row r="486" spans="1:6" ht="12" thickBot="1">
      <c r="A486" s="352">
        <v>41052</v>
      </c>
      <c r="B486" s="353">
        <v>2.3874999999999999E-3</v>
      </c>
      <c r="C486" s="353">
        <v>3.4575000000000001E-3</v>
      </c>
      <c r="D486" s="353">
        <v>4.6684999999999999E-3</v>
      </c>
      <c r="E486" s="353">
        <v>7.3639999999999999E-3</v>
      </c>
      <c r="F486" s="354">
        <v>1.0692E-2</v>
      </c>
    </row>
    <row r="487" spans="1:6" ht="12" thickBot="1">
      <c r="A487" s="352">
        <v>41051</v>
      </c>
      <c r="B487" s="353">
        <v>2.3874999999999999E-3</v>
      </c>
      <c r="C487" s="353">
        <v>3.4575000000000001E-3</v>
      </c>
      <c r="D487" s="353">
        <v>4.6684999999999999E-3</v>
      </c>
      <c r="E487" s="353">
        <v>7.3639999999999999E-3</v>
      </c>
      <c r="F487" s="354">
        <v>1.0692E-2</v>
      </c>
    </row>
    <row r="488" spans="1:6" ht="12" thickBot="1">
      <c r="A488" s="352">
        <v>41047</v>
      </c>
      <c r="B488" s="353">
        <v>2.3974999999999999E-3</v>
      </c>
      <c r="C488" s="353">
        <v>3.4575000000000001E-3</v>
      </c>
      <c r="D488" s="353">
        <v>4.6684999999999999E-3</v>
      </c>
      <c r="E488" s="353">
        <v>7.3639999999999999E-3</v>
      </c>
      <c r="F488" s="354">
        <v>1.0689499999999999E-2</v>
      </c>
    </row>
    <row r="489" spans="1:6" ht="12" thickBot="1">
      <c r="A489" s="352">
        <v>41046</v>
      </c>
      <c r="B489" s="353">
        <v>2.3974999999999999E-3</v>
      </c>
      <c r="C489" s="353">
        <v>3.4575000000000001E-3</v>
      </c>
      <c r="D489" s="353">
        <v>4.6684999999999999E-3</v>
      </c>
      <c r="E489" s="353">
        <v>7.3540000000000003E-3</v>
      </c>
      <c r="F489" s="354">
        <v>1.06795E-2</v>
      </c>
    </row>
    <row r="490" spans="1:6" ht="12" thickBot="1">
      <c r="A490" s="352">
        <v>41045</v>
      </c>
      <c r="B490" s="353">
        <v>2.3974999999999999E-3</v>
      </c>
      <c r="C490" s="353">
        <v>3.4575000000000001E-3</v>
      </c>
      <c r="D490" s="353">
        <v>4.6684999999999999E-3</v>
      </c>
      <c r="E490" s="353">
        <v>7.3489999999999996E-3</v>
      </c>
      <c r="F490" s="354">
        <v>1.06795E-2</v>
      </c>
    </row>
    <row r="491" spans="1:6" ht="12" thickBot="1">
      <c r="A491" s="352">
        <v>41044</v>
      </c>
      <c r="B491" s="353">
        <v>2.3874999999999999E-3</v>
      </c>
      <c r="C491" s="353">
        <v>3.4475E-3</v>
      </c>
      <c r="D491" s="353">
        <v>4.6585000000000003E-3</v>
      </c>
      <c r="E491" s="353">
        <v>7.319E-3</v>
      </c>
      <c r="F491" s="354">
        <v>1.0614500000000001E-2</v>
      </c>
    </row>
    <row r="492" spans="1:6" ht="12" thickBot="1">
      <c r="A492" s="352">
        <v>41043</v>
      </c>
      <c r="B492" s="353">
        <v>2.3874999999999999E-3</v>
      </c>
      <c r="C492" s="353">
        <v>3.4475E-3</v>
      </c>
      <c r="D492" s="353">
        <v>4.6585000000000003E-3</v>
      </c>
      <c r="E492" s="353">
        <v>7.3090000000000004E-3</v>
      </c>
      <c r="F492" s="354">
        <v>1.05895E-2</v>
      </c>
    </row>
    <row r="493" spans="1:6" ht="12" thickBot="1">
      <c r="A493" s="352">
        <v>41040</v>
      </c>
      <c r="B493" s="353">
        <v>2.3874999999999999E-3</v>
      </c>
      <c r="C493" s="353">
        <v>3.4575000000000001E-3</v>
      </c>
      <c r="D493" s="353">
        <v>4.6684999999999999E-3</v>
      </c>
      <c r="E493" s="353">
        <v>7.2989999999999999E-3</v>
      </c>
      <c r="F493" s="354">
        <v>1.0557E-2</v>
      </c>
    </row>
    <row r="494" spans="1:6" ht="12" thickBot="1">
      <c r="A494" s="352">
        <v>41039</v>
      </c>
      <c r="B494" s="353">
        <v>2.3874999999999999E-3</v>
      </c>
      <c r="C494" s="353">
        <v>3.4575000000000001E-3</v>
      </c>
      <c r="D494" s="353">
        <v>4.6684999999999999E-3</v>
      </c>
      <c r="E494" s="353">
        <v>7.2989999999999999E-3</v>
      </c>
      <c r="F494" s="354">
        <v>1.0547000000000001E-2</v>
      </c>
    </row>
    <row r="495" spans="1:6" ht="12" thickBot="1">
      <c r="A495" s="352">
        <v>41038</v>
      </c>
      <c r="B495" s="353">
        <v>2.3874999999999999E-3</v>
      </c>
      <c r="C495" s="353">
        <v>3.4575000000000001E-3</v>
      </c>
      <c r="D495" s="353">
        <v>4.6684999999999999E-3</v>
      </c>
      <c r="E495" s="353">
        <v>7.2989999999999999E-3</v>
      </c>
      <c r="F495" s="354">
        <v>1.0527E-2</v>
      </c>
    </row>
    <row r="496" spans="1:6" ht="12" thickBot="1">
      <c r="A496" s="352">
        <v>41037</v>
      </c>
      <c r="B496" s="353">
        <v>2.3874999999999999E-3</v>
      </c>
      <c r="C496" s="353">
        <v>3.4575000000000001E-3</v>
      </c>
      <c r="D496" s="353">
        <v>4.6585000000000003E-3</v>
      </c>
      <c r="E496" s="353">
        <v>7.2839999999999997E-3</v>
      </c>
      <c r="F496" s="354">
        <v>1.0492E-2</v>
      </c>
    </row>
    <row r="497" spans="1:6" ht="12" thickBot="1">
      <c r="A497" s="352">
        <v>41036</v>
      </c>
      <c r="B497" s="353">
        <v>2.3874999999999999E-3</v>
      </c>
      <c r="C497" s="353">
        <v>3.4575000000000001E-3</v>
      </c>
      <c r="D497" s="353">
        <v>4.6585000000000003E-3</v>
      </c>
      <c r="E497" s="353">
        <v>7.2839999999999997E-3</v>
      </c>
      <c r="F497" s="354">
        <v>1.0492E-2</v>
      </c>
    </row>
    <row r="498" spans="1:6" ht="12" thickBot="1">
      <c r="A498" s="352">
        <v>41033</v>
      </c>
      <c r="B498" s="353">
        <v>2.3874999999999999E-3</v>
      </c>
      <c r="C498" s="353">
        <v>3.4575000000000001E-3</v>
      </c>
      <c r="D498" s="353">
        <v>4.6585000000000003E-3</v>
      </c>
      <c r="E498" s="353">
        <v>7.2839999999999997E-3</v>
      </c>
      <c r="F498" s="354">
        <v>1.0492E-2</v>
      </c>
    </row>
    <row r="499" spans="1:6" ht="12" thickBot="1">
      <c r="A499" s="352">
        <v>41032</v>
      </c>
      <c r="B499" s="353">
        <v>2.3874999999999999E-3</v>
      </c>
      <c r="C499" s="353">
        <v>3.4575000000000001E-3</v>
      </c>
      <c r="D499" s="353">
        <v>4.6585000000000003E-3</v>
      </c>
      <c r="E499" s="353">
        <v>7.2740000000000001E-3</v>
      </c>
      <c r="F499" s="354">
        <v>1.0492E-2</v>
      </c>
    </row>
    <row r="500" spans="1:6" ht="12" thickBot="1">
      <c r="A500" s="352">
        <v>41031</v>
      </c>
      <c r="B500" s="353">
        <v>2.3874999999999999E-3</v>
      </c>
      <c r="C500" s="353">
        <v>3.4575000000000001E-3</v>
      </c>
      <c r="D500" s="353">
        <v>4.6585000000000003E-3</v>
      </c>
      <c r="E500" s="353">
        <v>7.2740000000000001E-3</v>
      </c>
      <c r="F500" s="354">
        <v>1.0472E-2</v>
      </c>
    </row>
    <row r="501" spans="1:6" ht="12" thickBot="1">
      <c r="A501" s="352">
        <v>41029</v>
      </c>
      <c r="B501" s="353">
        <v>2.3874999999999999E-3</v>
      </c>
      <c r="C501" s="353">
        <v>3.4675000000000001E-3</v>
      </c>
      <c r="D501" s="353">
        <v>4.6585000000000003E-3</v>
      </c>
      <c r="E501" s="353">
        <v>7.2839999999999997E-3</v>
      </c>
      <c r="F501" s="354">
        <v>1.0472E-2</v>
      </c>
    </row>
    <row r="502" spans="1:6" ht="12" thickBot="1">
      <c r="A502" s="352">
        <v>41026</v>
      </c>
      <c r="B502" s="353">
        <v>2.3874999999999999E-3</v>
      </c>
      <c r="C502" s="353">
        <v>3.4675000000000001E-3</v>
      </c>
      <c r="D502" s="353">
        <v>4.6585000000000003E-3</v>
      </c>
      <c r="E502" s="353">
        <v>7.2839999999999997E-3</v>
      </c>
      <c r="F502" s="354">
        <v>1.0472E-2</v>
      </c>
    </row>
    <row r="503" spans="1:6" ht="12" thickBot="1">
      <c r="A503" s="352">
        <v>41025</v>
      </c>
      <c r="B503" s="353">
        <v>2.3874999999999999E-3</v>
      </c>
      <c r="C503" s="353">
        <v>3.4675000000000001E-3</v>
      </c>
      <c r="D503" s="353">
        <v>4.6585000000000003E-3</v>
      </c>
      <c r="E503" s="353">
        <v>7.2839999999999997E-3</v>
      </c>
      <c r="F503" s="354">
        <v>1.0472E-2</v>
      </c>
    </row>
    <row r="504" spans="1:6" ht="12" thickBot="1">
      <c r="A504" s="352">
        <v>41024</v>
      </c>
      <c r="B504" s="353">
        <v>2.3874999999999999E-3</v>
      </c>
      <c r="C504" s="353">
        <v>3.4675000000000001E-3</v>
      </c>
      <c r="D504" s="353">
        <v>4.6585000000000003E-3</v>
      </c>
      <c r="E504" s="353">
        <v>7.2940000000000001E-3</v>
      </c>
      <c r="F504" s="354">
        <v>1.0472E-2</v>
      </c>
    </row>
    <row r="505" spans="1:6" ht="12" thickBot="1">
      <c r="A505" s="352">
        <v>41023</v>
      </c>
      <c r="B505" s="353">
        <v>2.3874999999999999E-3</v>
      </c>
      <c r="C505" s="353">
        <v>3.4675000000000001E-3</v>
      </c>
      <c r="D505" s="353">
        <v>4.6585000000000003E-3</v>
      </c>
      <c r="E505" s="353">
        <v>7.3039999999999997E-3</v>
      </c>
      <c r="F505" s="354">
        <v>1.0477E-2</v>
      </c>
    </row>
    <row r="506" spans="1:6" ht="12" thickBot="1">
      <c r="A506" s="352">
        <v>41022</v>
      </c>
      <c r="B506" s="353">
        <v>2.3874999999999999E-3</v>
      </c>
      <c r="C506" s="353">
        <v>3.4754999999999999E-3</v>
      </c>
      <c r="D506" s="353">
        <v>4.6565E-3</v>
      </c>
      <c r="E506" s="353">
        <v>7.3039999999999997E-3</v>
      </c>
      <c r="F506" s="354">
        <v>1.0477E-2</v>
      </c>
    </row>
    <row r="507" spans="1:6" ht="12" thickBot="1">
      <c r="A507" s="352">
        <v>41019</v>
      </c>
      <c r="B507" s="353">
        <v>2.3974999999999999E-3</v>
      </c>
      <c r="C507" s="353">
        <v>3.4754999999999999E-3</v>
      </c>
      <c r="D507" s="353">
        <v>4.6565E-3</v>
      </c>
      <c r="E507" s="353">
        <v>7.3039999999999997E-3</v>
      </c>
      <c r="F507" s="354">
        <v>1.0477E-2</v>
      </c>
    </row>
    <row r="508" spans="1:6" ht="12" thickBot="1">
      <c r="A508" s="352">
        <v>41018</v>
      </c>
      <c r="B508" s="353">
        <v>2.3974999999999999E-3</v>
      </c>
      <c r="C508" s="353">
        <v>3.4705000000000001E-3</v>
      </c>
      <c r="D508" s="353">
        <v>4.6565E-3</v>
      </c>
      <c r="E508" s="353">
        <v>7.3039999999999997E-3</v>
      </c>
      <c r="F508" s="354">
        <v>1.0472E-2</v>
      </c>
    </row>
    <row r="509" spans="1:6" ht="12" thickBot="1">
      <c r="A509" s="352">
        <v>41017</v>
      </c>
      <c r="B509" s="353">
        <v>2.3974999999999999E-3</v>
      </c>
      <c r="C509" s="353">
        <v>3.4705000000000001E-3</v>
      </c>
      <c r="D509" s="353">
        <v>4.6565E-3</v>
      </c>
      <c r="E509" s="353">
        <v>7.3090000000000004E-3</v>
      </c>
      <c r="F509" s="354">
        <v>1.0472E-2</v>
      </c>
    </row>
    <row r="510" spans="1:6" ht="12" thickBot="1">
      <c r="A510" s="352">
        <v>41016</v>
      </c>
      <c r="B510" s="353">
        <v>2.3974999999999999E-3</v>
      </c>
      <c r="C510" s="353">
        <v>3.4705000000000001E-3</v>
      </c>
      <c r="D510" s="353">
        <v>4.6565E-3</v>
      </c>
      <c r="E510" s="353">
        <v>7.3090000000000004E-3</v>
      </c>
      <c r="F510" s="354">
        <v>1.0482E-2</v>
      </c>
    </row>
    <row r="511" spans="1:6" ht="12" thickBot="1">
      <c r="A511" s="352">
        <v>41015</v>
      </c>
      <c r="B511" s="353">
        <v>2.3974999999999999E-3</v>
      </c>
      <c r="C511" s="353">
        <v>3.4654999999999998E-3</v>
      </c>
      <c r="D511" s="353">
        <v>4.6565E-3</v>
      </c>
      <c r="E511" s="353">
        <v>7.319E-3</v>
      </c>
      <c r="F511" s="354">
        <v>1.0501999999999999E-2</v>
      </c>
    </row>
    <row r="512" spans="1:6" ht="12" thickBot="1">
      <c r="A512" s="352">
        <v>41012</v>
      </c>
      <c r="B512" s="353">
        <v>2.3974999999999999E-3</v>
      </c>
      <c r="C512" s="353">
        <v>3.4605E-3</v>
      </c>
      <c r="D512" s="353">
        <v>4.6614999999999998E-3</v>
      </c>
      <c r="E512" s="353">
        <v>7.319E-3</v>
      </c>
      <c r="F512" s="354">
        <v>1.0487E-2</v>
      </c>
    </row>
    <row r="513" spans="1:6" ht="12" thickBot="1">
      <c r="A513" s="352">
        <v>41011</v>
      </c>
      <c r="B513" s="353">
        <v>2.4025000000000001E-3</v>
      </c>
      <c r="C513" s="353">
        <v>3.4754999999999999E-3</v>
      </c>
      <c r="D513" s="353">
        <v>4.6664999999999996E-3</v>
      </c>
      <c r="E513" s="353">
        <v>7.3239999999999998E-3</v>
      </c>
      <c r="F513" s="354">
        <v>1.0492E-2</v>
      </c>
    </row>
    <row r="514" spans="1:6" ht="12" thickBot="1">
      <c r="A514" s="352">
        <v>41010</v>
      </c>
      <c r="B514" s="353">
        <v>2.4025000000000001E-3</v>
      </c>
      <c r="C514" s="353">
        <v>3.4954999999999999E-3</v>
      </c>
      <c r="D514" s="353">
        <v>4.6864999999999997E-3</v>
      </c>
      <c r="E514" s="353">
        <v>7.3340000000000002E-3</v>
      </c>
      <c r="F514" s="354">
        <v>1.0507000000000001E-2</v>
      </c>
    </row>
    <row r="515" spans="1:6" ht="12" thickBot="1">
      <c r="A515" s="352">
        <v>41009</v>
      </c>
      <c r="B515" s="353">
        <v>2.4025000000000001E-3</v>
      </c>
      <c r="C515" s="353">
        <v>3.4979999999999998E-3</v>
      </c>
      <c r="D515" s="353">
        <v>4.6915000000000004E-3</v>
      </c>
      <c r="E515" s="353">
        <v>7.3340000000000002E-3</v>
      </c>
      <c r="F515" s="354">
        <v>1.0507000000000001E-2</v>
      </c>
    </row>
    <row r="516" spans="1:6" ht="12" thickBot="1">
      <c r="A516" s="352">
        <v>41008</v>
      </c>
      <c r="B516" s="353">
        <v>2.4125000000000001E-3</v>
      </c>
      <c r="C516" s="353">
        <v>3.4979999999999998E-3</v>
      </c>
      <c r="D516" s="353">
        <v>4.6915000000000004E-3</v>
      </c>
      <c r="E516" s="353">
        <v>7.3340000000000002E-3</v>
      </c>
      <c r="F516" s="354">
        <v>1.0507000000000001E-2</v>
      </c>
    </row>
    <row r="517" spans="1:6" ht="12" thickBot="1">
      <c r="A517" s="352">
        <v>41003</v>
      </c>
      <c r="B517" s="353">
        <v>2.4125000000000001E-3</v>
      </c>
      <c r="C517" s="353">
        <v>3.4979999999999998E-3</v>
      </c>
      <c r="D517" s="353">
        <v>4.6915000000000004E-3</v>
      </c>
      <c r="E517" s="353">
        <v>7.3439999999999998E-3</v>
      </c>
      <c r="F517" s="354">
        <v>1.0496999999999999E-2</v>
      </c>
    </row>
    <row r="518" spans="1:6" ht="12" thickBot="1">
      <c r="A518" s="352">
        <v>41002</v>
      </c>
      <c r="B518" s="353">
        <v>2.4125000000000001E-3</v>
      </c>
      <c r="C518" s="353">
        <v>3.4979999999999998E-3</v>
      </c>
      <c r="D518" s="353">
        <v>4.6915000000000004E-3</v>
      </c>
      <c r="E518" s="353">
        <v>7.3439999999999998E-3</v>
      </c>
      <c r="F518" s="354">
        <v>1.0496999999999999E-2</v>
      </c>
    </row>
    <row r="519" spans="1:6" ht="12" thickBot="1">
      <c r="A519" s="352">
        <v>41001</v>
      </c>
      <c r="B519" s="353">
        <v>2.4125000000000001E-3</v>
      </c>
      <c r="C519" s="353">
        <v>3.4880000000000002E-3</v>
      </c>
      <c r="D519" s="353">
        <v>4.6814999999999999E-3</v>
      </c>
      <c r="E519" s="353">
        <v>7.3340000000000002E-3</v>
      </c>
      <c r="F519" s="354">
        <v>1.0496999999999999E-2</v>
      </c>
    </row>
    <row r="520" spans="1:6" ht="12" thickBot="1">
      <c r="A520" s="352">
        <v>40998</v>
      </c>
      <c r="B520" s="353">
        <v>2.4125000000000001E-3</v>
      </c>
      <c r="C520" s="353">
        <v>3.4880000000000002E-3</v>
      </c>
      <c r="D520" s="353">
        <v>4.6814999999999999E-3</v>
      </c>
      <c r="E520" s="353">
        <v>7.3340000000000002E-3</v>
      </c>
      <c r="F520" s="354">
        <v>1.0485E-2</v>
      </c>
    </row>
    <row r="521" spans="1:6" ht="12" thickBot="1">
      <c r="A521" s="352">
        <v>40997</v>
      </c>
      <c r="B521" s="353">
        <v>2.4125000000000001E-3</v>
      </c>
      <c r="C521" s="353">
        <v>3.4880000000000002E-3</v>
      </c>
      <c r="D521" s="353">
        <v>4.6814999999999999E-3</v>
      </c>
      <c r="E521" s="353">
        <v>7.3429999999999997E-3</v>
      </c>
      <c r="F521" s="354">
        <v>1.0475E-2</v>
      </c>
    </row>
    <row r="522" spans="1:6" ht="12" thickBot="1">
      <c r="A522" s="352">
        <v>40996</v>
      </c>
      <c r="B522" s="353">
        <v>2.4125000000000001E-3</v>
      </c>
      <c r="C522" s="353">
        <v>3.4954999999999999E-3</v>
      </c>
      <c r="D522" s="353">
        <v>4.6965000000000002E-3</v>
      </c>
      <c r="E522" s="353">
        <v>7.358E-3</v>
      </c>
      <c r="F522" s="354">
        <v>1.048E-2</v>
      </c>
    </row>
    <row r="523" spans="1:6" ht="12" thickBot="1">
      <c r="A523" s="352">
        <v>40995</v>
      </c>
      <c r="B523" s="353">
        <v>2.4125000000000001E-3</v>
      </c>
      <c r="C523" s="353">
        <v>3.4979999999999998E-3</v>
      </c>
      <c r="D523" s="353">
        <v>4.7064999999999997E-3</v>
      </c>
      <c r="E523" s="353">
        <v>7.3680000000000004E-3</v>
      </c>
      <c r="F523" s="354">
        <v>1.0500000000000001E-2</v>
      </c>
    </row>
    <row r="524" spans="1:6" ht="12" thickBot="1">
      <c r="A524" s="352">
        <v>40994</v>
      </c>
      <c r="B524" s="353">
        <v>2.4125000000000001E-3</v>
      </c>
      <c r="C524" s="353">
        <v>3.4979999999999998E-3</v>
      </c>
      <c r="D524" s="353">
        <v>4.7264999999999998E-3</v>
      </c>
      <c r="E524" s="353">
        <v>7.3930000000000003E-3</v>
      </c>
      <c r="F524" s="354">
        <v>1.0515E-2</v>
      </c>
    </row>
    <row r="525" spans="1:6" ht="12" thickBot="1">
      <c r="A525" s="352">
        <v>40991</v>
      </c>
      <c r="B525" s="353">
        <v>2.4125000000000001E-3</v>
      </c>
      <c r="C525" s="353">
        <v>3.503E-3</v>
      </c>
      <c r="D525" s="353">
        <v>4.7314999999999996E-3</v>
      </c>
      <c r="E525" s="353">
        <v>7.4089999999999998E-3</v>
      </c>
      <c r="F525" s="354">
        <v>1.0521000000000001E-2</v>
      </c>
    </row>
    <row r="526" spans="1:6" ht="12" thickBot="1">
      <c r="A526" s="352">
        <v>40990</v>
      </c>
      <c r="B526" s="353">
        <v>2.4174999999999999E-3</v>
      </c>
      <c r="C526" s="353">
        <v>3.503E-3</v>
      </c>
      <c r="D526" s="353">
        <v>4.7365000000000003E-3</v>
      </c>
      <c r="E526" s="353">
        <v>7.3990000000000002E-3</v>
      </c>
      <c r="F526" s="354">
        <v>1.0531E-2</v>
      </c>
    </row>
    <row r="527" spans="1:6" ht="12" thickBot="1">
      <c r="A527" s="352">
        <v>40989</v>
      </c>
      <c r="B527" s="353">
        <v>2.4174999999999999E-3</v>
      </c>
      <c r="C527" s="353">
        <v>3.5049999999999999E-3</v>
      </c>
      <c r="D527" s="353">
        <v>4.7415000000000001E-3</v>
      </c>
      <c r="E527" s="353">
        <v>7.3990000000000002E-3</v>
      </c>
      <c r="F527" s="354">
        <v>1.0531E-2</v>
      </c>
    </row>
    <row r="528" spans="1:6" ht="12" thickBot="1">
      <c r="A528" s="352">
        <v>40988</v>
      </c>
      <c r="B528" s="353">
        <v>2.4174999999999999E-3</v>
      </c>
      <c r="C528" s="353">
        <v>3.5049999999999999E-3</v>
      </c>
      <c r="D528" s="353">
        <v>4.7415000000000001E-3</v>
      </c>
      <c r="E528" s="353">
        <v>7.3990000000000002E-3</v>
      </c>
      <c r="F528" s="354">
        <v>1.0531E-2</v>
      </c>
    </row>
    <row r="529" spans="1:6" ht="12" thickBot="1">
      <c r="A529" s="352">
        <v>40984</v>
      </c>
      <c r="B529" s="353">
        <v>2.4174999999999999E-3</v>
      </c>
      <c r="C529" s="353">
        <v>3.5049999999999999E-3</v>
      </c>
      <c r="D529" s="353">
        <v>4.7365000000000003E-3</v>
      </c>
      <c r="E529" s="353">
        <v>7.4089999999999998E-3</v>
      </c>
      <c r="F529" s="354">
        <v>1.0531E-2</v>
      </c>
    </row>
    <row r="530" spans="1:6" ht="12" thickBot="1">
      <c r="A530" s="352">
        <v>40983</v>
      </c>
      <c r="B530" s="353">
        <v>2.4174999999999999E-3</v>
      </c>
      <c r="C530" s="353">
        <v>3.5049999999999999E-3</v>
      </c>
      <c r="D530" s="353">
        <v>4.7365000000000003E-3</v>
      </c>
      <c r="E530" s="353">
        <v>7.4250000000000002E-3</v>
      </c>
      <c r="F530" s="354">
        <v>1.0536999999999999E-2</v>
      </c>
    </row>
    <row r="531" spans="1:6" ht="12" thickBot="1">
      <c r="A531" s="352">
        <v>40982</v>
      </c>
      <c r="B531" s="353">
        <v>2.4174999999999999E-3</v>
      </c>
      <c r="C531" s="353">
        <v>3.5049999999999999E-3</v>
      </c>
      <c r="D531" s="353">
        <v>4.7365000000000003E-3</v>
      </c>
      <c r="E531" s="353">
        <v>7.4349999999999998E-3</v>
      </c>
      <c r="F531" s="354">
        <v>1.0567E-2</v>
      </c>
    </row>
    <row r="532" spans="1:6" ht="12" thickBot="1">
      <c r="A532" s="352">
        <v>40981</v>
      </c>
      <c r="B532" s="353">
        <v>2.4174999999999999E-3</v>
      </c>
      <c r="C532" s="353">
        <v>3.5049999999999999E-3</v>
      </c>
      <c r="D532" s="353">
        <v>4.7365000000000003E-3</v>
      </c>
      <c r="E532" s="353">
        <v>7.4440000000000001E-3</v>
      </c>
      <c r="F532" s="354">
        <v>1.0566000000000001E-2</v>
      </c>
    </row>
    <row r="533" spans="1:6" ht="12" thickBot="1">
      <c r="A533" s="352">
        <v>40980</v>
      </c>
      <c r="B533" s="353">
        <v>2.4174999999999999E-3</v>
      </c>
      <c r="C533" s="353">
        <v>3.5049999999999999E-3</v>
      </c>
      <c r="D533" s="353">
        <v>4.7355000000000001E-3</v>
      </c>
      <c r="E533" s="353">
        <v>7.4419999999999998E-3</v>
      </c>
      <c r="F533" s="354">
        <v>1.0564E-2</v>
      </c>
    </row>
    <row r="534" spans="1:6" ht="12" thickBot="1">
      <c r="A534" s="352">
        <v>40977</v>
      </c>
      <c r="B534" s="353">
        <v>2.4174999999999999E-3</v>
      </c>
      <c r="C534" s="353">
        <v>3.5049999999999999E-3</v>
      </c>
      <c r="D534" s="353">
        <v>4.7355000000000001E-3</v>
      </c>
      <c r="E534" s="353">
        <v>7.4419999999999998E-3</v>
      </c>
      <c r="F534" s="354">
        <v>1.0553999999999999E-2</v>
      </c>
    </row>
    <row r="535" spans="1:6" ht="12" thickBot="1">
      <c r="A535" s="352">
        <v>40976</v>
      </c>
      <c r="B535" s="353">
        <v>2.4174999999999999E-3</v>
      </c>
      <c r="C535" s="353">
        <v>3.5049999999999999E-3</v>
      </c>
      <c r="D535" s="353">
        <v>4.7355000000000001E-3</v>
      </c>
      <c r="E535" s="353">
        <v>7.4419999999999998E-3</v>
      </c>
      <c r="F535" s="354">
        <v>1.0553999999999999E-2</v>
      </c>
    </row>
    <row r="536" spans="1:6" ht="12" thickBot="1">
      <c r="A536" s="352">
        <v>40975</v>
      </c>
      <c r="B536" s="353">
        <v>2.4275E-3</v>
      </c>
      <c r="C536" s="353">
        <v>3.5200000000000001E-3</v>
      </c>
      <c r="D536" s="353">
        <v>4.7454999999999997E-3</v>
      </c>
      <c r="E536" s="353">
        <v>7.4419999999999998E-3</v>
      </c>
      <c r="F536" s="354">
        <v>1.0553999999999999E-2</v>
      </c>
    </row>
    <row r="537" spans="1:6" ht="12" thickBot="1">
      <c r="A537" s="352">
        <v>40974</v>
      </c>
      <c r="B537" s="353">
        <v>2.4275E-3</v>
      </c>
      <c r="C537" s="353">
        <v>3.5200000000000001E-3</v>
      </c>
      <c r="D537" s="353">
        <v>4.7454999999999997E-3</v>
      </c>
      <c r="E537" s="353">
        <v>7.4320000000000002E-3</v>
      </c>
      <c r="F537" s="354">
        <v>1.0544E-2</v>
      </c>
    </row>
    <row r="538" spans="1:6" ht="12" thickBot="1">
      <c r="A538" s="352">
        <v>40973</v>
      </c>
      <c r="B538" s="353">
        <v>2.4275E-3</v>
      </c>
      <c r="C538" s="353">
        <v>3.5249999999999999E-3</v>
      </c>
      <c r="D538" s="353">
        <v>4.7454999999999997E-3</v>
      </c>
      <c r="E538" s="353">
        <v>7.4320000000000002E-3</v>
      </c>
      <c r="F538" s="354">
        <v>1.0544E-2</v>
      </c>
    </row>
    <row r="539" spans="1:6" ht="12" thickBot="1">
      <c r="A539" s="352">
        <v>40970</v>
      </c>
      <c r="B539" s="353">
        <v>2.4275E-3</v>
      </c>
      <c r="C539" s="353">
        <v>3.5325E-3</v>
      </c>
      <c r="D539" s="353">
        <v>4.7574999999999996E-3</v>
      </c>
      <c r="E539" s="353">
        <v>7.4524999999999999E-3</v>
      </c>
      <c r="F539" s="354">
        <v>1.0552000000000001E-2</v>
      </c>
    </row>
    <row r="540" spans="1:6" ht="12" thickBot="1">
      <c r="A540" s="352">
        <v>40969</v>
      </c>
      <c r="B540" s="353">
        <v>2.4299999999999999E-3</v>
      </c>
      <c r="C540" s="353">
        <v>3.555E-3</v>
      </c>
      <c r="D540" s="353">
        <v>4.797E-3</v>
      </c>
      <c r="E540" s="353">
        <v>7.4819999999999999E-3</v>
      </c>
      <c r="F540" s="354">
        <v>1.05915E-2</v>
      </c>
    </row>
    <row r="541" spans="1:6" ht="12" thickBot="1">
      <c r="A541" s="352">
        <v>40968</v>
      </c>
      <c r="B541" s="353">
        <v>2.4350000000000001E-3</v>
      </c>
      <c r="C541" s="353">
        <v>3.5674999999999999E-3</v>
      </c>
      <c r="D541" s="353">
        <v>4.8424999999999996E-3</v>
      </c>
      <c r="E541" s="353">
        <v>7.4875000000000002E-3</v>
      </c>
      <c r="F541" s="354">
        <v>1.0598E-2</v>
      </c>
    </row>
    <row r="542" spans="1:6" ht="12" thickBot="1">
      <c r="A542" s="352">
        <v>40967</v>
      </c>
      <c r="B542" s="353">
        <v>2.4399999999999999E-3</v>
      </c>
      <c r="C542" s="353">
        <v>3.5799999999999998E-3</v>
      </c>
      <c r="D542" s="353">
        <v>4.875E-3</v>
      </c>
      <c r="E542" s="353">
        <v>7.5050000000000004E-3</v>
      </c>
      <c r="F542" s="354">
        <v>1.0630499999999999E-2</v>
      </c>
    </row>
    <row r="543" spans="1:6" ht="12" thickBot="1">
      <c r="A543" s="352">
        <v>40966</v>
      </c>
      <c r="B543" s="353">
        <v>2.4399999999999999E-3</v>
      </c>
      <c r="C543" s="353">
        <v>3.5850000000000001E-3</v>
      </c>
      <c r="D543" s="353">
        <v>4.8910000000000004E-3</v>
      </c>
      <c r="E543" s="353">
        <v>7.5209999999999999E-3</v>
      </c>
      <c r="F543" s="354">
        <v>1.0661500000000001E-2</v>
      </c>
    </row>
    <row r="544" spans="1:6" ht="12" thickBot="1">
      <c r="A544" s="352">
        <v>40963</v>
      </c>
      <c r="B544" s="353">
        <v>2.4399999999999999E-3</v>
      </c>
      <c r="C544" s="353">
        <v>3.5899999999999999E-3</v>
      </c>
      <c r="D544" s="353">
        <v>4.9059999999999998E-3</v>
      </c>
      <c r="E544" s="353">
        <v>7.5310000000000004E-3</v>
      </c>
      <c r="F544" s="354">
        <v>1.06605E-2</v>
      </c>
    </row>
    <row r="545" spans="1:6" ht="12" thickBot="1">
      <c r="A545" s="352">
        <v>40962</v>
      </c>
      <c r="B545" s="353">
        <v>2.4399999999999999E-3</v>
      </c>
      <c r="C545" s="353">
        <v>3.5899999999999999E-3</v>
      </c>
      <c r="D545" s="353">
        <v>4.9059999999999998E-3</v>
      </c>
      <c r="E545" s="353">
        <v>7.5310000000000004E-3</v>
      </c>
      <c r="F545" s="354">
        <v>1.06605E-2</v>
      </c>
    </row>
    <row r="546" spans="1:6" ht="12" thickBot="1">
      <c r="A546" s="352">
        <v>40961</v>
      </c>
      <c r="B546" s="353">
        <v>2.4450000000000001E-3</v>
      </c>
      <c r="C546" s="353">
        <v>3.5950000000000001E-3</v>
      </c>
      <c r="D546" s="353">
        <v>4.9160000000000002E-3</v>
      </c>
      <c r="E546" s="353">
        <v>7.5310000000000004E-3</v>
      </c>
      <c r="F546" s="354">
        <v>1.06605E-2</v>
      </c>
    </row>
    <row r="547" spans="1:6" ht="12" thickBot="1">
      <c r="A547" s="352">
        <v>40960</v>
      </c>
      <c r="B547" s="353">
        <v>2.4550000000000002E-3</v>
      </c>
      <c r="C547" s="353">
        <v>3.6050000000000001E-3</v>
      </c>
      <c r="D547" s="353">
        <v>4.9259999999999998E-3</v>
      </c>
      <c r="E547" s="353">
        <v>7.5209999999999999E-3</v>
      </c>
      <c r="F547" s="354">
        <v>1.06605E-2</v>
      </c>
    </row>
    <row r="548" spans="1:6" ht="12" thickBot="1">
      <c r="A548" s="352">
        <v>40959</v>
      </c>
      <c r="B548" s="353">
        <v>2.4550000000000002E-3</v>
      </c>
      <c r="C548" s="353">
        <v>3.6050000000000001E-3</v>
      </c>
      <c r="D548" s="353">
        <v>4.9309999999999996E-3</v>
      </c>
      <c r="E548" s="353">
        <v>7.5110000000000003E-3</v>
      </c>
      <c r="F548" s="354">
        <v>1.06605E-2</v>
      </c>
    </row>
    <row r="549" spans="1:6" ht="12" thickBot="1">
      <c r="A549" s="352">
        <v>40956</v>
      </c>
      <c r="B549" s="353">
        <v>2.4550000000000002E-3</v>
      </c>
      <c r="C549" s="353">
        <v>3.6050000000000001E-3</v>
      </c>
      <c r="D549" s="353">
        <v>4.9309999999999996E-3</v>
      </c>
      <c r="E549" s="353">
        <v>7.5110000000000003E-3</v>
      </c>
      <c r="F549" s="354">
        <v>1.06605E-2</v>
      </c>
    </row>
    <row r="550" spans="1:6" ht="12" thickBot="1">
      <c r="A550" s="352">
        <v>40955</v>
      </c>
      <c r="B550" s="353">
        <v>2.4550000000000002E-3</v>
      </c>
      <c r="C550" s="353">
        <v>3.6050000000000001E-3</v>
      </c>
      <c r="D550" s="353">
        <v>4.9309999999999996E-3</v>
      </c>
      <c r="E550" s="353">
        <v>7.5209999999999999E-3</v>
      </c>
      <c r="F550" s="354">
        <v>1.06605E-2</v>
      </c>
    </row>
    <row r="551" spans="1:6" ht="12" thickBot="1">
      <c r="A551" s="352">
        <v>40954</v>
      </c>
      <c r="B551" s="353">
        <v>2.4599999999999999E-3</v>
      </c>
      <c r="C551" s="353">
        <v>3.6150000000000002E-3</v>
      </c>
      <c r="D551" s="353">
        <v>4.9509999999999997E-3</v>
      </c>
      <c r="E551" s="353">
        <v>7.5209999999999999E-3</v>
      </c>
      <c r="F551" s="354">
        <v>1.06555E-2</v>
      </c>
    </row>
    <row r="552" spans="1:6" ht="12" thickBot="1">
      <c r="A552" s="352">
        <v>40953</v>
      </c>
      <c r="B552" s="353">
        <v>2.4750000000000002E-3</v>
      </c>
      <c r="C552" s="353">
        <v>3.64E-3</v>
      </c>
      <c r="D552" s="353">
        <v>4.9760000000000004E-3</v>
      </c>
      <c r="E552" s="353">
        <v>7.5360000000000002E-3</v>
      </c>
      <c r="F552" s="354">
        <v>1.0675499999999999E-2</v>
      </c>
    </row>
    <row r="553" spans="1:6" ht="12" thickBot="1">
      <c r="A553" s="352">
        <v>40952</v>
      </c>
      <c r="B553" s="353">
        <v>2.4849999999999998E-3</v>
      </c>
      <c r="C553" s="353">
        <v>3.6749999999999999E-3</v>
      </c>
      <c r="D553" s="353">
        <v>5.0260000000000001E-3</v>
      </c>
      <c r="E553" s="353">
        <v>7.5560000000000002E-3</v>
      </c>
      <c r="F553" s="354">
        <v>1.0678E-2</v>
      </c>
    </row>
    <row r="554" spans="1:6" ht="12" thickBot="1">
      <c r="A554" s="352">
        <v>40949</v>
      </c>
      <c r="B554" s="353">
        <v>2.5049999999999998E-3</v>
      </c>
      <c r="C554" s="353">
        <v>3.705E-3</v>
      </c>
      <c r="D554" s="353">
        <v>5.0600000000000003E-3</v>
      </c>
      <c r="E554" s="353">
        <v>7.5810000000000001E-3</v>
      </c>
      <c r="F554" s="354">
        <v>1.0697999999999999E-2</v>
      </c>
    </row>
    <row r="555" spans="1:6" ht="12" thickBot="1">
      <c r="A555" s="352">
        <v>40948</v>
      </c>
      <c r="B555" s="353">
        <v>2.5349999999999999E-3</v>
      </c>
      <c r="C555" s="353">
        <v>3.7599999999999999E-3</v>
      </c>
      <c r="D555" s="353">
        <v>5.1000000000000004E-3</v>
      </c>
      <c r="E555" s="353">
        <v>7.5859999999999999E-3</v>
      </c>
      <c r="F555" s="354">
        <v>1.0725E-2</v>
      </c>
    </row>
    <row r="556" spans="1:6" ht="12" thickBot="1">
      <c r="A556" s="352">
        <v>40947</v>
      </c>
      <c r="B556" s="353">
        <v>2.5474999999999999E-3</v>
      </c>
      <c r="C556" s="353">
        <v>3.7775E-3</v>
      </c>
      <c r="D556" s="353">
        <v>5.1324999999999999E-3</v>
      </c>
      <c r="E556" s="353">
        <v>7.6224999999999999E-3</v>
      </c>
      <c r="F556" s="354">
        <v>1.0762499999999999E-2</v>
      </c>
    </row>
    <row r="557" spans="1:6" ht="12" thickBot="1">
      <c r="A557" s="352">
        <v>40946</v>
      </c>
      <c r="B557" s="353">
        <v>2.5699999999999998E-3</v>
      </c>
      <c r="C557" s="353">
        <v>3.81E-3</v>
      </c>
      <c r="D557" s="353">
        <v>5.1999999999999998E-3</v>
      </c>
      <c r="E557" s="353">
        <v>7.6600000000000001E-3</v>
      </c>
      <c r="F557" s="354">
        <v>1.0802000000000001E-2</v>
      </c>
    </row>
    <row r="558" spans="1:6" ht="12" thickBot="1">
      <c r="A558" s="352">
        <v>40945</v>
      </c>
      <c r="B558" s="353">
        <v>2.5975E-3</v>
      </c>
      <c r="C558" s="353">
        <v>3.8425E-3</v>
      </c>
      <c r="D558" s="353">
        <v>5.2325000000000002E-3</v>
      </c>
      <c r="E558" s="353">
        <v>7.6874999999999999E-3</v>
      </c>
      <c r="F558" s="354">
        <v>1.08275E-2</v>
      </c>
    </row>
    <row r="559" spans="1:6" ht="12" thickBot="1">
      <c r="A559" s="352">
        <v>40942</v>
      </c>
      <c r="B559" s="353">
        <v>2.6050000000000001E-3</v>
      </c>
      <c r="C559" s="353">
        <v>3.8600000000000001E-3</v>
      </c>
      <c r="D559" s="353">
        <v>5.2700000000000004E-3</v>
      </c>
      <c r="E559" s="353">
        <v>7.685E-3</v>
      </c>
      <c r="F559" s="354">
        <v>1.0840000000000001E-2</v>
      </c>
    </row>
    <row r="560" spans="1:6" ht="12" thickBot="1">
      <c r="A560" s="352">
        <v>40941</v>
      </c>
      <c r="B560" s="353">
        <v>2.6250000000000002E-3</v>
      </c>
      <c r="C560" s="353">
        <v>3.8800000000000002E-3</v>
      </c>
      <c r="D560" s="353">
        <v>5.306E-3</v>
      </c>
      <c r="E560" s="353">
        <v>7.7000000000000002E-3</v>
      </c>
      <c r="F560" s="354">
        <v>1.0865E-2</v>
      </c>
    </row>
    <row r="561" spans="1:6" ht="12" thickBot="1">
      <c r="A561" s="352">
        <v>40940</v>
      </c>
      <c r="B561" s="353">
        <v>2.64E-3</v>
      </c>
      <c r="C561" s="353">
        <v>3.9249999999999997E-3</v>
      </c>
      <c r="D561" s="353">
        <v>5.3709999999999999E-3</v>
      </c>
      <c r="E561" s="353">
        <v>7.7250000000000001E-3</v>
      </c>
      <c r="F561" s="354">
        <v>1.0907E-2</v>
      </c>
    </row>
    <row r="562" spans="1:6" ht="12" thickBot="1">
      <c r="A562" s="352">
        <v>40939</v>
      </c>
      <c r="B562" s="353">
        <v>2.6475000000000001E-3</v>
      </c>
      <c r="C562" s="353">
        <v>3.9445000000000001E-3</v>
      </c>
      <c r="D562" s="353">
        <v>5.4235000000000004E-3</v>
      </c>
      <c r="E562" s="353">
        <v>7.7825000000000004E-3</v>
      </c>
      <c r="F562" s="354">
        <v>1.0957E-2</v>
      </c>
    </row>
    <row r="563" spans="1:6" ht="12" thickBot="1">
      <c r="A563" s="352">
        <v>40938</v>
      </c>
      <c r="B563" s="353">
        <v>2.6775000000000002E-3</v>
      </c>
      <c r="C563" s="353">
        <v>3.9824999999999999E-3</v>
      </c>
      <c r="D563" s="353">
        <v>5.4685000000000003E-3</v>
      </c>
      <c r="E563" s="353">
        <v>7.8150000000000008E-3</v>
      </c>
      <c r="F563" s="354">
        <v>1.09745E-2</v>
      </c>
    </row>
    <row r="564" spans="1:6" ht="12" thickBot="1">
      <c r="A564" s="352">
        <v>40935</v>
      </c>
      <c r="B564" s="353">
        <v>2.7000000000000001E-3</v>
      </c>
      <c r="C564" s="353">
        <v>4.0249999999999999E-3</v>
      </c>
      <c r="D564" s="353">
        <v>5.5110000000000003E-3</v>
      </c>
      <c r="E564" s="353">
        <v>7.8525000000000001E-3</v>
      </c>
      <c r="F564" s="354">
        <v>1.0992E-2</v>
      </c>
    </row>
    <row r="565" spans="1:6" ht="12" thickBot="1">
      <c r="A565" s="352">
        <v>40934</v>
      </c>
      <c r="B565" s="353">
        <v>2.7049999999999999E-3</v>
      </c>
      <c r="C565" s="353">
        <v>4.0350000000000004E-3</v>
      </c>
      <c r="D565" s="353">
        <v>5.5310000000000003E-3</v>
      </c>
      <c r="E565" s="353">
        <v>7.8674999999999995E-3</v>
      </c>
      <c r="F565" s="354">
        <v>1.1017000000000001E-2</v>
      </c>
    </row>
    <row r="566" spans="1:6" ht="12" thickBot="1">
      <c r="A566" s="352">
        <v>40933</v>
      </c>
      <c r="B566" s="353">
        <v>2.728E-3</v>
      </c>
      <c r="C566" s="353">
        <v>4.052E-3</v>
      </c>
      <c r="D566" s="353">
        <v>5.5659999999999998E-3</v>
      </c>
      <c r="E566" s="353">
        <v>7.9174999999999992E-3</v>
      </c>
      <c r="F566" s="354">
        <v>1.1079500000000001E-2</v>
      </c>
    </row>
    <row r="567" spans="1:6" ht="12" thickBot="1">
      <c r="A567" s="352">
        <v>40932</v>
      </c>
      <c r="B567" s="353">
        <v>2.7529999999999998E-3</v>
      </c>
      <c r="C567" s="353">
        <v>4.0720000000000001E-3</v>
      </c>
      <c r="D567" s="353">
        <v>5.5909999999999996E-3</v>
      </c>
      <c r="E567" s="353">
        <v>7.9124999999999994E-3</v>
      </c>
      <c r="F567" s="354">
        <v>1.1084500000000001E-2</v>
      </c>
    </row>
    <row r="568" spans="1:6" ht="12" thickBot="1">
      <c r="A568" s="352">
        <v>40931</v>
      </c>
      <c r="B568" s="353">
        <v>2.7629999999999998E-3</v>
      </c>
      <c r="C568" s="353">
        <v>4.0819999999999997E-3</v>
      </c>
      <c r="D568" s="353">
        <v>5.6010000000000001E-3</v>
      </c>
      <c r="E568" s="353">
        <v>7.9275000000000005E-3</v>
      </c>
      <c r="F568" s="354">
        <v>1.10995E-2</v>
      </c>
    </row>
    <row r="569" spans="1:6" ht="12" thickBot="1">
      <c r="A569" s="352">
        <v>40928</v>
      </c>
      <c r="B569" s="353">
        <v>2.7729999999999999E-3</v>
      </c>
      <c r="C569" s="353">
        <v>4.0870000000000004E-3</v>
      </c>
      <c r="D569" s="353">
        <v>5.6109999999999997E-3</v>
      </c>
      <c r="E569" s="353">
        <v>7.9174999999999992E-3</v>
      </c>
      <c r="F569" s="354">
        <v>1.10995E-2</v>
      </c>
    </row>
    <row r="570" spans="1:6" ht="12" thickBot="1">
      <c r="A570" s="352">
        <v>40927</v>
      </c>
      <c r="B570" s="353">
        <v>2.7889999999999998E-3</v>
      </c>
      <c r="C570" s="353">
        <v>4.0930000000000003E-3</v>
      </c>
      <c r="D570" s="353">
        <v>5.6119999999999998E-3</v>
      </c>
      <c r="E570" s="353">
        <v>7.9174999999999992E-3</v>
      </c>
      <c r="F570" s="354">
        <v>1.1100499999999999E-2</v>
      </c>
    </row>
    <row r="571" spans="1:6" ht="12" thickBot="1">
      <c r="A571" s="352">
        <v>40926</v>
      </c>
      <c r="B571" s="353">
        <v>2.8089999999999999E-3</v>
      </c>
      <c r="C571" s="353">
        <v>4.0930000000000003E-3</v>
      </c>
      <c r="D571" s="353">
        <v>5.6119999999999998E-3</v>
      </c>
      <c r="E571" s="353">
        <v>7.9174999999999992E-3</v>
      </c>
      <c r="F571" s="354">
        <v>1.1100499999999999E-2</v>
      </c>
    </row>
    <row r="572" spans="1:6" ht="12" thickBot="1">
      <c r="A572" s="352">
        <v>40925</v>
      </c>
      <c r="B572" s="353">
        <v>2.81E-3</v>
      </c>
      <c r="C572" s="353">
        <v>4.0990000000000002E-3</v>
      </c>
      <c r="D572" s="353">
        <v>5.6230000000000004E-3</v>
      </c>
      <c r="E572" s="353">
        <v>7.9275000000000005E-3</v>
      </c>
      <c r="F572" s="354">
        <v>1.11015E-2</v>
      </c>
    </row>
    <row r="573" spans="1:6" ht="12" thickBot="1">
      <c r="A573" s="352">
        <v>40924</v>
      </c>
      <c r="B573" s="353">
        <v>2.8159999999999999E-3</v>
      </c>
      <c r="C573" s="353">
        <v>4.1149999999999997E-3</v>
      </c>
      <c r="D573" s="353">
        <v>5.6490000000000004E-3</v>
      </c>
      <c r="E573" s="353">
        <v>7.9325000000000003E-3</v>
      </c>
      <c r="F573" s="354">
        <v>1.1117500000000001E-2</v>
      </c>
    </row>
    <row r="574" spans="1:6" ht="12" thickBot="1">
      <c r="A574" s="352">
        <v>40921</v>
      </c>
      <c r="B574" s="353">
        <v>2.8509999999999998E-3</v>
      </c>
      <c r="C574" s="353">
        <v>4.15E-3</v>
      </c>
      <c r="D574" s="353">
        <v>5.6699999999999997E-3</v>
      </c>
      <c r="E574" s="353">
        <v>7.9424999999999999E-3</v>
      </c>
      <c r="F574" s="354">
        <v>1.11395E-2</v>
      </c>
    </row>
    <row r="575" spans="1:6" ht="12" thickBot="1">
      <c r="A575" s="352">
        <v>40920</v>
      </c>
      <c r="B575" s="353">
        <v>2.8960000000000001E-3</v>
      </c>
      <c r="C575" s="353">
        <v>4.1999999999999997E-3</v>
      </c>
      <c r="D575" s="353">
        <v>5.7149999999999996E-3</v>
      </c>
      <c r="E575" s="353">
        <v>8.0225000000000001E-3</v>
      </c>
      <c r="F575" s="354">
        <v>1.11945E-2</v>
      </c>
    </row>
    <row r="576" spans="1:6" ht="12" thickBot="1">
      <c r="A576" s="352">
        <v>40919</v>
      </c>
      <c r="B576" s="353">
        <v>2.947E-3</v>
      </c>
      <c r="C576" s="353">
        <v>4.261E-3</v>
      </c>
      <c r="D576" s="353">
        <v>5.7650000000000002E-3</v>
      </c>
      <c r="E576" s="353">
        <v>8.0675E-3</v>
      </c>
      <c r="F576" s="354">
        <v>1.12435E-2</v>
      </c>
    </row>
    <row r="577" spans="1:6" ht="12" thickBot="1">
      <c r="A577" s="352">
        <v>40918</v>
      </c>
      <c r="B577" s="353">
        <v>2.9580000000000001E-3</v>
      </c>
      <c r="C577" s="353">
        <v>4.2820000000000002E-3</v>
      </c>
      <c r="D577" s="353">
        <v>5.7949999999999998E-3</v>
      </c>
      <c r="E577" s="353">
        <v>8.0850000000000002E-3</v>
      </c>
      <c r="F577" s="354">
        <v>1.12605E-2</v>
      </c>
    </row>
    <row r="578" spans="1:6" ht="12" thickBot="1">
      <c r="A578" s="352">
        <v>40914</v>
      </c>
      <c r="B578" s="353">
        <v>2.9629999999999999E-3</v>
      </c>
      <c r="C578" s="353">
        <v>4.2820000000000002E-3</v>
      </c>
      <c r="D578" s="353">
        <v>5.8149999999999999E-3</v>
      </c>
      <c r="E578" s="353">
        <v>8.1200000000000005E-3</v>
      </c>
      <c r="F578" s="354">
        <v>1.1303499999999999E-2</v>
      </c>
    </row>
    <row r="579" spans="1:6" ht="12" thickBot="1">
      <c r="A579" s="352">
        <v>40913</v>
      </c>
      <c r="B579" s="353">
        <v>2.9529999999999999E-3</v>
      </c>
      <c r="C579" s="353">
        <v>4.2919999999999998E-3</v>
      </c>
      <c r="D579" s="353">
        <v>5.8250000000000003E-3</v>
      </c>
      <c r="E579" s="353">
        <v>8.1200000000000005E-3</v>
      </c>
      <c r="F579" s="354">
        <v>1.1303499999999999E-2</v>
      </c>
    </row>
    <row r="580" spans="1:6" ht="12" thickBot="1">
      <c r="A580" s="352">
        <v>40912</v>
      </c>
      <c r="B580" s="353">
        <v>2.9529999999999999E-3</v>
      </c>
      <c r="C580" s="353">
        <v>4.2820000000000002E-3</v>
      </c>
      <c r="D580" s="353">
        <v>5.8250000000000003E-3</v>
      </c>
      <c r="E580" s="353">
        <v>8.1099999999999992E-3</v>
      </c>
      <c r="F580" s="354">
        <v>1.1303499999999999E-2</v>
      </c>
    </row>
    <row r="581" spans="1:6" ht="12" thickBot="1">
      <c r="A581" s="352">
        <v>40911</v>
      </c>
      <c r="B581" s="353">
        <v>2.9529999999999999E-3</v>
      </c>
      <c r="C581" s="353">
        <v>4.2810000000000001E-3</v>
      </c>
      <c r="D581" s="353">
        <v>5.8250000000000003E-3</v>
      </c>
      <c r="E581" s="353">
        <v>8.1099999999999992E-3</v>
      </c>
      <c r="F581" s="354">
        <v>1.13005E-2</v>
      </c>
    </row>
    <row r="582" spans="1:6" ht="12" thickBot="1">
      <c r="A582" s="355">
        <v>40910</v>
      </c>
      <c r="B582" s="356">
        <v>2.9529999999999999E-3</v>
      </c>
      <c r="C582" s="356">
        <v>4.2709999999999996E-3</v>
      </c>
      <c r="D582" s="356">
        <v>5.8100000000000001E-3</v>
      </c>
      <c r="E582" s="356">
        <v>8.0850000000000002E-3</v>
      </c>
      <c r="F582" s="357">
        <v>1.1280500000000001E-2</v>
      </c>
    </row>
    <row r="583" spans="1:6">
      <c r="A583" s="346">
        <v>2011</v>
      </c>
      <c r="B583" s="347"/>
      <c r="C583" s="347"/>
      <c r="D583" s="347"/>
      <c r="E583" s="347"/>
      <c r="F583" s="347"/>
    </row>
    <row r="584" spans="1:6" ht="12" thickBot="1">
      <c r="A584" s="348"/>
      <c r="B584" s="610"/>
      <c r="C584" s="611"/>
      <c r="D584" s="611"/>
      <c r="E584" s="611"/>
      <c r="F584" s="612"/>
    </row>
    <row r="585" spans="1:6" ht="12" thickBot="1">
      <c r="A585" s="349" t="s">
        <v>1061</v>
      </c>
      <c r="B585" s="350" t="s">
        <v>1062</v>
      </c>
      <c r="C585" s="350" t="s">
        <v>1063</v>
      </c>
      <c r="D585" s="350" t="s">
        <v>1064</v>
      </c>
      <c r="E585" s="350" t="s">
        <v>1065</v>
      </c>
      <c r="F585" s="351" t="s">
        <v>1066</v>
      </c>
    </row>
    <row r="586" spans="1:6" ht="12" thickBot="1">
      <c r="A586" s="352">
        <v>40907</v>
      </c>
      <c r="B586" s="353">
        <v>2.9529999999999999E-3</v>
      </c>
      <c r="C586" s="353">
        <v>4.2709999999999996E-3</v>
      </c>
      <c r="D586" s="353">
        <v>5.8100000000000001E-3</v>
      </c>
      <c r="E586" s="353">
        <v>8.0850000000000002E-3</v>
      </c>
      <c r="F586" s="354">
        <v>1.1280500000000001E-2</v>
      </c>
    </row>
    <row r="587" spans="1:6" ht="12" thickBot="1">
      <c r="A587" s="352">
        <v>40906</v>
      </c>
      <c r="B587" s="353">
        <v>2.9529999999999999E-3</v>
      </c>
      <c r="C587" s="353">
        <v>4.2709999999999996E-3</v>
      </c>
      <c r="D587" s="353">
        <v>5.8100000000000001E-3</v>
      </c>
      <c r="E587" s="353">
        <v>8.0850000000000002E-3</v>
      </c>
      <c r="F587" s="354">
        <v>1.1280500000000001E-2</v>
      </c>
    </row>
    <row r="588" spans="1:6" ht="12" thickBot="1">
      <c r="A588" s="352">
        <v>40905</v>
      </c>
      <c r="B588" s="353">
        <v>2.9629999999999999E-3</v>
      </c>
      <c r="C588" s="353">
        <v>4.2515000000000001E-3</v>
      </c>
      <c r="D588" s="353">
        <v>5.7924999999999999E-3</v>
      </c>
      <c r="E588" s="353">
        <v>8.0800000000000004E-3</v>
      </c>
      <c r="F588" s="354">
        <v>1.1269E-2</v>
      </c>
    </row>
    <row r="589" spans="1:6" ht="12" thickBot="1">
      <c r="A589" s="352">
        <v>40904</v>
      </c>
      <c r="B589" s="353">
        <v>2.9394999999999998E-3</v>
      </c>
      <c r="C589" s="353">
        <v>4.2220000000000001E-3</v>
      </c>
      <c r="D589" s="353">
        <v>5.7574999999999996E-3</v>
      </c>
      <c r="E589" s="353">
        <v>8.0400000000000003E-3</v>
      </c>
      <c r="F589" s="354">
        <v>1.1231E-2</v>
      </c>
    </row>
    <row r="590" spans="1:6" ht="12" thickBot="1">
      <c r="A590" s="352">
        <v>40903</v>
      </c>
      <c r="B590" s="353">
        <v>2.9394999999999998E-3</v>
      </c>
      <c r="C590" s="353">
        <v>4.2220000000000001E-3</v>
      </c>
      <c r="D590" s="353">
        <v>5.7574999999999996E-3</v>
      </c>
      <c r="E590" s="353">
        <v>8.0400000000000003E-3</v>
      </c>
      <c r="F590" s="354">
        <v>1.1231E-2</v>
      </c>
    </row>
    <row r="591" spans="1:6" ht="12" thickBot="1">
      <c r="A591" s="352">
        <v>40900</v>
      </c>
      <c r="B591" s="353">
        <v>2.9394999999999998E-3</v>
      </c>
      <c r="C591" s="353">
        <v>4.2220000000000001E-3</v>
      </c>
      <c r="D591" s="353">
        <v>5.7574999999999996E-3</v>
      </c>
      <c r="E591" s="353">
        <v>8.0400000000000003E-3</v>
      </c>
      <c r="F591" s="354">
        <v>1.1231E-2</v>
      </c>
    </row>
    <row r="592" spans="1:6" ht="12" thickBot="1">
      <c r="A592" s="352">
        <v>40899</v>
      </c>
      <c r="B592" s="353">
        <v>2.9359999999999998E-3</v>
      </c>
      <c r="C592" s="353">
        <v>4.2125000000000001E-3</v>
      </c>
      <c r="D592" s="353">
        <v>5.7375000000000004E-3</v>
      </c>
      <c r="E592" s="353">
        <v>8.0099999999999998E-3</v>
      </c>
      <c r="F592" s="354">
        <v>1.12135E-2</v>
      </c>
    </row>
    <row r="593" spans="1:6" ht="12" thickBot="1">
      <c r="A593" s="352">
        <v>40898</v>
      </c>
      <c r="B593" s="353">
        <v>2.9185000000000001E-3</v>
      </c>
      <c r="C593" s="353">
        <v>4.1949999999999999E-3</v>
      </c>
      <c r="D593" s="353">
        <v>5.7124999999999997E-3</v>
      </c>
      <c r="E593" s="353">
        <v>7.9950000000000004E-3</v>
      </c>
      <c r="F593" s="354">
        <v>1.1191E-2</v>
      </c>
    </row>
    <row r="594" spans="1:6" ht="12" thickBot="1">
      <c r="A594" s="352">
        <v>40897</v>
      </c>
      <c r="B594" s="353">
        <v>2.9060000000000002E-3</v>
      </c>
      <c r="C594" s="353">
        <v>4.1850000000000004E-3</v>
      </c>
      <c r="D594" s="353">
        <v>5.6975000000000003E-3</v>
      </c>
      <c r="E594" s="353">
        <v>7.9850000000000008E-3</v>
      </c>
      <c r="F594" s="354">
        <v>1.1188500000000001E-2</v>
      </c>
    </row>
    <row r="595" spans="1:6" ht="12" thickBot="1">
      <c r="A595" s="352">
        <v>40896</v>
      </c>
      <c r="B595" s="353">
        <v>2.8735000000000002E-3</v>
      </c>
      <c r="C595" s="353">
        <v>4.1549999999999998E-3</v>
      </c>
      <c r="D595" s="353">
        <v>5.6695000000000001E-3</v>
      </c>
      <c r="E595" s="353">
        <v>7.9450000000000007E-3</v>
      </c>
      <c r="F595" s="354">
        <v>1.1143500000000001E-2</v>
      </c>
    </row>
    <row r="596" spans="1:6" ht="12" thickBot="1">
      <c r="A596" s="352">
        <v>40893</v>
      </c>
      <c r="B596" s="353">
        <v>2.8484999999999999E-3</v>
      </c>
      <c r="C596" s="353">
        <v>4.1390000000000003E-3</v>
      </c>
      <c r="D596" s="353">
        <v>5.6315000000000002E-3</v>
      </c>
      <c r="E596" s="353">
        <v>7.8799999999999999E-3</v>
      </c>
      <c r="F596" s="354">
        <v>1.1103500000000001E-2</v>
      </c>
    </row>
    <row r="597" spans="1:6" ht="12" thickBot="1">
      <c r="A597" s="352">
        <v>40892</v>
      </c>
      <c r="B597" s="353">
        <v>2.846E-3</v>
      </c>
      <c r="C597" s="353">
        <v>4.1139999999999996E-3</v>
      </c>
      <c r="D597" s="353">
        <v>5.5915000000000001E-3</v>
      </c>
      <c r="E597" s="353">
        <v>7.8300000000000002E-3</v>
      </c>
      <c r="F597" s="354">
        <v>1.1058500000000001E-2</v>
      </c>
    </row>
    <row r="598" spans="1:6" ht="12" thickBot="1">
      <c r="A598" s="352">
        <v>40891</v>
      </c>
      <c r="B598" s="353">
        <v>2.8254999999999999E-3</v>
      </c>
      <c r="C598" s="353">
        <v>4.0740000000000004E-3</v>
      </c>
      <c r="D598" s="353">
        <v>5.5504999999999999E-3</v>
      </c>
      <c r="E598" s="353">
        <v>7.7850000000000003E-3</v>
      </c>
      <c r="F598" s="354">
        <v>1.09915E-2</v>
      </c>
    </row>
    <row r="599" spans="1:6" ht="12" thickBot="1">
      <c r="A599" s="352">
        <v>40890</v>
      </c>
      <c r="B599" s="353">
        <v>2.7829999999999999E-3</v>
      </c>
      <c r="C599" s="353">
        <v>4.0315000000000004E-3</v>
      </c>
      <c r="D599" s="353">
        <v>5.4625000000000003E-3</v>
      </c>
      <c r="E599" s="353">
        <v>7.705E-3</v>
      </c>
      <c r="F599" s="354">
        <v>1.0933999999999999E-2</v>
      </c>
    </row>
    <row r="600" spans="1:6" ht="12" thickBot="1">
      <c r="A600" s="352">
        <v>40889</v>
      </c>
      <c r="B600" s="353">
        <v>2.7755000000000002E-3</v>
      </c>
      <c r="C600" s="353">
        <v>4.0140000000000002E-3</v>
      </c>
      <c r="D600" s="353">
        <v>5.4349999999999997E-3</v>
      </c>
      <c r="E600" s="353">
        <v>7.6449999999999999E-3</v>
      </c>
      <c r="F600" s="354">
        <v>1.0874E-2</v>
      </c>
    </row>
    <row r="601" spans="1:6" ht="12" thickBot="1">
      <c r="A601" s="352">
        <v>40886</v>
      </c>
      <c r="B601" s="353">
        <v>2.7655000000000002E-3</v>
      </c>
      <c r="C601" s="353">
        <v>3.9915000000000003E-3</v>
      </c>
      <c r="D601" s="353">
        <v>5.4174999999999996E-3</v>
      </c>
      <c r="E601" s="353">
        <v>7.62E-3</v>
      </c>
      <c r="F601" s="354">
        <v>1.0848999999999999E-2</v>
      </c>
    </row>
    <row r="602" spans="1:6" ht="12" thickBot="1">
      <c r="A602" s="352">
        <v>40884</v>
      </c>
      <c r="B602" s="353">
        <v>2.7629999999999998E-3</v>
      </c>
      <c r="C602" s="353">
        <v>3.9639999999999996E-3</v>
      </c>
      <c r="D602" s="353">
        <v>5.4000000000000003E-3</v>
      </c>
      <c r="E602" s="353">
        <v>7.6E-3</v>
      </c>
      <c r="F602" s="354">
        <v>1.08115E-2</v>
      </c>
    </row>
    <row r="603" spans="1:6" ht="12" thickBot="1">
      <c r="A603" s="352">
        <v>40883</v>
      </c>
      <c r="B603" s="353">
        <v>2.7504999999999999E-3</v>
      </c>
      <c r="C603" s="353">
        <v>3.9465000000000004E-3</v>
      </c>
      <c r="D603" s="353">
        <v>5.3775000000000003E-3</v>
      </c>
      <c r="E603" s="353">
        <v>7.5824999999999998E-3</v>
      </c>
      <c r="F603" s="354">
        <v>1.0789E-2</v>
      </c>
    </row>
    <row r="604" spans="1:6" ht="12" thickBot="1">
      <c r="A604" s="352">
        <v>40882</v>
      </c>
      <c r="B604" s="353">
        <v>2.7409999999999999E-3</v>
      </c>
      <c r="C604" s="353">
        <v>3.9170000000000003E-3</v>
      </c>
      <c r="D604" s="353">
        <v>5.339E-3</v>
      </c>
      <c r="E604" s="353">
        <v>7.5424999999999997E-3</v>
      </c>
      <c r="F604" s="354">
        <v>1.074E-2</v>
      </c>
    </row>
    <row r="605" spans="1:6" ht="12" thickBot="1">
      <c r="A605" s="352">
        <v>40879</v>
      </c>
      <c r="B605" s="353">
        <v>2.7033000000000001E-3</v>
      </c>
      <c r="C605" s="353">
        <v>3.8700000000000002E-3</v>
      </c>
      <c r="D605" s="353">
        <v>5.2833000000000003E-3</v>
      </c>
      <c r="E605" s="353">
        <v>7.4833E-3</v>
      </c>
      <c r="F605" s="354">
        <v>1.06517E-2</v>
      </c>
    </row>
    <row r="606" spans="1:6" ht="12" thickBot="1">
      <c r="A606" s="352">
        <v>40878</v>
      </c>
      <c r="B606" s="353">
        <v>2.7144000000000001E-3</v>
      </c>
      <c r="C606" s="353">
        <v>3.8700000000000002E-3</v>
      </c>
      <c r="D606" s="353">
        <v>5.2722000000000003E-3</v>
      </c>
      <c r="E606" s="353">
        <v>7.4722E-3</v>
      </c>
      <c r="F606" s="354">
        <v>1.06494E-2</v>
      </c>
    </row>
    <row r="607" spans="1:6" ht="12" thickBot="1">
      <c r="A607" s="352">
        <v>40877</v>
      </c>
      <c r="B607" s="353">
        <v>2.7144000000000001E-3</v>
      </c>
      <c r="C607" s="353">
        <v>3.8755999999999999E-3</v>
      </c>
      <c r="D607" s="353">
        <v>5.2889E-3</v>
      </c>
      <c r="E607" s="353">
        <v>7.4833E-3</v>
      </c>
      <c r="F607" s="354">
        <v>1.0710600000000001E-2</v>
      </c>
    </row>
    <row r="608" spans="1:6" ht="12" thickBot="1">
      <c r="A608" s="352">
        <v>40876</v>
      </c>
      <c r="B608" s="353">
        <v>2.7022000000000001E-3</v>
      </c>
      <c r="C608" s="353">
        <v>3.8693999999999998E-3</v>
      </c>
      <c r="D608" s="353">
        <v>5.2693999999999996E-3</v>
      </c>
      <c r="E608" s="353">
        <v>7.4583000000000002E-3</v>
      </c>
      <c r="F608" s="354">
        <v>1.0659999999999999E-2</v>
      </c>
    </row>
    <row r="609" spans="1:6" ht="12" thickBot="1">
      <c r="A609" s="352">
        <v>40875</v>
      </c>
      <c r="B609" s="353">
        <v>2.5999999999999999E-3</v>
      </c>
      <c r="C609" s="353">
        <v>3.8338999999999999E-3</v>
      </c>
      <c r="D609" s="353">
        <v>5.2306000000000002E-3</v>
      </c>
      <c r="E609" s="353">
        <v>7.3971999999999996E-3</v>
      </c>
      <c r="F609" s="354">
        <v>1.06044E-2</v>
      </c>
    </row>
    <row r="610" spans="1:6" ht="12" thickBot="1">
      <c r="A610" s="352">
        <v>40872</v>
      </c>
      <c r="B610" s="353">
        <v>2.5944000000000002E-3</v>
      </c>
      <c r="C610" s="353">
        <v>3.8094000000000001E-3</v>
      </c>
      <c r="D610" s="353">
        <v>5.1805999999999996E-3</v>
      </c>
      <c r="E610" s="353">
        <v>7.3416999999999996E-3</v>
      </c>
      <c r="F610" s="354">
        <v>1.05156E-2</v>
      </c>
    </row>
    <row r="611" spans="1:6" ht="12" thickBot="1">
      <c r="A611" s="352">
        <v>40871</v>
      </c>
      <c r="B611" s="353">
        <v>2.5722000000000002E-3</v>
      </c>
      <c r="C611" s="353">
        <v>3.7789E-3</v>
      </c>
      <c r="D611" s="353">
        <v>5.1167000000000001E-3</v>
      </c>
      <c r="E611" s="353">
        <v>7.2611000000000004E-3</v>
      </c>
      <c r="F611" s="354">
        <v>1.04656E-2</v>
      </c>
    </row>
    <row r="612" spans="1:6" ht="12" thickBot="1">
      <c r="A612" s="352">
        <v>40870</v>
      </c>
      <c r="B612" s="353">
        <v>2.5722000000000002E-3</v>
      </c>
      <c r="C612" s="353">
        <v>3.7721999999999999E-3</v>
      </c>
      <c r="D612" s="353">
        <v>5.0610999999999998E-3</v>
      </c>
      <c r="E612" s="353">
        <v>7.1888999999999998E-3</v>
      </c>
      <c r="F612" s="354">
        <v>1.0414400000000001E-2</v>
      </c>
    </row>
    <row r="613" spans="1:6" ht="12" thickBot="1">
      <c r="A613" s="352">
        <v>40869</v>
      </c>
      <c r="B613" s="353">
        <v>2.5722000000000002E-3</v>
      </c>
      <c r="C613" s="353">
        <v>3.7639000000000001E-3</v>
      </c>
      <c r="D613" s="353">
        <v>5.0028E-3</v>
      </c>
      <c r="E613" s="353">
        <v>7.1222000000000004E-3</v>
      </c>
      <c r="F613" s="354">
        <v>1.0342199999999999E-2</v>
      </c>
    </row>
    <row r="614" spans="1:6" ht="12" thickBot="1">
      <c r="A614" s="352">
        <v>40868</v>
      </c>
      <c r="B614" s="353">
        <v>2.5666999999999999E-3</v>
      </c>
      <c r="C614" s="353">
        <v>3.7277999999999999E-3</v>
      </c>
      <c r="D614" s="353">
        <v>4.9500000000000004E-3</v>
      </c>
      <c r="E614" s="353">
        <v>7.0610999999999998E-3</v>
      </c>
      <c r="F614" s="354">
        <v>1.02589E-2</v>
      </c>
    </row>
    <row r="615" spans="1:6" ht="12" thickBot="1">
      <c r="A615" s="352">
        <v>40865</v>
      </c>
      <c r="B615" s="353">
        <v>2.5655999999999999E-3</v>
      </c>
      <c r="C615" s="353">
        <v>3.6882999999999998E-3</v>
      </c>
      <c r="D615" s="353">
        <v>4.8777999999999998E-3</v>
      </c>
      <c r="E615" s="353">
        <v>6.9861000000000003E-3</v>
      </c>
      <c r="F615" s="354">
        <v>1.01811E-2</v>
      </c>
    </row>
    <row r="616" spans="1:6" ht="12" thickBot="1">
      <c r="A616" s="352">
        <v>40864</v>
      </c>
      <c r="B616" s="353">
        <v>2.5477999999999998E-3</v>
      </c>
      <c r="C616" s="353">
        <v>3.6389E-3</v>
      </c>
      <c r="D616" s="353">
        <v>4.7943999999999999E-3</v>
      </c>
      <c r="E616" s="353">
        <v>6.8916999999999997E-3</v>
      </c>
      <c r="F616" s="354">
        <v>1.0075600000000001E-2</v>
      </c>
    </row>
    <row r="617" spans="1:6" ht="12" thickBot="1">
      <c r="A617" s="352">
        <v>40863</v>
      </c>
      <c r="B617" s="353">
        <v>2.5171999999999998E-3</v>
      </c>
      <c r="C617" s="353">
        <v>3.5706000000000002E-3</v>
      </c>
      <c r="D617" s="353">
        <v>4.7111000000000002E-3</v>
      </c>
      <c r="E617" s="353">
        <v>6.7694000000000001E-3</v>
      </c>
      <c r="F617" s="354">
        <v>9.9699999999999997E-3</v>
      </c>
    </row>
    <row r="618" spans="1:6" ht="12" thickBot="1">
      <c r="A618" s="352">
        <v>40862</v>
      </c>
      <c r="B618" s="353">
        <v>2.5171999999999998E-3</v>
      </c>
      <c r="C618" s="353">
        <v>3.5366999999999998E-3</v>
      </c>
      <c r="D618" s="353">
        <v>4.6556000000000002E-3</v>
      </c>
      <c r="E618" s="353">
        <v>6.6972000000000004E-3</v>
      </c>
      <c r="F618" s="354">
        <v>9.9188999999999996E-3</v>
      </c>
    </row>
    <row r="619" spans="1:6" ht="12" thickBot="1">
      <c r="A619" s="352">
        <v>40858</v>
      </c>
      <c r="B619" s="353">
        <v>2.49E-3</v>
      </c>
      <c r="C619" s="353">
        <v>3.4849999999999998E-3</v>
      </c>
      <c r="D619" s="353">
        <v>4.5722000000000002E-3</v>
      </c>
      <c r="E619" s="353">
        <v>6.5861000000000001E-3</v>
      </c>
      <c r="F619" s="354">
        <v>9.8143999999999992E-3</v>
      </c>
    </row>
    <row r="620" spans="1:6" ht="12" thickBot="1">
      <c r="A620" s="352">
        <v>40857</v>
      </c>
      <c r="B620" s="353">
        <v>2.4789E-3</v>
      </c>
      <c r="C620" s="353">
        <v>3.4505999999999998E-3</v>
      </c>
      <c r="D620" s="353">
        <v>4.5278000000000002E-3</v>
      </c>
      <c r="E620" s="353">
        <v>6.5417000000000001E-3</v>
      </c>
      <c r="F620" s="354">
        <v>9.7643999999999995E-3</v>
      </c>
    </row>
    <row r="621" spans="1:6" ht="12" thickBot="1">
      <c r="A621" s="352">
        <v>40856</v>
      </c>
      <c r="B621" s="353">
        <v>2.4778000000000001E-3</v>
      </c>
      <c r="C621" s="353">
        <v>3.4443999999999998E-3</v>
      </c>
      <c r="D621" s="353">
        <v>4.4917000000000004E-3</v>
      </c>
      <c r="E621" s="353">
        <v>6.4833E-3</v>
      </c>
      <c r="F621" s="354">
        <v>9.6450000000000008E-3</v>
      </c>
    </row>
    <row r="622" spans="1:6" ht="12" thickBot="1">
      <c r="A622" s="352">
        <v>40855</v>
      </c>
      <c r="B622" s="353">
        <v>2.4778000000000001E-3</v>
      </c>
      <c r="C622" s="353">
        <v>3.4228000000000001E-3</v>
      </c>
      <c r="D622" s="353">
        <v>4.4416999999999998E-3</v>
      </c>
      <c r="E622" s="353">
        <v>6.4167E-3</v>
      </c>
      <c r="F622" s="354">
        <v>9.5861000000000002E-3</v>
      </c>
    </row>
    <row r="623" spans="1:6" ht="12" thickBot="1">
      <c r="A623" s="352">
        <v>40851</v>
      </c>
      <c r="B623" s="353">
        <v>2.4750000000000002E-3</v>
      </c>
      <c r="C623" s="353">
        <v>3.385E-3</v>
      </c>
      <c r="D623" s="353">
        <v>4.3750000000000004E-3</v>
      </c>
      <c r="E623" s="353">
        <v>6.3111E-3</v>
      </c>
      <c r="F623" s="354">
        <v>9.4882999999999999E-3</v>
      </c>
    </row>
    <row r="624" spans="1:6" ht="12" thickBot="1">
      <c r="A624" s="352">
        <v>40850</v>
      </c>
      <c r="B624" s="353">
        <v>2.4750000000000002E-3</v>
      </c>
      <c r="C624" s="353">
        <v>3.3728E-3</v>
      </c>
      <c r="D624" s="353">
        <v>4.3499999999999997E-3</v>
      </c>
      <c r="E624" s="353">
        <v>6.2693999999999996E-3</v>
      </c>
      <c r="F624" s="354">
        <v>9.4488999999999997E-3</v>
      </c>
    </row>
    <row r="625" spans="1:6" ht="12" thickBot="1">
      <c r="A625" s="352">
        <v>40849</v>
      </c>
      <c r="B625" s="353">
        <v>2.4528000000000002E-3</v>
      </c>
      <c r="C625" s="353">
        <v>3.3689000000000002E-3</v>
      </c>
      <c r="D625" s="353">
        <v>4.3306000000000004E-3</v>
      </c>
      <c r="E625" s="353">
        <v>6.2389000000000003E-3</v>
      </c>
      <c r="F625" s="354">
        <v>9.4161000000000002E-3</v>
      </c>
    </row>
    <row r="626" spans="1:6" ht="12" thickBot="1">
      <c r="A626" s="352">
        <v>40848</v>
      </c>
      <c r="B626" s="353">
        <v>2.4528000000000002E-3</v>
      </c>
      <c r="C626" s="353">
        <v>3.3494000000000002E-3</v>
      </c>
      <c r="D626" s="353">
        <v>4.3166999999999997E-3</v>
      </c>
      <c r="E626" s="353">
        <v>6.2249999999999996E-3</v>
      </c>
      <c r="F626" s="354">
        <v>9.3971999999999997E-3</v>
      </c>
    </row>
    <row r="627" spans="1:6" ht="12" thickBot="1">
      <c r="A627" s="352">
        <v>40847</v>
      </c>
      <c r="B627" s="353">
        <v>2.4528000000000002E-3</v>
      </c>
      <c r="C627" s="353">
        <v>3.3400000000000001E-3</v>
      </c>
      <c r="D627" s="353">
        <v>4.2944000000000003E-3</v>
      </c>
      <c r="E627" s="353">
        <v>6.1944000000000001E-3</v>
      </c>
      <c r="F627" s="354">
        <v>9.3560999999999991E-3</v>
      </c>
    </row>
    <row r="628" spans="1:6" ht="12" thickBot="1">
      <c r="A628" s="352">
        <v>40844</v>
      </c>
      <c r="B628" s="353">
        <v>2.4583000000000001E-3</v>
      </c>
      <c r="C628" s="353">
        <v>3.3471999999999998E-3</v>
      </c>
      <c r="D628" s="353">
        <v>4.2944000000000003E-3</v>
      </c>
      <c r="E628" s="353">
        <v>6.1971999999999999E-3</v>
      </c>
      <c r="F628" s="354">
        <v>9.3372000000000004E-3</v>
      </c>
    </row>
    <row r="629" spans="1:6" ht="12" thickBot="1">
      <c r="A629" s="352">
        <v>40843</v>
      </c>
      <c r="B629" s="353">
        <v>2.4583000000000001E-3</v>
      </c>
      <c r="C629" s="353">
        <v>3.3183000000000002E-3</v>
      </c>
      <c r="D629" s="353">
        <v>4.2805999999999999E-3</v>
      </c>
      <c r="E629" s="353">
        <v>6.1888999999999998E-3</v>
      </c>
      <c r="F629" s="354">
        <v>9.3127999999999996E-3</v>
      </c>
    </row>
    <row r="630" spans="1:6" ht="12" thickBot="1">
      <c r="A630" s="352">
        <v>40842</v>
      </c>
      <c r="B630" s="353">
        <v>2.4583000000000001E-3</v>
      </c>
      <c r="C630" s="353">
        <v>3.2921999999999999E-3</v>
      </c>
      <c r="D630" s="353">
        <v>4.2471999999999996E-3</v>
      </c>
      <c r="E630" s="353">
        <v>6.1555999999999998E-3</v>
      </c>
      <c r="F630" s="354">
        <v>9.2717000000000008E-3</v>
      </c>
    </row>
    <row r="631" spans="1:6" ht="12" thickBot="1">
      <c r="A631" s="352">
        <v>40841</v>
      </c>
      <c r="B631" s="353">
        <v>2.4472000000000001E-3</v>
      </c>
      <c r="C631" s="353">
        <v>3.2661000000000001E-3</v>
      </c>
      <c r="D631" s="353">
        <v>4.2221999999999997E-3</v>
      </c>
      <c r="E631" s="353">
        <v>6.1222000000000004E-3</v>
      </c>
      <c r="F631" s="354">
        <v>9.2555999999999992E-3</v>
      </c>
    </row>
    <row r="632" spans="1:6" ht="12" thickBot="1">
      <c r="A632" s="352">
        <v>40840</v>
      </c>
      <c r="B632" s="353">
        <v>2.4472000000000001E-3</v>
      </c>
      <c r="C632" s="353">
        <v>3.2510999999999998E-3</v>
      </c>
      <c r="D632" s="353">
        <v>4.2027999999999996E-3</v>
      </c>
      <c r="E632" s="353">
        <v>6.1000000000000004E-3</v>
      </c>
      <c r="F632" s="354">
        <v>9.2394E-3</v>
      </c>
    </row>
    <row r="633" spans="1:6" ht="12" thickBot="1">
      <c r="A633" s="352">
        <v>40837</v>
      </c>
      <c r="B633" s="353">
        <v>2.4472000000000001E-3</v>
      </c>
      <c r="C633" s="353">
        <v>3.2417000000000001E-3</v>
      </c>
      <c r="D633" s="353">
        <v>4.1833E-3</v>
      </c>
      <c r="E633" s="353">
        <v>6.0667000000000004E-3</v>
      </c>
      <c r="F633" s="354">
        <v>9.2139000000000006E-3</v>
      </c>
    </row>
    <row r="634" spans="1:6" ht="12" thickBot="1">
      <c r="A634" s="352">
        <v>40836</v>
      </c>
      <c r="B634" s="353">
        <v>2.4472000000000001E-3</v>
      </c>
      <c r="C634" s="353">
        <v>3.225E-3</v>
      </c>
      <c r="D634" s="353">
        <v>4.1555999999999997E-3</v>
      </c>
      <c r="E634" s="353">
        <v>6.025E-3</v>
      </c>
      <c r="F634" s="354">
        <v>9.1861000000000009E-3</v>
      </c>
    </row>
    <row r="635" spans="1:6" ht="12" thickBot="1">
      <c r="A635" s="352">
        <v>40835</v>
      </c>
      <c r="B635" s="353">
        <v>2.4472000000000001E-3</v>
      </c>
      <c r="C635" s="353">
        <v>3.2000000000000002E-3</v>
      </c>
      <c r="D635" s="353">
        <v>4.1167E-3</v>
      </c>
      <c r="E635" s="353">
        <v>6.0028E-3</v>
      </c>
      <c r="F635" s="354">
        <v>9.1561000000000003E-3</v>
      </c>
    </row>
    <row r="636" spans="1:6" ht="12" thickBot="1">
      <c r="A636" s="352">
        <v>40834</v>
      </c>
      <c r="B636" s="353">
        <v>2.4472000000000001E-3</v>
      </c>
      <c r="C636" s="353">
        <v>3.1971999999999999E-3</v>
      </c>
      <c r="D636" s="353">
        <v>4.0917000000000002E-3</v>
      </c>
      <c r="E636" s="353">
        <v>5.9778000000000001E-3</v>
      </c>
      <c r="F636" s="354">
        <v>9.1316999999999995E-3</v>
      </c>
    </row>
    <row r="637" spans="1:6" ht="12" thickBot="1">
      <c r="A637" s="352">
        <v>40830</v>
      </c>
      <c r="B637" s="353">
        <v>2.4332999999999998E-3</v>
      </c>
      <c r="C637" s="353">
        <v>3.1683000000000002E-3</v>
      </c>
      <c r="D637" s="353">
        <v>4.0471999999999999E-3</v>
      </c>
      <c r="E637" s="353">
        <v>5.9306000000000003E-3</v>
      </c>
      <c r="F637" s="354">
        <v>9.0950000000000007E-3</v>
      </c>
    </row>
    <row r="638" spans="1:6" ht="12" thickBot="1">
      <c r="A638" s="352">
        <v>40829</v>
      </c>
      <c r="B638" s="353">
        <v>2.4332999999999998E-3</v>
      </c>
      <c r="C638" s="353">
        <v>3.1572000000000002E-3</v>
      </c>
      <c r="D638" s="353">
        <v>4.0305999999999996E-3</v>
      </c>
      <c r="E638" s="353">
        <v>5.9167000000000004E-3</v>
      </c>
      <c r="F638" s="354">
        <v>9.0617000000000007E-3</v>
      </c>
    </row>
    <row r="639" spans="1:6" ht="12" thickBot="1">
      <c r="A639" s="352">
        <v>40828</v>
      </c>
      <c r="B639" s="353">
        <v>2.4321999999999998E-3</v>
      </c>
      <c r="C639" s="353">
        <v>3.1394000000000001E-3</v>
      </c>
      <c r="D639" s="353">
        <v>4.0083000000000002E-3</v>
      </c>
      <c r="E639" s="353">
        <v>5.8805999999999997E-3</v>
      </c>
      <c r="F639" s="354">
        <v>9.0399999999999994E-3</v>
      </c>
    </row>
    <row r="640" spans="1:6" ht="12" thickBot="1">
      <c r="A640" s="352">
        <v>40827</v>
      </c>
      <c r="B640" s="353">
        <v>2.4310999999999998E-3</v>
      </c>
      <c r="C640" s="353">
        <v>3.1272000000000001E-3</v>
      </c>
      <c r="D640" s="353">
        <v>3.9750000000000002E-3</v>
      </c>
      <c r="E640" s="353">
        <v>5.8694000000000003E-3</v>
      </c>
      <c r="F640" s="354">
        <v>9.0133000000000001E-3</v>
      </c>
    </row>
    <row r="641" spans="1:6" ht="12" thickBot="1">
      <c r="A641" s="352">
        <v>40826</v>
      </c>
      <c r="B641" s="353">
        <v>2.4299999999999999E-3</v>
      </c>
      <c r="C641" s="353">
        <v>3.1232999999999999E-3</v>
      </c>
      <c r="D641" s="353">
        <v>3.9417000000000002E-3</v>
      </c>
      <c r="E641" s="353">
        <v>5.8250000000000003E-3</v>
      </c>
      <c r="F641" s="354">
        <v>8.9599999999999992E-3</v>
      </c>
    </row>
    <row r="642" spans="1:6" ht="12" thickBot="1">
      <c r="A642" s="352">
        <v>40823</v>
      </c>
      <c r="B642" s="353">
        <v>2.4288999999999999E-3</v>
      </c>
      <c r="C642" s="353">
        <v>3.1099999999999999E-3</v>
      </c>
      <c r="D642" s="353">
        <v>3.9110999999999998E-3</v>
      </c>
      <c r="E642" s="353">
        <v>5.8056000000000002E-3</v>
      </c>
      <c r="F642" s="354">
        <v>8.9266999999999992E-3</v>
      </c>
    </row>
    <row r="643" spans="1:6" ht="12" thickBot="1">
      <c r="A643" s="352">
        <v>40822</v>
      </c>
      <c r="B643" s="353">
        <v>2.4233000000000002E-3</v>
      </c>
      <c r="C643" s="353">
        <v>3.0821999999999998E-3</v>
      </c>
      <c r="D643" s="353">
        <v>3.8777999999999998E-3</v>
      </c>
      <c r="E643" s="353">
        <v>5.7800000000000004E-3</v>
      </c>
      <c r="F643" s="354">
        <v>8.8850000000000005E-3</v>
      </c>
    </row>
    <row r="644" spans="1:6" ht="12" thickBot="1">
      <c r="A644" s="352">
        <v>40821</v>
      </c>
      <c r="B644" s="353">
        <v>2.4066999999999999E-3</v>
      </c>
      <c r="C644" s="353">
        <v>3.0488999999999998E-3</v>
      </c>
      <c r="D644" s="353">
        <v>3.8360999999999998E-3</v>
      </c>
      <c r="E644" s="353">
        <v>5.6883000000000003E-3</v>
      </c>
      <c r="F644" s="354">
        <v>8.8278000000000002E-3</v>
      </c>
    </row>
    <row r="645" spans="1:6" ht="12" thickBot="1">
      <c r="A645" s="352">
        <v>40820</v>
      </c>
      <c r="B645" s="353">
        <v>2.4110999999999998E-3</v>
      </c>
      <c r="C645" s="353">
        <v>3.0411000000000001E-3</v>
      </c>
      <c r="D645" s="353">
        <v>3.8094000000000001E-3</v>
      </c>
      <c r="E645" s="353">
        <v>5.6699999999999997E-3</v>
      </c>
      <c r="F645" s="354">
        <v>8.7500000000000008E-3</v>
      </c>
    </row>
    <row r="646" spans="1:6" ht="12" thickBot="1">
      <c r="A646" s="352">
        <v>40819</v>
      </c>
      <c r="B646" s="353">
        <v>2.3999999999999998E-3</v>
      </c>
      <c r="C646" s="353">
        <v>3.0249999999999999E-3</v>
      </c>
      <c r="D646" s="353">
        <v>3.7761000000000001E-3</v>
      </c>
      <c r="E646" s="353">
        <v>5.6138999999999998E-3</v>
      </c>
      <c r="F646" s="354">
        <v>8.6882999999999995E-3</v>
      </c>
    </row>
    <row r="647" spans="1:6" ht="12" thickBot="1">
      <c r="A647" s="352">
        <v>40816</v>
      </c>
      <c r="B647" s="353">
        <v>2.3944000000000001E-3</v>
      </c>
      <c r="C647" s="353">
        <v>3.0138999999999999E-3</v>
      </c>
      <c r="D647" s="353">
        <v>3.7433000000000002E-3</v>
      </c>
      <c r="E647" s="353">
        <v>5.5782999999999996E-3</v>
      </c>
      <c r="F647" s="354">
        <v>8.6488999999999993E-3</v>
      </c>
    </row>
    <row r="648" spans="1:6" ht="12" thickBot="1">
      <c r="A648" s="352">
        <v>40815</v>
      </c>
      <c r="B648" s="353">
        <v>2.3944000000000001E-3</v>
      </c>
      <c r="C648" s="353">
        <v>3.0056000000000002E-3</v>
      </c>
      <c r="D648" s="353">
        <v>3.7211000000000002E-3</v>
      </c>
      <c r="E648" s="353">
        <v>5.5393999999999999E-3</v>
      </c>
      <c r="F648" s="354">
        <v>8.5967000000000005E-3</v>
      </c>
    </row>
    <row r="649" spans="1:6" ht="12" thickBot="1">
      <c r="A649" s="352">
        <v>40814</v>
      </c>
      <c r="B649" s="353">
        <v>2.3888999999999998E-3</v>
      </c>
      <c r="C649" s="353">
        <v>2.9978000000000001E-3</v>
      </c>
      <c r="D649" s="353">
        <v>3.6855999999999998E-3</v>
      </c>
      <c r="E649" s="353">
        <v>5.4838999999999999E-3</v>
      </c>
      <c r="F649" s="354">
        <v>8.5488999999999999E-3</v>
      </c>
    </row>
    <row r="650" spans="1:6" ht="12" thickBot="1">
      <c r="A650" s="352">
        <v>40813</v>
      </c>
      <c r="B650" s="353">
        <v>2.3877999999999998E-3</v>
      </c>
      <c r="C650" s="353">
        <v>2.9689E-3</v>
      </c>
      <c r="D650" s="353">
        <v>3.6522E-3</v>
      </c>
      <c r="E650" s="353">
        <v>5.4450000000000002E-3</v>
      </c>
      <c r="F650" s="354">
        <v>8.5155999999999999E-3</v>
      </c>
    </row>
    <row r="651" spans="1:6" ht="12" thickBot="1">
      <c r="A651" s="352">
        <v>40812</v>
      </c>
      <c r="B651" s="353">
        <v>2.3744E-3</v>
      </c>
      <c r="C651" s="353">
        <v>2.9556000000000001E-3</v>
      </c>
      <c r="D651" s="353">
        <v>3.6278E-3</v>
      </c>
      <c r="E651" s="353">
        <v>5.4171999999999996E-3</v>
      </c>
      <c r="F651" s="354">
        <v>8.5010999999999993E-3</v>
      </c>
    </row>
    <row r="652" spans="1:6" ht="12" thickBot="1">
      <c r="A652" s="352">
        <v>40809</v>
      </c>
      <c r="B652" s="353">
        <v>2.3578000000000002E-3</v>
      </c>
      <c r="C652" s="353">
        <v>2.9294E-3</v>
      </c>
      <c r="D652" s="353">
        <v>3.6021999999999998E-3</v>
      </c>
      <c r="E652" s="353">
        <v>5.3956000000000004E-3</v>
      </c>
      <c r="F652" s="354">
        <v>8.4749999999999999E-3</v>
      </c>
    </row>
    <row r="653" spans="1:6" ht="12" thickBot="1">
      <c r="A653" s="352">
        <v>40808</v>
      </c>
      <c r="B653" s="353">
        <v>2.3456000000000002E-3</v>
      </c>
      <c r="C653" s="353">
        <v>2.9033000000000002E-3</v>
      </c>
      <c r="D653" s="353">
        <v>3.5806000000000002E-3</v>
      </c>
      <c r="E653" s="353">
        <v>5.3699999999999998E-3</v>
      </c>
      <c r="F653" s="354">
        <v>8.4493999999999993E-3</v>
      </c>
    </row>
    <row r="654" spans="1:6" ht="12" thickBot="1">
      <c r="A654" s="352">
        <v>40807</v>
      </c>
      <c r="B654" s="353">
        <v>2.3349999999999998E-3</v>
      </c>
      <c r="C654" s="353">
        <v>2.8871999999999999E-3</v>
      </c>
      <c r="D654" s="353">
        <v>3.5555999999999999E-3</v>
      </c>
      <c r="E654" s="353">
        <v>5.2922000000000004E-3</v>
      </c>
      <c r="F654" s="354">
        <v>8.3856E-3</v>
      </c>
    </row>
    <row r="655" spans="1:6" ht="12" thickBot="1">
      <c r="A655" s="352">
        <v>40806</v>
      </c>
      <c r="B655" s="353">
        <v>2.3183000000000001E-3</v>
      </c>
      <c r="C655" s="353">
        <v>2.8678000000000002E-3</v>
      </c>
      <c r="D655" s="353">
        <v>3.5500000000000002E-3</v>
      </c>
      <c r="E655" s="353">
        <v>5.2700000000000004E-3</v>
      </c>
      <c r="F655" s="354">
        <v>8.3744000000000006E-3</v>
      </c>
    </row>
    <row r="656" spans="1:6" ht="12" thickBot="1">
      <c r="A656" s="352">
        <v>40805</v>
      </c>
      <c r="B656" s="353">
        <v>2.3072000000000001E-3</v>
      </c>
      <c r="C656" s="353">
        <v>2.8622000000000001E-3</v>
      </c>
      <c r="D656" s="353">
        <v>3.5249999999999999E-3</v>
      </c>
      <c r="E656" s="353">
        <v>5.2478000000000004E-3</v>
      </c>
      <c r="F656" s="354">
        <v>8.3578000000000003E-3</v>
      </c>
    </row>
    <row r="657" spans="1:6" ht="12" thickBot="1">
      <c r="A657" s="352">
        <v>40802</v>
      </c>
      <c r="B657" s="353">
        <v>2.3050000000000002E-3</v>
      </c>
      <c r="C657" s="353">
        <v>2.8489000000000001E-3</v>
      </c>
      <c r="D657" s="353">
        <v>3.5133E-3</v>
      </c>
      <c r="E657" s="353">
        <v>5.2283E-3</v>
      </c>
      <c r="F657" s="354">
        <v>8.3493999999999999E-3</v>
      </c>
    </row>
    <row r="658" spans="1:6" ht="12" thickBot="1">
      <c r="A658" s="352">
        <v>40801</v>
      </c>
      <c r="B658" s="353">
        <v>2.2994000000000001E-3</v>
      </c>
      <c r="C658" s="353">
        <v>2.8433E-3</v>
      </c>
      <c r="D658" s="353">
        <v>3.5022E-3</v>
      </c>
      <c r="E658" s="353">
        <v>5.2227999999999997E-3</v>
      </c>
      <c r="F658" s="354">
        <v>8.3549999999999996E-3</v>
      </c>
    </row>
    <row r="659" spans="1:6" ht="12" thickBot="1">
      <c r="A659" s="352">
        <v>40800</v>
      </c>
      <c r="B659" s="353">
        <v>2.2939000000000002E-3</v>
      </c>
      <c r="C659" s="353">
        <v>2.8211E-3</v>
      </c>
      <c r="D659" s="353">
        <v>3.4911E-3</v>
      </c>
      <c r="E659" s="353">
        <v>5.2088999999999998E-3</v>
      </c>
      <c r="F659" s="354">
        <v>8.3411000000000006E-3</v>
      </c>
    </row>
    <row r="660" spans="1:6" ht="12" thickBot="1">
      <c r="A660" s="352">
        <v>40799</v>
      </c>
      <c r="B660" s="353">
        <v>2.2899999999999999E-3</v>
      </c>
      <c r="C660" s="353">
        <v>2.8089E-3</v>
      </c>
      <c r="D660" s="353">
        <v>3.4711E-3</v>
      </c>
      <c r="E660" s="353">
        <v>5.1694000000000002E-3</v>
      </c>
      <c r="F660" s="354">
        <v>8.3082999999999994E-3</v>
      </c>
    </row>
    <row r="661" spans="1:6" ht="12" thickBot="1">
      <c r="A661" s="352">
        <v>40798</v>
      </c>
      <c r="B661" s="353">
        <v>2.2861000000000001E-3</v>
      </c>
      <c r="C661" s="353">
        <v>2.7927999999999998E-3</v>
      </c>
      <c r="D661" s="353">
        <v>3.4288999999999999E-3</v>
      </c>
      <c r="E661" s="353">
        <v>5.1327999999999999E-3</v>
      </c>
      <c r="F661" s="354">
        <v>8.2799999999999992E-3</v>
      </c>
    </row>
    <row r="662" spans="1:6" ht="12" thickBot="1">
      <c r="A662" s="352">
        <v>40795</v>
      </c>
      <c r="B662" s="353">
        <v>2.2610999999999998E-3</v>
      </c>
      <c r="C662" s="353">
        <v>2.7528000000000001E-3</v>
      </c>
      <c r="D662" s="353">
        <v>3.3793999999999999E-3</v>
      </c>
      <c r="E662" s="353">
        <v>5.0438999999999996E-3</v>
      </c>
      <c r="F662" s="354">
        <v>8.2132999999999998E-3</v>
      </c>
    </row>
    <row r="663" spans="1:6" ht="12" thickBot="1">
      <c r="A663" s="352">
        <v>40794</v>
      </c>
      <c r="B663" s="353">
        <v>2.2499999999999998E-3</v>
      </c>
      <c r="C663" s="353">
        <v>2.7388999999999998E-3</v>
      </c>
      <c r="D663" s="353">
        <v>3.3682999999999999E-3</v>
      </c>
      <c r="E663" s="353">
        <v>5.0410999999999997E-3</v>
      </c>
      <c r="F663" s="354">
        <v>8.1843999999999997E-3</v>
      </c>
    </row>
    <row r="664" spans="1:6" ht="12" thickBot="1">
      <c r="A664" s="352">
        <v>40793</v>
      </c>
      <c r="B664" s="353">
        <v>2.2610999999999998E-3</v>
      </c>
      <c r="C664" s="353">
        <v>2.7472E-3</v>
      </c>
      <c r="D664" s="353">
        <v>3.3682999999999999E-3</v>
      </c>
      <c r="E664" s="353">
        <v>5.0293999999999998E-3</v>
      </c>
      <c r="F664" s="354">
        <v>8.1539000000000004E-3</v>
      </c>
    </row>
    <row r="665" spans="1:6" ht="12" thickBot="1">
      <c r="A665" s="352">
        <v>40792</v>
      </c>
      <c r="B665" s="353">
        <v>2.2599999999999999E-3</v>
      </c>
      <c r="C665" s="353">
        <v>2.7461E-3</v>
      </c>
      <c r="D665" s="353">
        <v>3.3560999999999999E-3</v>
      </c>
      <c r="E665" s="353">
        <v>5.0160999999999999E-3</v>
      </c>
      <c r="F665" s="354">
        <v>8.1417E-3</v>
      </c>
    </row>
    <row r="666" spans="1:6" ht="12" thickBot="1">
      <c r="A666" s="352">
        <v>40791</v>
      </c>
      <c r="B666" s="353">
        <v>2.2439000000000001E-3</v>
      </c>
      <c r="C666" s="353">
        <v>2.7217000000000001E-3</v>
      </c>
      <c r="D666" s="353">
        <v>3.3278000000000001E-3</v>
      </c>
      <c r="E666" s="353">
        <v>4.9605999999999999E-3</v>
      </c>
      <c r="F666" s="354">
        <v>8.0706000000000007E-3</v>
      </c>
    </row>
    <row r="667" spans="1:6" ht="12" thickBot="1">
      <c r="A667" s="352">
        <v>40788</v>
      </c>
      <c r="B667" s="353">
        <v>2.2177999999999998E-3</v>
      </c>
      <c r="C667" s="353">
        <v>2.7066999999999998E-3</v>
      </c>
      <c r="D667" s="353">
        <v>3.3056000000000001E-3</v>
      </c>
      <c r="E667" s="353">
        <v>4.9039000000000001E-3</v>
      </c>
      <c r="F667" s="354">
        <v>8.0321999999999998E-3</v>
      </c>
    </row>
    <row r="668" spans="1:6" ht="12" thickBot="1">
      <c r="A668" s="352">
        <v>40787</v>
      </c>
      <c r="B668" s="353">
        <v>2.215E-3</v>
      </c>
      <c r="C668" s="353">
        <v>2.6900000000000001E-3</v>
      </c>
      <c r="D668" s="353">
        <v>3.2943999999999998E-3</v>
      </c>
      <c r="E668" s="353">
        <v>4.8878000000000003E-3</v>
      </c>
      <c r="F668" s="354">
        <v>8.0216999999999997E-3</v>
      </c>
    </row>
    <row r="669" spans="1:6" ht="12" thickBot="1">
      <c r="A669" s="352">
        <v>40786</v>
      </c>
      <c r="B669" s="353">
        <v>2.215E-3</v>
      </c>
      <c r="C669" s="353">
        <v>2.6867000000000002E-3</v>
      </c>
      <c r="D669" s="353">
        <v>3.2721999999999998E-3</v>
      </c>
      <c r="E669" s="353">
        <v>4.8577999999999998E-3</v>
      </c>
      <c r="F669" s="354">
        <v>8.0000000000000002E-3</v>
      </c>
    </row>
    <row r="670" spans="1:6" ht="12" thickBot="1">
      <c r="A670" s="352">
        <v>40785</v>
      </c>
      <c r="B670" s="353">
        <v>2.215E-3</v>
      </c>
      <c r="C670" s="353">
        <v>2.6744E-3</v>
      </c>
      <c r="D670" s="353">
        <v>3.2556E-3</v>
      </c>
      <c r="E670" s="353">
        <v>4.8332999999999996E-3</v>
      </c>
      <c r="F670" s="354">
        <v>7.9810999999999997E-3</v>
      </c>
    </row>
    <row r="671" spans="1:6" ht="12" thickBot="1">
      <c r="A671" s="352">
        <v>40784</v>
      </c>
      <c r="B671" s="353">
        <v>2.2093999999999998E-3</v>
      </c>
      <c r="C671" s="353">
        <v>2.6633E-3</v>
      </c>
      <c r="D671" s="353">
        <v>3.2277999999999999E-3</v>
      </c>
      <c r="E671" s="353">
        <v>4.7993999999999997E-3</v>
      </c>
      <c r="F671" s="354">
        <v>7.9588999999999997E-3</v>
      </c>
    </row>
    <row r="672" spans="1:6" ht="12" thickBot="1">
      <c r="A672" s="352">
        <v>40781</v>
      </c>
      <c r="B672" s="353">
        <v>2.2093999999999998E-3</v>
      </c>
      <c r="C672" s="353">
        <v>2.6633E-3</v>
      </c>
      <c r="D672" s="353">
        <v>3.2277999999999999E-3</v>
      </c>
      <c r="E672" s="353">
        <v>4.7993999999999997E-3</v>
      </c>
      <c r="F672" s="354">
        <v>7.9588999999999997E-3</v>
      </c>
    </row>
    <row r="673" spans="1:6" ht="12" thickBot="1">
      <c r="A673" s="352">
        <v>40780</v>
      </c>
      <c r="B673" s="353">
        <v>2.2082999999999998E-3</v>
      </c>
      <c r="C673" s="353">
        <v>2.6556000000000001E-3</v>
      </c>
      <c r="D673" s="353">
        <v>3.1900000000000001E-3</v>
      </c>
      <c r="E673" s="353">
        <v>4.8028000000000003E-3</v>
      </c>
      <c r="F673" s="354">
        <v>7.9789000000000006E-3</v>
      </c>
    </row>
    <row r="674" spans="1:6" ht="12" thickBot="1">
      <c r="A674" s="352">
        <v>40779</v>
      </c>
      <c r="B674" s="353">
        <v>2.1894000000000002E-3</v>
      </c>
      <c r="C674" s="353">
        <v>2.6305999999999999E-3</v>
      </c>
      <c r="D674" s="353">
        <v>3.1427999999999998E-3</v>
      </c>
      <c r="E674" s="353">
        <v>4.7638999999999997E-3</v>
      </c>
      <c r="F674" s="354">
        <v>7.9456000000000006E-3</v>
      </c>
    </row>
    <row r="675" spans="1:6" ht="12" thickBot="1">
      <c r="A675" s="352">
        <v>40778</v>
      </c>
      <c r="B675" s="353">
        <v>2.1838999999999999E-3</v>
      </c>
      <c r="C675" s="353">
        <v>2.6083E-3</v>
      </c>
      <c r="D675" s="353">
        <v>3.1178E-3</v>
      </c>
      <c r="E675" s="353">
        <v>4.7527999999999997E-3</v>
      </c>
      <c r="F675" s="354">
        <v>7.9232999999999994E-3</v>
      </c>
    </row>
    <row r="676" spans="1:6" ht="12" thickBot="1">
      <c r="A676" s="352">
        <v>40777</v>
      </c>
      <c r="B676" s="353">
        <v>2.1678000000000001E-3</v>
      </c>
      <c r="C676" s="353">
        <v>2.5777999999999999E-3</v>
      </c>
      <c r="D676" s="353">
        <v>3.0844000000000002E-3</v>
      </c>
      <c r="E676" s="353">
        <v>4.7111000000000002E-3</v>
      </c>
      <c r="F676" s="354">
        <v>7.8817000000000002E-3</v>
      </c>
    </row>
    <row r="677" spans="1:6" ht="12" thickBot="1">
      <c r="A677" s="352">
        <v>40774</v>
      </c>
      <c r="B677" s="353">
        <v>2.1543999999999999E-3</v>
      </c>
      <c r="C677" s="353">
        <v>2.5588999999999998E-3</v>
      </c>
      <c r="D677" s="353">
        <v>3.0300000000000001E-3</v>
      </c>
      <c r="E677" s="353">
        <v>4.6705999999999996E-3</v>
      </c>
      <c r="F677" s="354">
        <v>7.8438999999999991E-3</v>
      </c>
    </row>
    <row r="678" spans="1:6" ht="12" thickBot="1">
      <c r="A678" s="352">
        <v>40773</v>
      </c>
      <c r="B678" s="353">
        <v>2.1299999999999999E-3</v>
      </c>
      <c r="C678" s="353">
        <v>2.5233E-3</v>
      </c>
      <c r="D678" s="353">
        <v>2.9778000000000001E-3</v>
      </c>
      <c r="E678" s="353">
        <v>4.6293999999999997E-3</v>
      </c>
      <c r="F678" s="354">
        <v>7.8017E-3</v>
      </c>
    </row>
    <row r="679" spans="1:6" ht="12" thickBot="1">
      <c r="A679" s="352">
        <v>40772</v>
      </c>
      <c r="B679" s="353">
        <v>2.1243999999999998E-3</v>
      </c>
      <c r="C679" s="353">
        <v>2.5111000000000001E-3</v>
      </c>
      <c r="D679" s="353">
        <v>2.9589E-3</v>
      </c>
      <c r="E679" s="353">
        <v>4.5982999999999996E-3</v>
      </c>
      <c r="F679" s="354">
        <v>7.7761000000000002E-3</v>
      </c>
    </row>
    <row r="680" spans="1:6" ht="12" thickBot="1">
      <c r="A680" s="352">
        <v>40771</v>
      </c>
      <c r="B680" s="353">
        <v>2.1021999999999998E-3</v>
      </c>
      <c r="C680" s="353">
        <v>2.5056000000000002E-3</v>
      </c>
      <c r="D680" s="353">
        <v>2.9283E-3</v>
      </c>
      <c r="E680" s="353">
        <v>4.5982999999999996E-3</v>
      </c>
      <c r="F680" s="354">
        <v>7.7593999999999996E-3</v>
      </c>
    </row>
    <row r="681" spans="1:6" ht="12" thickBot="1">
      <c r="A681" s="352">
        <v>40767</v>
      </c>
      <c r="B681" s="353">
        <v>2.0833000000000002E-3</v>
      </c>
      <c r="C681" s="353">
        <v>2.4978000000000001E-3</v>
      </c>
      <c r="D681" s="353">
        <v>2.9006000000000001E-3</v>
      </c>
      <c r="E681" s="353">
        <v>4.5672000000000004E-3</v>
      </c>
      <c r="F681" s="354">
        <v>7.7282999999999996E-3</v>
      </c>
    </row>
    <row r="682" spans="1:6" ht="12" thickBot="1">
      <c r="A682" s="352">
        <v>40766</v>
      </c>
      <c r="B682" s="353">
        <v>2.0722000000000002E-3</v>
      </c>
      <c r="C682" s="353">
        <v>2.4589E-3</v>
      </c>
      <c r="D682" s="353">
        <v>2.8617E-3</v>
      </c>
      <c r="E682" s="353">
        <v>4.5183000000000003E-3</v>
      </c>
      <c r="F682" s="354">
        <v>7.6961E-3</v>
      </c>
    </row>
    <row r="683" spans="1:6" ht="12" thickBot="1">
      <c r="A683" s="352">
        <v>40765</v>
      </c>
      <c r="B683" s="353">
        <v>2.0711000000000002E-3</v>
      </c>
      <c r="C683" s="353">
        <v>2.4244000000000002E-3</v>
      </c>
      <c r="D683" s="353">
        <v>2.8061000000000002E-3</v>
      </c>
      <c r="E683" s="353">
        <v>4.4828000000000003E-3</v>
      </c>
      <c r="F683" s="354">
        <v>7.6661000000000003E-3</v>
      </c>
    </row>
    <row r="684" spans="1:6" ht="12" thickBot="1">
      <c r="A684" s="352">
        <v>40764</v>
      </c>
      <c r="B684" s="353">
        <v>2.0799999999999998E-3</v>
      </c>
      <c r="C684" s="353">
        <v>2.4022000000000002E-3</v>
      </c>
      <c r="D684" s="353">
        <v>2.7839000000000002E-3</v>
      </c>
      <c r="E684" s="353">
        <v>4.4828000000000003E-3</v>
      </c>
      <c r="F684" s="354">
        <v>7.6994000000000003E-3</v>
      </c>
    </row>
    <row r="685" spans="1:6" ht="12" thickBot="1">
      <c r="A685" s="352">
        <v>40763</v>
      </c>
      <c r="B685" s="353">
        <v>2.0577999999999998E-3</v>
      </c>
      <c r="C685" s="353">
        <v>2.3578000000000002E-3</v>
      </c>
      <c r="D685" s="353">
        <v>2.7477999999999999E-3</v>
      </c>
      <c r="E685" s="353">
        <v>4.4333000000000003E-3</v>
      </c>
      <c r="F685" s="354">
        <v>7.6667000000000003E-3</v>
      </c>
    </row>
    <row r="686" spans="1:6" ht="12" thickBot="1">
      <c r="A686" s="352">
        <v>40760</v>
      </c>
      <c r="B686" s="353">
        <v>2.055E-3</v>
      </c>
      <c r="C686" s="353">
        <v>2.3494000000000002E-3</v>
      </c>
      <c r="D686" s="353">
        <v>2.7160999999999999E-3</v>
      </c>
      <c r="E686" s="353">
        <v>4.4278E-3</v>
      </c>
      <c r="F686" s="354">
        <v>7.6471999999999998E-3</v>
      </c>
    </row>
    <row r="687" spans="1:6" ht="12" thickBot="1">
      <c r="A687" s="352">
        <v>40759</v>
      </c>
      <c r="B687" s="353">
        <v>2.0506000000000001E-3</v>
      </c>
      <c r="C687" s="353">
        <v>2.3283000000000002E-3</v>
      </c>
      <c r="D687" s="353">
        <v>2.6938999999999999E-3</v>
      </c>
      <c r="E687" s="353">
        <v>4.4056E-3</v>
      </c>
      <c r="F687" s="354">
        <v>7.6610999999999997E-3</v>
      </c>
    </row>
    <row r="688" spans="1:6" ht="12" thickBot="1">
      <c r="A688" s="352">
        <v>40758</v>
      </c>
      <c r="B688" s="353">
        <v>2.0555999999999999E-3</v>
      </c>
      <c r="C688" s="353">
        <v>2.3256000000000001E-3</v>
      </c>
      <c r="D688" s="353">
        <v>2.6827999999999999E-3</v>
      </c>
      <c r="E688" s="353">
        <v>4.4028000000000001E-3</v>
      </c>
      <c r="F688" s="354">
        <v>7.6499999999999997E-3</v>
      </c>
    </row>
    <row r="689" spans="1:6" ht="12" thickBot="1">
      <c r="A689" s="352">
        <v>40757</v>
      </c>
      <c r="B689" s="353">
        <v>2.0083000000000002E-3</v>
      </c>
      <c r="C689" s="353">
        <v>2.2972000000000001E-3</v>
      </c>
      <c r="D689" s="353">
        <v>2.6443999999999999E-3</v>
      </c>
      <c r="E689" s="353">
        <v>4.3750000000000004E-3</v>
      </c>
      <c r="F689" s="354">
        <v>7.6306000000000004E-3</v>
      </c>
    </row>
    <row r="690" spans="1:6" ht="12" thickBot="1">
      <c r="A690" s="352">
        <v>40756</v>
      </c>
      <c r="B690" s="353">
        <v>1.9206E-3</v>
      </c>
      <c r="C690" s="353">
        <v>2.2277999999999998E-3</v>
      </c>
      <c r="D690" s="353">
        <v>2.5722000000000002E-3</v>
      </c>
      <c r="E690" s="353">
        <v>4.3166999999999997E-3</v>
      </c>
      <c r="F690" s="354">
        <v>7.5944000000000003E-3</v>
      </c>
    </row>
    <row r="691" spans="1:6" ht="12" thickBot="1">
      <c r="A691" s="352">
        <v>40753</v>
      </c>
      <c r="B691" s="353">
        <v>1.9109999999999999E-3</v>
      </c>
      <c r="C691" s="353">
        <v>2.2074999999999998E-3</v>
      </c>
      <c r="D691" s="353">
        <v>2.555E-3</v>
      </c>
      <c r="E691" s="353">
        <v>4.3024999999999999E-3</v>
      </c>
      <c r="F691" s="354">
        <v>7.6024999999999999E-3</v>
      </c>
    </row>
    <row r="692" spans="1:6" ht="12" thickBot="1">
      <c r="A692" s="352">
        <v>40752</v>
      </c>
      <c r="B692" s="353">
        <v>1.8825000000000001E-3</v>
      </c>
      <c r="C692" s="353">
        <v>2.1974999999999998E-3</v>
      </c>
      <c r="D692" s="353">
        <v>2.5395000000000001E-3</v>
      </c>
      <c r="E692" s="353">
        <v>4.2849999999999997E-3</v>
      </c>
      <c r="F692" s="354">
        <v>7.5775E-3</v>
      </c>
    </row>
    <row r="693" spans="1:6" ht="12" thickBot="1">
      <c r="A693" s="352">
        <v>40751</v>
      </c>
      <c r="B693" s="353">
        <v>1.8725E-3</v>
      </c>
      <c r="C693" s="353">
        <v>2.1925E-3</v>
      </c>
      <c r="D693" s="353">
        <v>2.5284999999999999E-3</v>
      </c>
      <c r="E693" s="353">
        <v>4.2624999999999998E-3</v>
      </c>
      <c r="F693" s="354">
        <v>7.5599999999999999E-3</v>
      </c>
    </row>
    <row r="694" spans="1:6" ht="12" thickBot="1">
      <c r="A694" s="352">
        <v>40750</v>
      </c>
      <c r="B694" s="353">
        <v>1.8725E-3</v>
      </c>
      <c r="C694" s="353">
        <v>2.1925E-3</v>
      </c>
      <c r="D694" s="353">
        <v>2.526E-3</v>
      </c>
      <c r="E694" s="353">
        <v>4.2500000000000003E-3</v>
      </c>
      <c r="F694" s="354">
        <v>7.5475000000000004E-3</v>
      </c>
    </row>
    <row r="695" spans="1:6" ht="12" thickBot="1">
      <c r="A695" s="352">
        <v>40749</v>
      </c>
      <c r="B695" s="353">
        <v>1.8725E-3</v>
      </c>
      <c r="C695" s="353">
        <v>2.1925E-3</v>
      </c>
      <c r="D695" s="353">
        <v>2.5209999999999998E-3</v>
      </c>
      <c r="E695" s="353">
        <v>4.2449999999999996E-3</v>
      </c>
      <c r="F695" s="354">
        <v>7.5424999999999997E-3</v>
      </c>
    </row>
    <row r="696" spans="1:6" ht="12" thickBot="1">
      <c r="A696" s="352">
        <v>40746</v>
      </c>
      <c r="B696" s="353">
        <v>1.8725E-3</v>
      </c>
      <c r="C696" s="353">
        <v>2.1925E-3</v>
      </c>
      <c r="D696" s="353">
        <v>2.5300000000000001E-3</v>
      </c>
      <c r="E696" s="353">
        <v>4.2249999999999996E-3</v>
      </c>
      <c r="F696" s="354">
        <v>7.5224999999999997E-3</v>
      </c>
    </row>
    <row r="697" spans="1:6" ht="12" thickBot="1">
      <c r="A697" s="352">
        <v>40745</v>
      </c>
      <c r="B697" s="353">
        <v>1.8725E-3</v>
      </c>
      <c r="C697" s="353">
        <v>2.1925E-3</v>
      </c>
      <c r="D697" s="353">
        <v>2.5300000000000001E-3</v>
      </c>
      <c r="E697" s="353">
        <v>4.235E-3</v>
      </c>
      <c r="F697" s="354">
        <v>7.5174999999999999E-3</v>
      </c>
    </row>
    <row r="698" spans="1:6" ht="12" thickBot="1">
      <c r="A698" s="352">
        <v>40743</v>
      </c>
      <c r="B698" s="353">
        <v>1.8625E-3</v>
      </c>
      <c r="C698" s="353">
        <v>2.1875000000000002E-3</v>
      </c>
      <c r="D698" s="353">
        <v>2.5200000000000001E-3</v>
      </c>
      <c r="E698" s="353">
        <v>4.2300000000000003E-3</v>
      </c>
      <c r="F698" s="354">
        <v>7.4974999999999998E-3</v>
      </c>
    </row>
    <row r="699" spans="1:6" ht="12" thickBot="1">
      <c r="A699" s="352">
        <v>40742</v>
      </c>
      <c r="B699" s="353">
        <v>1.8625E-3</v>
      </c>
      <c r="C699" s="353">
        <v>2.1849999999999999E-3</v>
      </c>
      <c r="D699" s="353">
        <v>2.5125E-3</v>
      </c>
      <c r="E699" s="353">
        <v>4.1999999999999997E-3</v>
      </c>
      <c r="F699" s="354">
        <v>7.4850000000000003E-3</v>
      </c>
    </row>
    <row r="700" spans="1:6" ht="12" thickBot="1">
      <c r="A700" s="352">
        <v>40739</v>
      </c>
      <c r="B700" s="353">
        <v>1.8575E-3</v>
      </c>
      <c r="C700" s="353">
        <v>2.1695E-3</v>
      </c>
      <c r="D700" s="353">
        <v>2.4605E-3</v>
      </c>
      <c r="E700" s="353">
        <v>4.0274999999999998E-3</v>
      </c>
      <c r="F700" s="354">
        <v>7.3474999999999999E-3</v>
      </c>
    </row>
    <row r="701" spans="1:6" ht="12" thickBot="1">
      <c r="A701" s="352">
        <v>40738</v>
      </c>
      <c r="B701" s="353">
        <v>1.8649999999999999E-3</v>
      </c>
      <c r="C701" s="353">
        <v>2.1795E-3</v>
      </c>
      <c r="D701" s="353">
        <v>2.4975000000000002E-3</v>
      </c>
      <c r="E701" s="353">
        <v>4.1574999999999997E-3</v>
      </c>
      <c r="F701" s="354">
        <v>7.43E-3</v>
      </c>
    </row>
    <row r="702" spans="1:6" ht="12" thickBot="1">
      <c r="A702" s="352">
        <v>40737</v>
      </c>
      <c r="B702" s="353">
        <v>1.8649999999999999E-3</v>
      </c>
      <c r="C702" s="353">
        <v>2.1795E-3</v>
      </c>
      <c r="D702" s="353">
        <v>2.4924999999999999E-3</v>
      </c>
      <c r="E702" s="353">
        <v>4.1324999999999999E-3</v>
      </c>
      <c r="F702" s="354">
        <v>7.4250000000000002E-3</v>
      </c>
    </row>
    <row r="703" spans="1:6" ht="12" thickBot="1">
      <c r="A703" s="352">
        <v>40736</v>
      </c>
      <c r="B703" s="353">
        <v>1.8649999999999999E-3</v>
      </c>
      <c r="C703" s="353">
        <v>2.1795E-3</v>
      </c>
      <c r="D703" s="353">
        <v>2.49E-3</v>
      </c>
      <c r="E703" s="353">
        <v>4.0974999999999996E-3</v>
      </c>
      <c r="F703" s="354">
        <v>7.4050000000000001E-3</v>
      </c>
    </row>
    <row r="704" spans="1:6" ht="12" thickBot="1">
      <c r="A704" s="352">
        <v>40735</v>
      </c>
      <c r="B704" s="353">
        <v>1.8575E-3</v>
      </c>
      <c r="C704" s="353">
        <v>2.1695E-3</v>
      </c>
      <c r="D704" s="353">
        <v>2.4605E-3</v>
      </c>
      <c r="E704" s="353">
        <v>4.0274999999999998E-3</v>
      </c>
      <c r="F704" s="354">
        <v>7.3474999999999999E-3</v>
      </c>
    </row>
    <row r="705" spans="1:6" ht="12" thickBot="1">
      <c r="A705" s="352">
        <v>40732</v>
      </c>
      <c r="B705" s="353">
        <v>1.8575E-3</v>
      </c>
      <c r="C705" s="353">
        <v>2.1695E-3</v>
      </c>
      <c r="D705" s="353">
        <v>2.4605E-3</v>
      </c>
      <c r="E705" s="353">
        <v>3.9874999999999997E-3</v>
      </c>
      <c r="F705" s="354">
        <v>7.3575000000000003E-3</v>
      </c>
    </row>
    <row r="706" spans="1:6" ht="12" thickBot="1">
      <c r="A706" s="352">
        <v>40731</v>
      </c>
      <c r="B706" s="353">
        <v>1.8575E-3</v>
      </c>
      <c r="C706" s="353">
        <v>2.1695E-3</v>
      </c>
      <c r="D706" s="353">
        <v>2.4605E-3</v>
      </c>
      <c r="E706" s="353">
        <v>3.9874999999999997E-3</v>
      </c>
      <c r="F706" s="354">
        <v>7.3524999999999997E-3</v>
      </c>
    </row>
    <row r="707" spans="1:6" ht="12" thickBot="1">
      <c r="A707" s="352">
        <v>40730</v>
      </c>
      <c r="B707" s="353">
        <v>1.8525E-3</v>
      </c>
      <c r="C707" s="353">
        <v>2.1675000000000002E-3</v>
      </c>
      <c r="D707" s="353">
        <v>2.4575E-3</v>
      </c>
      <c r="E707" s="353">
        <v>3.9874999999999997E-3</v>
      </c>
      <c r="F707" s="354">
        <v>7.3499999999999998E-3</v>
      </c>
    </row>
    <row r="708" spans="1:6" ht="12" thickBot="1">
      <c r="A708" s="352">
        <v>40729</v>
      </c>
      <c r="B708" s="353">
        <v>1.8504999999999999E-3</v>
      </c>
      <c r="C708" s="353">
        <v>2.1675000000000002E-3</v>
      </c>
      <c r="D708" s="353">
        <v>2.4575E-3</v>
      </c>
      <c r="E708" s="353">
        <v>3.9725000000000003E-3</v>
      </c>
      <c r="F708" s="354">
        <v>7.345E-3</v>
      </c>
    </row>
    <row r="709" spans="1:6" ht="12" thickBot="1">
      <c r="A709" s="352">
        <v>40725</v>
      </c>
      <c r="B709" s="353">
        <v>1.8504999999999999E-3</v>
      </c>
      <c r="C709" s="353">
        <v>2.1675000000000002E-3</v>
      </c>
      <c r="D709" s="353">
        <v>2.4575E-3</v>
      </c>
      <c r="E709" s="353">
        <v>3.9725000000000003E-3</v>
      </c>
      <c r="F709" s="354">
        <v>7.3400000000000002E-3</v>
      </c>
    </row>
    <row r="710" spans="1:6" ht="12" thickBot="1">
      <c r="A710" s="352">
        <v>40724</v>
      </c>
      <c r="B710" s="353">
        <v>1.8554999999999999E-3</v>
      </c>
      <c r="C710" s="353">
        <v>2.1725E-3</v>
      </c>
      <c r="D710" s="353">
        <v>2.4575E-3</v>
      </c>
      <c r="E710" s="353">
        <v>3.9775000000000001E-3</v>
      </c>
      <c r="F710" s="354">
        <v>7.3350000000000004E-3</v>
      </c>
    </row>
    <row r="711" spans="1:6" ht="12" thickBot="1">
      <c r="A711" s="352">
        <v>40723</v>
      </c>
      <c r="B711" s="353">
        <v>1.8554999999999999E-3</v>
      </c>
      <c r="C711" s="353">
        <v>2.1725E-3</v>
      </c>
      <c r="D711" s="353">
        <v>2.4575E-3</v>
      </c>
      <c r="E711" s="353">
        <v>4.0025E-3</v>
      </c>
      <c r="F711" s="354">
        <v>7.3499999999999998E-3</v>
      </c>
    </row>
    <row r="712" spans="1:6" ht="12" thickBot="1">
      <c r="A712" s="352">
        <v>40722</v>
      </c>
      <c r="B712" s="353">
        <v>1.8554999999999999E-3</v>
      </c>
      <c r="C712" s="353">
        <v>2.1725E-3</v>
      </c>
      <c r="D712" s="353">
        <v>2.4575E-3</v>
      </c>
      <c r="E712" s="353">
        <v>4.0074999999999998E-3</v>
      </c>
      <c r="F712" s="354">
        <v>7.3499999999999998E-3</v>
      </c>
    </row>
    <row r="713" spans="1:6" ht="12" thickBot="1">
      <c r="A713" s="352">
        <v>40718</v>
      </c>
      <c r="B713" s="353">
        <v>1.8554999999999999E-3</v>
      </c>
      <c r="C713" s="353">
        <v>2.1749999999999999E-3</v>
      </c>
      <c r="D713" s="353">
        <v>2.4624999999999998E-3</v>
      </c>
      <c r="E713" s="353">
        <v>3.9674999999999997E-3</v>
      </c>
      <c r="F713" s="354">
        <v>7.2874999999999997E-3</v>
      </c>
    </row>
    <row r="714" spans="1:6" ht="12" thickBot="1">
      <c r="A714" s="352">
        <v>40717</v>
      </c>
      <c r="B714" s="353">
        <v>1.8580000000000001E-3</v>
      </c>
      <c r="C714" s="353">
        <v>2.1749999999999999E-3</v>
      </c>
      <c r="D714" s="353">
        <v>2.4650000000000002E-3</v>
      </c>
      <c r="E714" s="353">
        <v>3.9575000000000001E-3</v>
      </c>
      <c r="F714" s="354">
        <v>7.2725000000000003E-3</v>
      </c>
    </row>
    <row r="715" spans="1:6" ht="12" thickBot="1">
      <c r="A715" s="352">
        <v>40716</v>
      </c>
      <c r="B715" s="353">
        <v>1.8580000000000001E-3</v>
      </c>
      <c r="C715" s="353">
        <v>2.1749999999999999E-3</v>
      </c>
      <c r="D715" s="353">
        <v>2.4550000000000002E-3</v>
      </c>
      <c r="E715" s="353">
        <v>3.9474999999999996E-3</v>
      </c>
      <c r="F715" s="354">
        <v>7.2624999999999999E-3</v>
      </c>
    </row>
    <row r="716" spans="1:6" ht="12" thickBot="1">
      <c r="A716" s="352">
        <v>40715</v>
      </c>
      <c r="B716" s="353">
        <v>1.8580000000000001E-3</v>
      </c>
      <c r="C716" s="353">
        <v>2.1749999999999999E-3</v>
      </c>
      <c r="D716" s="353">
        <v>2.4550000000000002E-3</v>
      </c>
      <c r="E716" s="353">
        <v>3.9474999999999996E-3</v>
      </c>
      <c r="F716" s="354">
        <v>7.2775000000000001E-3</v>
      </c>
    </row>
    <row r="717" spans="1:6" ht="12" thickBot="1">
      <c r="A717" s="352">
        <v>40714</v>
      </c>
      <c r="B717" s="353">
        <v>1.8580000000000001E-3</v>
      </c>
      <c r="C717" s="353">
        <v>2.1749999999999999E-3</v>
      </c>
      <c r="D717" s="353">
        <v>2.4650000000000002E-3</v>
      </c>
      <c r="E717" s="353">
        <v>3.9474999999999996E-3</v>
      </c>
      <c r="F717" s="354">
        <v>7.2775000000000001E-3</v>
      </c>
    </row>
    <row r="718" spans="1:6" ht="12" thickBot="1">
      <c r="A718" s="352">
        <v>40711</v>
      </c>
      <c r="B718" s="353">
        <v>1.8580000000000001E-3</v>
      </c>
      <c r="C718" s="353">
        <v>2.1749999999999999E-3</v>
      </c>
      <c r="D718" s="353">
        <v>2.4650000000000002E-3</v>
      </c>
      <c r="E718" s="353">
        <v>3.9500000000000004E-3</v>
      </c>
      <c r="F718" s="354">
        <v>7.2775000000000001E-3</v>
      </c>
    </row>
    <row r="719" spans="1:6" ht="12" thickBot="1">
      <c r="A719" s="352">
        <v>40710</v>
      </c>
      <c r="B719" s="353">
        <v>1.8580000000000001E-3</v>
      </c>
      <c r="C719" s="353">
        <v>2.1749999999999999E-3</v>
      </c>
      <c r="D719" s="353">
        <v>2.4650000000000002E-3</v>
      </c>
      <c r="E719" s="353">
        <v>3.9500000000000004E-3</v>
      </c>
      <c r="F719" s="354">
        <v>7.2725000000000003E-3</v>
      </c>
    </row>
    <row r="720" spans="1:6" ht="12" thickBot="1">
      <c r="A720" s="352">
        <v>40709</v>
      </c>
      <c r="B720" s="353">
        <v>1.853E-3</v>
      </c>
      <c r="C720" s="353">
        <v>2.1700000000000001E-3</v>
      </c>
      <c r="D720" s="353">
        <v>2.4499999999999999E-3</v>
      </c>
      <c r="E720" s="353">
        <v>3.9325000000000002E-3</v>
      </c>
      <c r="F720" s="354">
        <v>7.2125000000000002E-3</v>
      </c>
    </row>
    <row r="721" spans="1:6" ht="12" thickBot="1">
      <c r="A721" s="352">
        <v>40708</v>
      </c>
      <c r="B721" s="353">
        <v>1.8554999999999999E-3</v>
      </c>
      <c r="C721" s="353">
        <v>2.1725E-3</v>
      </c>
      <c r="D721" s="353">
        <v>2.4524999999999998E-3</v>
      </c>
      <c r="E721" s="353">
        <v>3.9350000000000001E-3</v>
      </c>
      <c r="F721" s="354">
        <v>7.2024999999999997E-3</v>
      </c>
    </row>
    <row r="722" spans="1:6" ht="12" thickBot="1">
      <c r="A722" s="352">
        <v>40707</v>
      </c>
      <c r="B722" s="353">
        <v>1.8705E-3</v>
      </c>
      <c r="C722" s="353">
        <v>2.1875000000000002E-3</v>
      </c>
      <c r="D722" s="353">
        <v>2.47E-3</v>
      </c>
      <c r="E722" s="353">
        <v>3.9449999999999997E-3</v>
      </c>
      <c r="F722" s="354">
        <v>7.2024999999999997E-3</v>
      </c>
    </row>
    <row r="723" spans="1:6" ht="12" thickBot="1">
      <c r="A723" s="352">
        <v>40704</v>
      </c>
      <c r="B723" s="353">
        <v>1.8855E-3</v>
      </c>
      <c r="C723" s="353">
        <v>2.2025E-3</v>
      </c>
      <c r="D723" s="353">
        <v>2.4849999999999998E-3</v>
      </c>
      <c r="E723" s="353">
        <v>3.9674999999999997E-3</v>
      </c>
      <c r="F723" s="354">
        <v>7.2249999999999997E-3</v>
      </c>
    </row>
    <row r="724" spans="1:6" ht="12" thickBot="1">
      <c r="A724" s="352">
        <v>40703</v>
      </c>
      <c r="B724" s="353">
        <v>1.8955E-3</v>
      </c>
      <c r="C724" s="353">
        <v>2.2125000000000001E-3</v>
      </c>
      <c r="D724" s="353">
        <v>2.4949999999999998E-3</v>
      </c>
      <c r="E724" s="353">
        <v>3.9674999999999997E-3</v>
      </c>
      <c r="F724" s="354">
        <v>7.2249999999999997E-3</v>
      </c>
    </row>
    <row r="725" spans="1:6" ht="12" thickBot="1">
      <c r="A725" s="352">
        <v>40702</v>
      </c>
      <c r="B725" s="353">
        <v>1.8955E-3</v>
      </c>
      <c r="C725" s="353">
        <v>2.2225000000000001E-3</v>
      </c>
      <c r="D725" s="353">
        <v>2.5025E-3</v>
      </c>
      <c r="E725" s="353">
        <v>3.9775000000000001E-3</v>
      </c>
      <c r="F725" s="354">
        <v>7.2175E-3</v>
      </c>
    </row>
    <row r="726" spans="1:6" ht="12" thickBot="1">
      <c r="A726" s="352">
        <v>40701</v>
      </c>
      <c r="B726" s="353">
        <v>1.8955E-3</v>
      </c>
      <c r="C726" s="353">
        <v>2.2225000000000001E-3</v>
      </c>
      <c r="D726" s="353">
        <v>2.5175000000000002E-3</v>
      </c>
      <c r="E726" s="353">
        <v>4.0000000000000001E-3</v>
      </c>
      <c r="F726" s="354">
        <v>7.2500000000000004E-3</v>
      </c>
    </row>
    <row r="727" spans="1:6" ht="12" thickBot="1">
      <c r="A727" s="352">
        <v>40697</v>
      </c>
      <c r="B727" s="353">
        <v>1.8979999999999999E-3</v>
      </c>
      <c r="C727" s="353">
        <v>2.2325000000000001E-3</v>
      </c>
      <c r="D727" s="353">
        <v>2.5200000000000001E-3</v>
      </c>
      <c r="E727" s="353">
        <v>4.0099999999999997E-3</v>
      </c>
      <c r="F727" s="354">
        <v>7.2725000000000003E-3</v>
      </c>
    </row>
    <row r="728" spans="1:6" ht="12" thickBot="1">
      <c r="A728" s="352">
        <v>40696</v>
      </c>
      <c r="B728" s="353">
        <v>1.9017999999999999E-3</v>
      </c>
      <c r="C728" s="353">
        <v>2.2338000000000002E-3</v>
      </c>
      <c r="D728" s="353">
        <v>2.5200000000000001E-3</v>
      </c>
      <c r="E728" s="353">
        <v>4.0137999999999997E-3</v>
      </c>
      <c r="F728" s="354">
        <v>7.2725000000000003E-3</v>
      </c>
    </row>
    <row r="729" spans="1:6" ht="12" thickBot="1">
      <c r="A729" s="352">
        <v>40695</v>
      </c>
      <c r="B729" s="353">
        <v>1.9043E-3</v>
      </c>
      <c r="C729" s="353">
        <v>2.2363000000000001E-3</v>
      </c>
      <c r="D729" s="353">
        <v>2.5287999999999999E-3</v>
      </c>
      <c r="E729" s="353">
        <v>4.0263E-3</v>
      </c>
      <c r="F729" s="354">
        <v>7.2950000000000003E-3</v>
      </c>
    </row>
    <row r="730" spans="1:6" ht="12" thickBot="1">
      <c r="A730" s="352">
        <v>40694</v>
      </c>
      <c r="B730" s="353">
        <v>1.9043E-3</v>
      </c>
      <c r="C730" s="353">
        <v>2.2412999999999999E-3</v>
      </c>
      <c r="D730" s="353">
        <v>2.5287999999999999E-3</v>
      </c>
      <c r="E730" s="353">
        <v>4.0312999999999998E-3</v>
      </c>
      <c r="F730" s="354">
        <v>7.2950000000000003E-3</v>
      </c>
    </row>
    <row r="731" spans="1:6" ht="12" thickBot="1">
      <c r="A731" s="352">
        <v>40693</v>
      </c>
      <c r="B731" s="353">
        <v>1.9103E-3</v>
      </c>
      <c r="C731" s="353">
        <v>2.2412999999999999E-3</v>
      </c>
      <c r="D731" s="353">
        <v>2.5387999999999999E-3</v>
      </c>
      <c r="E731" s="353">
        <v>4.0263E-3</v>
      </c>
      <c r="F731" s="354">
        <v>7.2950000000000003E-3</v>
      </c>
    </row>
    <row r="732" spans="1:6" ht="12" thickBot="1">
      <c r="A732" s="352">
        <v>40690</v>
      </c>
      <c r="B732" s="353">
        <v>1.9103E-3</v>
      </c>
      <c r="C732" s="353">
        <v>2.2412999999999999E-3</v>
      </c>
      <c r="D732" s="353">
        <v>2.5387999999999999E-3</v>
      </c>
      <c r="E732" s="353">
        <v>4.0263E-3</v>
      </c>
      <c r="F732" s="354">
        <v>7.2950000000000003E-3</v>
      </c>
    </row>
    <row r="733" spans="1:6" ht="12" thickBot="1">
      <c r="A733" s="352">
        <v>40689</v>
      </c>
      <c r="B733" s="353">
        <v>1.9124999999999999E-3</v>
      </c>
      <c r="C733" s="353">
        <v>2.2425000000000001E-3</v>
      </c>
      <c r="D733" s="353">
        <v>2.5400000000000002E-3</v>
      </c>
      <c r="E733" s="353">
        <v>4.0375000000000003E-3</v>
      </c>
      <c r="F733" s="354">
        <v>7.3125000000000004E-3</v>
      </c>
    </row>
    <row r="734" spans="1:6" ht="12" thickBot="1">
      <c r="A734" s="352">
        <v>40688</v>
      </c>
      <c r="B734" s="353">
        <v>1.9235000000000001E-3</v>
      </c>
      <c r="C734" s="353">
        <v>2.2474999999999999E-3</v>
      </c>
      <c r="D734" s="353">
        <v>2.545E-3</v>
      </c>
      <c r="E734" s="353">
        <v>4.0375000000000003E-3</v>
      </c>
      <c r="F734" s="354">
        <v>7.3125000000000004E-3</v>
      </c>
    </row>
    <row r="735" spans="1:6" ht="12" thickBot="1">
      <c r="A735" s="352">
        <v>40687</v>
      </c>
      <c r="B735" s="353">
        <v>1.9269999999999999E-3</v>
      </c>
      <c r="C735" s="353">
        <v>2.2599999999999999E-3</v>
      </c>
      <c r="D735" s="353">
        <v>2.5500000000000002E-3</v>
      </c>
      <c r="E735" s="353">
        <v>4.045E-3</v>
      </c>
      <c r="F735" s="354">
        <v>7.3175000000000002E-3</v>
      </c>
    </row>
    <row r="736" spans="1:6" ht="12" thickBot="1">
      <c r="A736" s="352">
        <v>40686</v>
      </c>
      <c r="B736" s="353">
        <v>1.9400000000000001E-3</v>
      </c>
      <c r="C736" s="353">
        <v>2.2699999999999999E-3</v>
      </c>
      <c r="D736" s="353">
        <v>2.5674999999999999E-3</v>
      </c>
      <c r="E736" s="353">
        <v>4.0549999999999996E-3</v>
      </c>
      <c r="F736" s="354">
        <v>7.3049999999999999E-3</v>
      </c>
    </row>
    <row r="737" spans="1:6" ht="12" thickBot="1">
      <c r="A737" s="352">
        <v>40683</v>
      </c>
      <c r="B737" s="353">
        <v>1.9475E-3</v>
      </c>
      <c r="C737" s="353">
        <v>2.2775E-3</v>
      </c>
      <c r="D737" s="353">
        <v>2.575E-3</v>
      </c>
      <c r="E737" s="353">
        <v>4.0724999999999997E-3</v>
      </c>
      <c r="F737" s="354">
        <v>7.3299999999999997E-3</v>
      </c>
    </row>
    <row r="738" spans="1:6" ht="12" thickBot="1">
      <c r="A738" s="352">
        <v>40682</v>
      </c>
      <c r="B738" s="353">
        <v>1.9525E-3</v>
      </c>
      <c r="C738" s="353">
        <v>2.2824999999999998E-3</v>
      </c>
      <c r="D738" s="353">
        <v>2.5850000000000001E-3</v>
      </c>
      <c r="E738" s="353">
        <v>4.0875E-3</v>
      </c>
      <c r="F738" s="354">
        <v>7.3699999999999998E-3</v>
      </c>
    </row>
    <row r="739" spans="1:6" ht="12" thickBot="1">
      <c r="A739" s="352">
        <v>40681</v>
      </c>
      <c r="B739" s="353">
        <v>1.9575E-3</v>
      </c>
      <c r="C739" s="353">
        <v>2.2899999999999999E-3</v>
      </c>
      <c r="D739" s="353">
        <v>2.5999999999999999E-3</v>
      </c>
      <c r="E739" s="353">
        <v>4.1000000000000003E-3</v>
      </c>
      <c r="F739" s="354">
        <v>7.3474999999999999E-3</v>
      </c>
    </row>
    <row r="740" spans="1:6" ht="12" thickBot="1">
      <c r="A740" s="352">
        <v>40680</v>
      </c>
      <c r="B740" s="353">
        <v>1.97E-3</v>
      </c>
      <c r="C740" s="353">
        <v>2.3050000000000002E-3</v>
      </c>
      <c r="D740" s="353">
        <v>2.5975E-3</v>
      </c>
      <c r="E740" s="353">
        <v>4.1200000000000004E-3</v>
      </c>
      <c r="F740" s="354">
        <v>7.3550000000000004E-3</v>
      </c>
    </row>
    <row r="741" spans="1:6" ht="12" thickBot="1">
      <c r="A741" s="352">
        <v>40679</v>
      </c>
      <c r="B741" s="353">
        <v>1.97E-3</v>
      </c>
      <c r="C741" s="353">
        <v>2.3050000000000002E-3</v>
      </c>
      <c r="D741" s="353">
        <v>2.6050000000000001E-3</v>
      </c>
      <c r="E741" s="353">
        <v>4.1250000000000002E-3</v>
      </c>
      <c r="F741" s="354">
        <v>7.3550000000000004E-3</v>
      </c>
    </row>
    <row r="742" spans="1:6" ht="12" thickBot="1">
      <c r="A742" s="352">
        <v>40676</v>
      </c>
      <c r="B742" s="353">
        <v>1.9710000000000001E-3</v>
      </c>
      <c r="C742" s="353">
        <v>2.3075000000000001E-3</v>
      </c>
      <c r="D742" s="353">
        <v>2.6050000000000001E-3</v>
      </c>
      <c r="E742" s="353">
        <v>4.15E-3</v>
      </c>
      <c r="F742" s="354">
        <v>7.3800000000000003E-3</v>
      </c>
    </row>
    <row r="743" spans="1:6" ht="12" thickBot="1">
      <c r="A743" s="352">
        <v>40675</v>
      </c>
      <c r="B743" s="353">
        <v>1.98E-3</v>
      </c>
      <c r="C743" s="353">
        <v>2.31E-3</v>
      </c>
      <c r="D743" s="353">
        <v>2.6075E-3</v>
      </c>
      <c r="E743" s="353">
        <v>4.1700000000000001E-3</v>
      </c>
      <c r="F743" s="354">
        <v>7.3800000000000003E-3</v>
      </c>
    </row>
    <row r="744" spans="1:6" ht="12" thickBot="1">
      <c r="A744" s="352">
        <v>40674</v>
      </c>
      <c r="B744" s="353">
        <v>1.9875000000000001E-3</v>
      </c>
      <c r="C744" s="353">
        <v>2.32E-3</v>
      </c>
      <c r="D744" s="353">
        <v>2.6224999999999998E-3</v>
      </c>
      <c r="E744" s="353">
        <v>4.2050000000000004E-3</v>
      </c>
      <c r="F744" s="354">
        <v>7.4250000000000002E-3</v>
      </c>
    </row>
    <row r="745" spans="1:6" ht="12" thickBot="1">
      <c r="A745" s="352">
        <v>40673</v>
      </c>
      <c r="B745" s="353">
        <v>2.0024999999999999E-3</v>
      </c>
      <c r="C745" s="353">
        <v>2.3375000000000002E-3</v>
      </c>
      <c r="D745" s="353">
        <v>2.64E-3</v>
      </c>
      <c r="E745" s="353">
        <v>4.2125000000000001E-3</v>
      </c>
      <c r="F745" s="354">
        <v>7.4349999999999998E-3</v>
      </c>
    </row>
    <row r="746" spans="1:6" ht="12" thickBot="1">
      <c r="A746" s="352">
        <v>40672</v>
      </c>
      <c r="B746" s="353">
        <v>2.0184999999999999E-3</v>
      </c>
      <c r="C746" s="353">
        <v>2.3574999999999998E-3</v>
      </c>
      <c r="D746" s="353">
        <v>2.6575000000000001E-3</v>
      </c>
      <c r="E746" s="353">
        <v>4.2325000000000002E-3</v>
      </c>
      <c r="F746" s="354">
        <v>7.4650000000000003E-3</v>
      </c>
    </row>
    <row r="747" spans="1:6" ht="12" thickBot="1">
      <c r="A747" s="352">
        <v>40669</v>
      </c>
      <c r="B747" s="353">
        <v>2.0384999999999999E-3</v>
      </c>
      <c r="C747" s="353">
        <v>2.3700000000000001E-3</v>
      </c>
      <c r="D747" s="353">
        <v>2.6700000000000001E-3</v>
      </c>
      <c r="E747" s="353">
        <v>4.2500000000000003E-3</v>
      </c>
      <c r="F747" s="354">
        <v>7.4900000000000001E-3</v>
      </c>
    </row>
    <row r="748" spans="1:6" ht="12" thickBot="1">
      <c r="A748" s="352">
        <v>40668</v>
      </c>
      <c r="B748" s="353">
        <v>2.062E-3</v>
      </c>
      <c r="C748" s="353">
        <v>2.3825000000000001E-3</v>
      </c>
      <c r="D748" s="353">
        <v>2.6825E-3</v>
      </c>
      <c r="E748" s="353">
        <v>4.2700000000000004E-3</v>
      </c>
      <c r="F748" s="354">
        <v>7.5199999999999998E-3</v>
      </c>
    </row>
    <row r="749" spans="1:6" ht="12" thickBot="1">
      <c r="A749" s="352">
        <v>40667</v>
      </c>
      <c r="B749" s="353">
        <v>2.0899999999999998E-3</v>
      </c>
      <c r="C749" s="353">
        <v>2.3974999999999999E-3</v>
      </c>
      <c r="D749" s="353">
        <v>2.7025E-3</v>
      </c>
      <c r="E749" s="353">
        <v>4.2849999999999997E-3</v>
      </c>
      <c r="F749" s="354">
        <v>7.5624999999999998E-3</v>
      </c>
    </row>
    <row r="750" spans="1:6" ht="12" thickBot="1">
      <c r="A750" s="352">
        <v>40666</v>
      </c>
      <c r="B750" s="353">
        <v>2.0950000000000001E-3</v>
      </c>
      <c r="C750" s="353">
        <v>2.4125000000000001E-3</v>
      </c>
      <c r="D750" s="353">
        <v>2.7225000000000001E-3</v>
      </c>
      <c r="E750" s="353">
        <v>4.3024999999999999E-3</v>
      </c>
      <c r="F750" s="354">
        <v>7.5775E-3</v>
      </c>
    </row>
    <row r="751" spans="1:6" ht="12" thickBot="1">
      <c r="A751" s="352">
        <v>40665</v>
      </c>
      <c r="B751" s="353">
        <v>2.1025000000000002E-3</v>
      </c>
      <c r="C751" s="353">
        <v>2.4225000000000002E-3</v>
      </c>
      <c r="D751" s="353">
        <v>2.7299999999999998E-3</v>
      </c>
      <c r="E751" s="353">
        <v>4.3049999999999998E-3</v>
      </c>
      <c r="F751" s="354">
        <v>7.6099999999999996E-3</v>
      </c>
    </row>
    <row r="752" spans="1:6" ht="12" thickBot="1">
      <c r="A752" s="352">
        <v>40662</v>
      </c>
      <c r="B752" s="353">
        <v>2.1025000000000002E-3</v>
      </c>
      <c r="C752" s="353">
        <v>2.4225000000000002E-3</v>
      </c>
      <c r="D752" s="353">
        <v>2.7299999999999998E-3</v>
      </c>
      <c r="E752" s="353">
        <v>4.3049999999999998E-3</v>
      </c>
      <c r="F752" s="354">
        <v>7.6099999999999996E-3</v>
      </c>
    </row>
    <row r="753" spans="1:6" ht="12" thickBot="1">
      <c r="A753" s="352">
        <v>40661</v>
      </c>
      <c r="B753" s="353">
        <v>2.1025000000000002E-3</v>
      </c>
      <c r="C753" s="353">
        <v>2.4225000000000002E-3</v>
      </c>
      <c r="D753" s="353">
        <v>2.7299999999999998E-3</v>
      </c>
      <c r="E753" s="353">
        <v>4.3049999999999998E-3</v>
      </c>
      <c r="F753" s="354">
        <v>7.6099999999999996E-3</v>
      </c>
    </row>
    <row r="754" spans="1:6" ht="12" thickBot="1">
      <c r="A754" s="352">
        <v>40660</v>
      </c>
      <c r="B754" s="353">
        <v>2.1050000000000001E-3</v>
      </c>
      <c r="C754" s="353">
        <v>2.4225000000000002E-3</v>
      </c>
      <c r="D754" s="353">
        <v>2.7325000000000001E-3</v>
      </c>
      <c r="E754" s="353">
        <v>4.3175000000000002E-3</v>
      </c>
      <c r="F754" s="354">
        <v>7.6249999999999998E-3</v>
      </c>
    </row>
    <row r="755" spans="1:6" ht="12" thickBot="1">
      <c r="A755" s="352">
        <v>40659</v>
      </c>
      <c r="B755" s="353">
        <v>2.1134999999999999E-3</v>
      </c>
      <c r="C755" s="353">
        <v>2.4225000000000002E-3</v>
      </c>
      <c r="D755" s="353">
        <v>2.7274999999999999E-3</v>
      </c>
      <c r="E755" s="353">
        <v>4.3225E-3</v>
      </c>
      <c r="F755" s="354">
        <v>7.62E-3</v>
      </c>
    </row>
    <row r="756" spans="1:6" ht="12" thickBot="1">
      <c r="A756" s="352">
        <v>40658</v>
      </c>
      <c r="B756" s="353">
        <v>2.1259999999999999E-3</v>
      </c>
      <c r="C756" s="353">
        <v>2.4325000000000002E-3</v>
      </c>
      <c r="D756" s="353">
        <v>2.7374999999999999E-3</v>
      </c>
      <c r="E756" s="353">
        <v>4.3325000000000004E-3</v>
      </c>
      <c r="F756" s="354">
        <v>7.62E-3</v>
      </c>
    </row>
    <row r="757" spans="1:6" ht="12" thickBot="1">
      <c r="A757" s="352">
        <v>40653</v>
      </c>
      <c r="B757" s="353">
        <v>2.1259999999999999E-3</v>
      </c>
      <c r="C757" s="353">
        <v>2.4325000000000002E-3</v>
      </c>
      <c r="D757" s="353">
        <v>2.7374999999999999E-3</v>
      </c>
      <c r="E757" s="353">
        <v>4.3325000000000004E-3</v>
      </c>
      <c r="F757" s="354">
        <v>7.6299999999999996E-3</v>
      </c>
    </row>
    <row r="758" spans="1:6" ht="12" thickBot="1">
      <c r="A758" s="352">
        <v>40652</v>
      </c>
      <c r="B758" s="353">
        <v>2.1259999999999999E-3</v>
      </c>
      <c r="C758" s="353">
        <v>2.4325000000000002E-3</v>
      </c>
      <c r="D758" s="353">
        <v>2.7374999999999999E-3</v>
      </c>
      <c r="E758" s="353">
        <v>4.3375000000000002E-3</v>
      </c>
      <c r="F758" s="354">
        <v>7.6249999999999998E-3</v>
      </c>
    </row>
    <row r="759" spans="1:6" ht="12" thickBot="1">
      <c r="A759" s="352">
        <v>40651</v>
      </c>
      <c r="B759" s="353">
        <v>2.1294999999999999E-3</v>
      </c>
      <c r="C759" s="353">
        <v>2.4350000000000001E-3</v>
      </c>
      <c r="D759" s="353">
        <v>2.7399999999999998E-3</v>
      </c>
      <c r="E759" s="353">
        <v>4.3499999999999997E-3</v>
      </c>
      <c r="F759" s="354">
        <v>7.6274999999999997E-3</v>
      </c>
    </row>
    <row r="760" spans="1:6" ht="12" thickBot="1">
      <c r="A760" s="352">
        <v>40648</v>
      </c>
      <c r="B760" s="353">
        <v>2.1375000000000001E-3</v>
      </c>
      <c r="C760" s="353">
        <v>2.4350000000000001E-3</v>
      </c>
      <c r="D760" s="353">
        <v>2.7474999999999999E-3</v>
      </c>
      <c r="E760" s="353">
        <v>4.3699999999999998E-3</v>
      </c>
      <c r="F760" s="354">
        <v>7.6499999999999997E-3</v>
      </c>
    </row>
    <row r="761" spans="1:6" ht="12" thickBot="1">
      <c r="A761" s="352">
        <v>40647</v>
      </c>
      <c r="B761" s="353">
        <v>2.1584999999999998E-3</v>
      </c>
      <c r="C761" s="353">
        <v>2.4499999999999999E-3</v>
      </c>
      <c r="D761" s="353">
        <v>2.7550000000000001E-3</v>
      </c>
      <c r="E761" s="353">
        <v>4.385E-3</v>
      </c>
      <c r="F761" s="354">
        <v>7.6499999999999997E-3</v>
      </c>
    </row>
    <row r="762" spans="1:6" ht="12" thickBot="1">
      <c r="A762" s="352">
        <v>40646</v>
      </c>
      <c r="B762" s="353">
        <v>2.1875000000000002E-3</v>
      </c>
      <c r="C762" s="353">
        <v>2.49E-3</v>
      </c>
      <c r="D762" s="353">
        <v>2.7799999999999999E-3</v>
      </c>
      <c r="E762" s="353">
        <v>4.4149999999999997E-3</v>
      </c>
      <c r="F762" s="354">
        <v>7.7149999999999996E-3</v>
      </c>
    </row>
    <row r="763" spans="1:6" ht="12" thickBot="1">
      <c r="A763" s="352">
        <v>40645</v>
      </c>
      <c r="B763" s="353">
        <v>2.2109999999999999E-3</v>
      </c>
      <c r="C763" s="353">
        <v>2.5175000000000002E-3</v>
      </c>
      <c r="D763" s="353">
        <v>2.8075000000000001E-3</v>
      </c>
      <c r="E763" s="353">
        <v>4.4250000000000001E-3</v>
      </c>
      <c r="F763" s="354">
        <v>7.7250000000000001E-3</v>
      </c>
    </row>
    <row r="764" spans="1:6" ht="12" thickBot="1">
      <c r="A764" s="352">
        <v>40644</v>
      </c>
      <c r="B764" s="353">
        <v>2.238E-3</v>
      </c>
      <c r="C764" s="353">
        <v>2.5374999999999998E-3</v>
      </c>
      <c r="D764" s="353">
        <v>2.8275000000000002E-3</v>
      </c>
      <c r="E764" s="353">
        <v>4.4450000000000002E-3</v>
      </c>
      <c r="F764" s="354">
        <v>7.7400000000000004E-3</v>
      </c>
    </row>
    <row r="765" spans="1:6" ht="12" thickBot="1">
      <c r="A765" s="352">
        <v>40641</v>
      </c>
      <c r="B765" s="353">
        <v>2.2650000000000001E-3</v>
      </c>
      <c r="C765" s="353">
        <v>2.5600000000000002E-3</v>
      </c>
      <c r="D765" s="353">
        <v>2.8525E-3</v>
      </c>
      <c r="E765" s="353">
        <v>4.4749999999999998E-3</v>
      </c>
      <c r="F765" s="354">
        <v>7.7724999999999999E-3</v>
      </c>
    </row>
    <row r="766" spans="1:6" ht="12" thickBot="1">
      <c r="A766" s="352">
        <v>40640</v>
      </c>
      <c r="B766" s="353">
        <v>2.3138E-3</v>
      </c>
      <c r="C766" s="353">
        <v>2.6150000000000001E-3</v>
      </c>
      <c r="D766" s="353">
        <v>2.895E-3</v>
      </c>
      <c r="E766" s="353">
        <v>4.5088000000000003E-3</v>
      </c>
      <c r="F766" s="354">
        <v>7.7774999999999997E-3</v>
      </c>
    </row>
    <row r="767" spans="1:6" ht="12" thickBot="1">
      <c r="A767" s="352">
        <v>40639</v>
      </c>
      <c r="B767" s="353">
        <v>2.3349999999999998E-3</v>
      </c>
      <c r="C767" s="353">
        <v>2.6475000000000001E-3</v>
      </c>
      <c r="D767" s="353">
        <v>2.9263000000000002E-3</v>
      </c>
      <c r="E767" s="353">
        <v>4.5450000000000004E-3</v>
      </c>
      <c r="F767" s="354">
        <v>7.7825000000000004E-3</v>
      </c>
    </row>
    <row r="768" spans="1:6" ht="12" thickBot="1">
      <c r="A768" s="352">
        <v>40638</v>
      </c>
      <c r="B768" s="353">
        <v>2.3549999999999999E-3</v>
      </c>
      <c r="C768" s="353">
        <v>2.6624999999999999E-3</v>
      </c>
      <c r="D768" s="353">
        <v>2.9375E-3</v>
      </c>
      <c r="E768" s="353">
        <v>4.5649999999999996E-3</v>
      </c>
      <c r="F768" s="354">
        <v>7.7774999999999997E-3</v>
      </c>
    </row>
    <row r="769" spans="1:6" ht="12" thickBot="1">
      <c r="A769" s="352">
        <v>40637</v>
      </c>
      <c r="B769" s="353">
        <v>2.3990000000000001E-3</v>
      </c>
      <c r="C769" s="353">
        <v>2.7025E-3</v>
      </c>
      <c r="D769" s="353">
        <v>2.9675000000000001E-3</v>
      </c>
      <c r="E769" s="353">
        <v>4.5875000000000004E-3</v>
      </c>
      <c r="F769" s="354">
        <v>7.8100000000000001E-3</v>
      </c>
    </row>
    <row r="770" spans="1:6" ht="12" thickBot="1">
      <c r="A770" s="352">
        <v>40634</v>
      </c>
      <c r="B770" s="353">
        <v>2.4294999999999998E-3</v>
      </c>
      <c r="C770" s="353">
        <v>2.725E-3</v>
      </c>
      <c r="D770" s="353">
        <v>3.0100000000000001E-3</v>
      </c>
      <c r="E770" s="353">
        <v>4.5950000000000001E-3</v>
      </c>
      <c r="F770" s="354">
        <v>7.8525000000000001E-3</v>
      </c>
    </row>
    <row r="771" spans="1:6" ht="12" thickBot="1">
      <c r="A771" s="352">
        <v>40633</v>
      </c>
      <c r="B771" s="353">
        <v>2.4345E-3</v>
      </c>
      <c r="C771" s="353">
        <v>2.7399999999999998E-3</v>
      </c>
      <c r="D771" s="353">
        <v>3.0300000000000001E-3</v>
      </c>
      <c r="E771" s="353">
        <v>4.5950000000000001E-3</v>
      </c>
      <c r="F771" s="354">
        <v>7.8250000000000004E-3</v>
      </c>
    </row>
    <row r="772" spans="1:6" ht="12" thickBot="1">
      <c r="A772" s="352">
        <v>40632</v>
      </c>
      <c r="B772" s="353">
        <v>2.4380000000000001E-3</v>
      </c>
      <c r="C772" s="353">
        <v>2.7575E-3</v>
      </c>
      <c r="D772" s="353">
        <v>3.045E-3</v>
      </c>
      <c r="E772" s="353">
        <v>4.6049999999999997E-3</v>
      </c>
      <c r="F772" s="354">
        <v>7.8200000000000006E-3</v>
      </c>
    </row>
    <row r="773" spans="1:6" ht="12" thickBot="1">
      <c r="A773" s="352">
        <v>40631</v>
      </c>
      <c r="B773" s="353">
        <v>2.4615000000000001E-3</v>
      </c>
      <c r="C773" s="353">
        <v>2.8E-3</v>
      </c>
      <c r="D773" s="353">
        <v>3.0699999999999998E-3</v>
      </c>
      <c r="E773" s="353">
        <v>4.6049999999999997E-3</v>
      </c>
      <c r="F773" s="354">
        <v>7.7949999999999998E-3</v>
      </c>
    </row>
    <row r="774" spans="1:6" ht="12" thickBot="1">
      <c r="A774" s="352">
        <v>40630</v>
      </c>
      <c r="B774" s="353">
        <v>2.4765E-3</v>
      </c>
      <c r="C774" s="353">
        <v>2.8050000000000002E-3</v>
      </c>
      <c r="D774" s="353">
        <v>3.0699999999999998E-3</v>
      </c>
      <c r="E774" s="353">
        <v>4.6049999999999997E-3</v>
      </c>
      <c r="F774" s="354">
        <v>7.7949999999999998E-3</v>
      </c>
    </row>
    <row r="775" spans="1:6" ht="12" thickBot="1">
      <c r="A775" s="352">
        <v>40627</v>
      </c>
      <c r="B775" s="353">
        <v>2.4824999999999999E-3</v>
      </c>
      <c r="C775" s="353">
        <v>2.8149999999999998E-3</v>
      </c>
      <c r="D775" s="353">
        <v>3.075E-3</v>
      </c>
      <c r="E775" s="353">
        <v>4.5999999999999999E-3</v>
      </c>
      <c r="F775" s="354">
        <v>7.7650000000000002E-3</v>
      </c>
    </row>
    <row r="776" spans="1:6" ht="12" thickBot="1">
      <c r="A776" s="352">
        <v>40626</v>
      </c>
      <c r="B776" s="353">
        <v>2.4824999999999999E-3</v>
      </c>
      <c r="C776" s="353">
        <v>2.8149999999999998E-3</v>
      </c>
      <c r="D776" s="353">
        <v>3.0850000000000001E-3</v>
      </c>
      <c r="E776" s="353">
        <v>4.5999999999999999E-3</v>
      </c>
      <c r="F776" s="354">
        <v>7.7549999999999997E-3</v>
      </c>
    </row>
    <row r="777" spans="1:6" ht="12" thickBot="1">
      <c r="A777" s="352">
        <v>40625</v>
      </c>
      <c r="B777" s="353">
        <v>2.4949999999999998E-3</v>
      </c>
      <c r="C777" s="353">
        <v>2.8149999999999998E-3</v>
      </c>
      <c r="D777" s="353">
        <v>3.0799999999999998E-3</v>
      </c>
      <c r="E777" s="353">
        <v>4.5999999999999999E-3</v>
      </c>
      <c r="F777" s="354">
        <v>7.7450000000000001E-3</v>
      </c>
    </row>
    <row r="778" spans="1:6" ht="12" thickBot="1">
      <c r="A778" s="352">
        <v>40624</v>
      </c>
      <c r="B778" s="353">
        <v>2.5200000000000001E-3</v>
      </c>
      <c r="C778" s="353">
        <v>2.8249999999999998E-3</v>
      </c>
      <c r="D778" s="353">
        <v>3.0899999999999999E-3</v>
      </c>
      <c r="E778" s="353">
        <v>4.5999999999999999E-3</v>
      </c>
      <c r="F778" s="354">
        <v>7.7450000000000001E-3</v>
      </c>
    </row>
    <row r="779" spans="1:6" ht="12" thickBot="1">
      <c r="A779" s="352">
        <v>40620</v>
      </c>
      <c r="B779" s="353">
        <v>2.5349999999999999E-3</v>
      </c>
      <c r="C779" s="353">
        <v>2.8400000000000001E-3</v>
      </c>
      <c r="D779" s="353">
        <v>3.0899999999999999E-3</v>
      </c>
      <c r="E779" s="353">
        <v>4.5999999999999999E-3</v>
      </c>
      <c r="F779" s="354">
        <v>7.705E-3</v>
      </c>
    </row>
    <row r="780" spans="1:6" ht="12" thickBot="1">
      <c r="A780" s="352">
        <v>40619</v>
      </c>
      <c r="B780" s="353">
        <v>2.5349999999999999E-3</v>
      </c>
      <c r="C780" s="353">
        <v>2.8349999999999998E-3</v>
      </c>
      <c r="D780" s="353">
        <v>3.0899999999999999E-3</v>
      </c>
      <c r="E780" s="353">
        <v>4.5999999999999999E-3</v>
      </c>
      <c r="F780" s="354">
        <v>7.7250000000000001E-3</v>
      </c>
    </row>
    <row r="781" spans="1:6" ht="12" thickBot="1">
      <c r="A781" s="352">
        <v>40618</v>
      </c>
      <c r="B781" s="353">
        <v>2.5349999999999999E-3</v>
      </c>
      <c r="C781" s="353">
        <v>2.8349999999999998E-3</v>
      </c>
      <c r="D781" s="353">
        <v>3.0899999999999999E-3</v>
      </c>
      <c r="E781" s="353">
        <v>4.5999999999999999E-3</v>
      </c>
      <c r="F781" s="354">
        <v>7.7149999999999996E-3</v>
      </c>
    </row>
    <row r="782" spans="1:6" ht="12" thickBot="1">
      <c r="A782" s="352">
        <v>40617</v>
      </c>
      <c r="B782" s="353">
        <v>2.5349999999999999E-3</v>
      </c>
      <c r="C782" s="353">
        <v>2.8349999999999998E-3</v>
      </c>
      <c r="D782" s="353">
        <v>3.0899999999999999E-3</v>
      </c>
      <c r="E782" s="353">
        <v>4.5999999999999999E-3</v>
      </c>
      <c r="F782" s="354">
        <v>7.685E-3</v>
      </c>
    </row>
    <row r="783" spans="1:6" ht="12" thickBot="1">
      <c r="A783" s="352">
        <v>40616</v>
      </c>
      <c r="B783" s="353">
        <v>2.5349999999999999E-3</v>
      </c>
      <c r="C783" s="353">
        <v>2.8349999999999998E-3</v>
      </c>
      <c r="D783" s="353">
        <v>3.0899999999999999E-3</v>
      </c>
      <c r="E783" s="353">
        <v>4.6100000000000004E-3</v>
      </c>
      <c r="F783" s="354">
        <v>7.7749999999999998E-3</v>
      </c>
    </row>
    <row r="784" spans="1:6" ht="12" thickBot="1">
      <c r="A784" s="352">
        <v>40613</v>
      </c>
      <c r="B784" s="353">
        <v>2.5500000000000002E-3</v>
      </c>
      <c r="C784" s="353">
        <v>2.8400000000000001E-3</v>
      </c>
      <c r="D784" s="353">
        <v>3.0950000000000001E-3</v>
      </c>
      <c r="E784" s="353">
        <v>4.6100000000000004E-3</v>
      </c>
      <c r="F784" s="354">
        <v>7.7999999999999996E-3</v>
      </c>
    </row>
    <row r="785" spans="1:6" ht="12" thickBot="1">
      <c r="A785" s="352">
        <v>40612</v>
      </c>
      <c r="B785" s="353">
        <v>2.555E-3</v>
      </c>
      <c r="C785" s="353">
        <v>2.8400000000000001E-3</v>
      </c>
      <c r="D785" s="353">
        <v>3.0950000000000001E-3</v>
      </c>
      <c r="E785" s="353">
        <v>4.6150000000000002E-3</v>
      </c>
      <c r="F785" s="354">
        <v>7.8549999999999991E-3</v>
      </c>
    </row>
    <row r="786" spans="1:6" ht="12" thickBot="1">
      <c r="A786" s="352">
        <v>40611</v>
      </c>
      <c r="B786" s="353">
        <v>2.5799999999999998E-3</v>
      </c>
      <c r="C786" s="353">
        <v>2.8600000000000001E-3</v>
      </c>
      <c r="D786" s="353">
        <v>3.0950000000000001E-3</v>
      </c>
      <c r="E786" s="353">
        <v>4.6150000000000002E-3</v>
      </c>
      <c r="F786" s="354">
        <v>7.8549999999999991E-3</v>
      </c>
    </row>
    <row r="787" spans="1:6" ht="12" thickBot="1">
      <c r="A787" s="352">
        <v>40610</v>
      </c>
      <c r="B787" s="353">
        <v>2.5799999999999998E-3</v>
      </c>
      <c r="C787" s="353">
        <v>2.8600000000000001E-3</v>
      </c>
      <c r="D787" s="353">
        <v>3.0950000000000001E-3</v>
      </c>
      <c r="E787" s="353">
        <v>4.6150000000000002E-3</v>
      </c>
      <c r="F787" s="354">
        <v>7.8449999999999995E-3</v>
      </c>
    </row>
    <row r="788" spans="1:6" ht="12" thickBot="1">
      <c r="A788" s="352">
        <v>40609</v>
      </c>
      <c r="B788" s="353">
        <v>2.5899999999999999E-3</v>
      </c>
      <c r="C788" s="353">
        <v>2.8600000000000001E-3</v>
      </c>
      <c r="D788" s="353">
        <v>3.0950000000000001E-3</v>
      </c>
      <c r="E788" s="353">
        <v>4.6249999999999998E-3</v>
      </c>
      <c r="F788" s="354">
        <v>7.8650000000000005E-3</v>
      </c>
    </row>
    <row r="789" spans="1:6" ht="12" thickBot="1">
      <c r="A789" s="352">
        <v>40606</v>
      </c>
      <c r="B789" s="353">
        <v>2.5999999999999999E-3</v>
      </c>
      <c r="C789" s="353">
        <v>2.8600000000000001E-3</v>
      </c>
      <c r="D789" s="353">
        <v>3.0950000000000001E-3</v>
      </c>
      <c r="E789" s="353">
        <v>4.6249999999999998E-3</v>
      </c>
      <c r="F789" s="354">
        <v>7.92E-3</v>
      </c>
    </row>
    <row r="790" spans="1:6" ht="12" thickBot="1">
      <c r="A790" s="352">
        <v>40605</v>
      </c>
      <c r="B790" s="353">
        <v>2.5999999999999999E-3</v>
      </c>
      <c r="C790" s="353">
        <v>2.8600000000000001E-3</v>
      </c>
      <c r="D790" s="353">
        <v>3.0950000000000001E-3</v>
      </c>
      <c r="E790" s="353">
        <v>4.6150000000000002E-3</v>
      </c>
      <c r="F790" s="354">
        <v>7.8724999999999993E-3</v>
      </c>
    </row>
    <row r="791" spans="1:6" ht="12" thickBot="1">
      <c r="A791" s="352">
        <v>40604</v>
      </c>
      <c r="B791" s="353">
        <v>2.5999999999999999E-3</v>
      </c>
      <c r="C791" s="353">
        <v>2.8600000000000001E-3</v>
      </c>
      <c r="D791" s="353">
        <v>3.0950000000000001E-3</v>
      </c>
      <c r="E791" s="353">
        <v>4.6150000000000002E-3</v>
      </c>
      <c r="F791" s="354">
        <v>7.8624999999999997E-3</v>
      </c>
    </row>
    <row r="792" spans="1:6" ht="12" thickBot="1">
      <c r="A792" s="352">
        <v>40603</v>
      </c>
      <c r="B792" s="353">
        <v>2.6099999999999999E-3</v>
      </c>
      <c r="C792" s="353">
        <v>2.8549999999999999E-3</v>
      </c>
      <c r="D792" s="353">
        <v>3.0950000000000001E-3</v>
      </c>
      <c r="E792" s="353">
        <v>4.6249999999999998E-3</v>
      </c>
      <c r="F792" s="354">
        <v>7.8875000000000004E-3</v>
      </c>
    </row>
    <row r="793" spans="1:6" ht="12" thickBot="1">
      <c r="A793" s="352">
        <v>40602</v>
      </c>
      <c r="B793" s="353">
        <v>2.6099999999999999E-3</v>
      </c>
      <c r="C793" s="353">
        <v>2.8649999999999999E-3</v>
      </c>
      <c r="D793" s="353">
        <v>3.0950000000000001E-3</v>
      </c>
      <c r="E793" s="353">
        <v>4.64E-3</v>
      </c>
      <c r="F793" s="354">
        <v>7.9024999999999998E-3</v>
      </c>
    </row>
    <row r="794" spans="1:6" ht="12" thickBot="1">
      <c r="A794" s="352">
        <v>40599</v>
      </c>
      <c r="B794" s="353">
        <v>2.6099999999999999E-3</v>
      </c>
      <c r="C794" s="353">
        <v>2.8600000000000001E-3</v>
      </c>
      <c r="D794" s="353">
        <v>3.1050000000000001E-3</v>
      </c>
      <c r="E794" s="353">
        <v>4.64E-3</v>
      </c>
      <c r="F794" s="354">
        <v>7.9225000000000007E-3</v>
      </c>
    </row>
    <row r="795" spans="1:6" ht="12" thickBot="1">
      <c r="A795" s="352">
        <v>40598</v>
      </c>
      <c r="B795" s="353">
        <v>2.6150000000000001E-3</v>
      </c>
      <c r="C795" s="353">
        <v>2.8449999999999999E-3</v>
      </c>
      <c r="D795" s="353">
        <v>3.1050000000000001E-3</v>
      </c>
      <c r="E795" s="353">
        <v>4.64E-3</v>
      </c>
      <c r="F795" s="354">
        <v>7.9124999999999994E-3</v>
      </c>
    </row>
    <row r="796" spans="1:6" ht="12" thickBot="1">
      <c r="A796" s="352">
        <v>40597</v>
      </c>
      <c r="B796" s="353">
        <v>2.6150000000000001E-3</v>
      </c>
      <c r="C796" s="353">
        <v>2.8549999999999999E-3</v>
      </c>
      <c r="D796" s="353">
        <v>3.1150000000000001E-3</v>
      </c>
      <c r="E796" s="353">
        <v>4.6499999999999996E-3</v>
      </c>
      <c r="F796" s="354">
        <v>7.9375000000000001E-3</v>
      </c>
    </row>
    <row r="797" spans="1:6" ht="12" thickBot="1">
      <c r="A797" s="352">
        <v>40596</v>
      </c>
      <c r="B797" s="353">
        <v>2.6150000000000001E-3</v>
      </c>
      <c r="C797" s="353">
        <v>2.8549999999999999E-3</v>
      </c>
      <c r="D797" s="353">
        <v>3.1250000000000002E-3</v>
      </c>
      <c r="E797" s="353">
        <v>4.6499999999999996E-3</v>
      </c>
      <c r="F797" s="354">
        <v>7.9275000000000005E-3</v>
      </c>
    </row>
    <row r="798" spans="1:6" ht="12" thickBot="1">
      <c r="A798" s="352">
        <v>40595</v>
      </c>
      <c r="B798" s="353">
        <v>2.6199999999999999E-3</v>
      </c>
      <c r="C798" s="353">
        <v>2.8649999999999999E-3</v>
      </c>
      <c r="D798" s="353">
        <v>3.1250000000000002E-3</v>
      </c>
      <c r="E798" s="353">
        <v>4.6499999999999996E-3</v>
      </c>
      <c r="F798" s="354">
        <v>7.9299999999999995E-3</v>
      </c>
    </row>
    <row r="799" spans="1:6" ht="12" thickBot="1">
      <c r="A799" s="352">
        <v>40592</v>
      </c>
      <c r="B799" s="353">
        <v>2.6199999999999999E-3</v>
      </c>
      <c r="C799" s="353">
        <v>2.8649999999999999E-3</v>
      </c>
      <c r="D799" s="353">
        <v>3.1250000000000002E-3</v>
      </c>
      <c r="E799" s="353">
        <v>4.6550000000000003E-3</v>
      </c>
      <c r="F799" s="354">
        <v>7.9500000000000005E-3</v>
      </c>
    </row>
    <row r="800" spans="1:6" ht="12" thickBot="1">
      <c r="A800" s="352">
        <v>40591</v>
      </c>
      <c r="B800" s="353">
        <v>2.63E-3</v>
      </c>
      <c r="C800" s="353">
        <v>2.885E-3</v>
      </c>
      <c r="D800" s="353">
        <v>3.1350000000000002E-3</v>
      </c>
      <c r="E800" s="353">
        <v>4.6550000000000003E-3</v>
      </c>
      <c r="F800" s="354">
        <v>7.9574999999999993E-3</v>
      </c>
    </row>
    <row r="801" spans="1:6" ht="12" thickBot="1">
      <c r="A801" s="352">
        <v>40590</v>
      </c>
      <c r="B801" s="353">
        <v>2.63E-3</v>
      </c>
      <c r="C801" s="353">
        <v>2.885E-3</v>
      </c>
      <c r="D801" s="353">
        <v>3.1350000000000002E-3</v>
      </c>
      <c r="E801" s="353">
        <v>4.6519999999999999E-3</v>
      </c>
      <c r="F801" s="354">
        <v>7.9775000000000002E-3</v>
      </c>
    </row>
    <row r="802" spans="1:6" ht="12" thickBot="1">
      <c r="A802" s="352">
        <v>40589</v>
      </c>
      <c r="B802" s="353">
        <v>2.64E-3</v>
      </c>
      <c r="C802" s="353">
        <v>2.885E-3</v>
      </c>
      <c r="D802" s="353">
        <v>3.1350000000000002E-3</v>
      </c>
      <c r="E802" s="353">
        <v>4.6569999999999997E-3</v>
      </c>
      <c r="F802" s="354">
        <v>7.9874999999999998E-3</v>
      </c>
    </row>
    <row r="803" spans="1:6" ht="12" thickBot="1">
      <c r="A803" s="352">
        <v>40588</v>
      </c>
      <c r="B803" s="353">
        <v>2.6475000000000001E-3</v>
      </c>
      <c r="C803" s="353">
        <v>2.8900000000000002E-3</v>
      </c>
      <c r="D803" s="353">
        <v>3.14E-3</v>
      </c>
      <c r="E803" s="353">
        <v>4.6569999999999997E-3</v>
      </c>
      <c r="F803" s="354">
        <v>7.9749999999999995E-3</v>
      </c>
    </row>
    <row r="804" spans="1:6" ht="12" thickBot="1">
      <c r="A804" s="352">
        <v>40585</v>
      </c>
      <c r="B804" s="353">
        <v>2.6575000000000001E-3</v>
      </c>
      <c r="C804" s="353">
        <v>2.8900000000000002E-3</v>
      </c>
      <c r="D804" s="353">
        <v>3.13E-3</v>
      </c>
      <c r="E804" s="353">
        <v>4.6519999999999999E-3</v>
      </c>
      <c r="F804" s="354">
        <v>7.9649999999999999E-3</v>
      </c>
    </row>
    <row r="805" spans="1:6" ht="12" thickBot="1">
      <c r="A805" s="352">
        <v>40584</v>
      </c>
      <c r="B805" s="353">
        <v>2.64E-3</v>
      </c>
      <c r="C805" s="353">
        <v>2.8800000000000002E-3</v>
      </c>
      <c r="D805" s="353">
        <v>3.1199999999999999E-3</v>
      </c>
      <c r="E805" s="353">
        <v>4.6470000000000001E-3</v>
      </c>
      <c r="F805" s="354">
        <v>7.9699999999999997E-3</v>
      </c>
    </row>
    <row r="806" spans="1:6" ht="12" thickBot="1">
      <c r="A806" s="352">
        <v>40583</v>
      </c>
      <c r="B806" s="353">
        <v>2.64E-3</v>
      </c>
      <c r="C806" s="353">
        <v>2.885E-3</v>
      </c>
      <c r="D806" s="353">
        <v>3.1199999999999999E-3</v>
      </c>
      <c r="E806" s="353">
        <v>4.6519999999999999E-3</v>
      </c>
      <c r="F806" s="354">
        <v>7.9900000000000006E-3</v>
      </c>
    </row>
    <row r="807" spans="1:6" ht="12" thickBot="1">
      <c r="A807" s="352">
        <v>40582</v>
      </c>
      <c r="B807" s="353">
        <v>2.64E-3</v>
      </c>
      <c r="C807" s="353">
        <v>2.8825000000000001E-3</v>
      </c>
      <c r="D807" s="353">
        <v>3.1199999999999999E-3</v>
      </c>
      <c r="E807" s="353">
        <v>4.6435000000000001E-3</v>
      </c>
      <c r="F807" s="354">
        <v>7.9325000000000003E-3</v>
      </c>
    </row>
    <row r="808" spans="1:6" ht="12" thickBot="1">
      <c r="A808" s="352">
        <v>40581</v>
      </c>
      <c r="B808" s="353">
        <v>2.6375000000000001E-3</v>
      </c>
      <c r="C808" s="353">
        <v>2.8800000000000002E-3</v>
      </c>
      <c r="D808" s="353">
        <v>3.1199999999999999E-3</v>
      </c>
      <c r="E808" s="353">
        <v>4.6284999999999998E-3</v>
      </c>
      <c r="F808" s="354">
        <v>7.9275000000000005E-3</v>
      </c>
    </row>
    <row r="809" spans="1:6" ht="12" thickBot="1">
      <c r="A809" s="352">
        <v>40578</v>
      </c>
      <c r="B809" s="353">
        <v>2.6275000000000001E-3</v>
      </c>
      <c r="C809" s="353">
        <v>2.8700000000000002E-3</v>
      </c>
      <c r="D809" s="353">
        <v>3.1150000000000001E-3</v>
      </c>
      <c r="E809" s="353">
        <v>4.6125000000000003E-3</v>
      </c>
      <c r="F809" s="354">
        <v>7.9124999999999994E-3</v>
      </c>
    </row>
    <row r="810" spans="1:6" ht="12" thickBot="1">
      <c r="A810" s="352">
        <v>40577</v>
      </c>
      <c r="B810" s="353">
        <v>2.63E-3</v>
      </c>
      <c r="C810" s="353">
        <v>2.875E-3</v>
      </c>
      <c r="D810" s="353">
        <v>3.1050000000000001E-3</v>
      </c>
      <c r="E810" s="353">
        <v>4.6125000000000003E-3</v>
      </c>
      <c r="F810" s="354">
        <v>7.8860000000000006E-3</v>
      </c>
    </row>
    <row r="811" spans="1:6" ht="12" thickBot="1">
      <c r="A811" s="352">
        <v>40576</v>
      </c>
      <c r="B811" s="353">
        <v>2.63E-3</v>
      </c>
      <c r="C811" s="353">
        <v>2.8700000000000002E-3</v>
      </c>
      <c r="D811" s="353">
        <v>3.1050000000000001E-3</v>
      </c>
      <c r="E811" s="353">
        <v>4.6074999999999996E-3</v>
      </c>
      <c r="F811" s="354">
        <v>7.8604999999999994E-3</v>
      </c>
    </row>
    <row r="812" spans="1:6" ht="12" thickBot="1">
      <c r="A812" s="352">
        <v>40575</v>
      </c>
      <c r="B812" s="353">
        <v>2.63E-3</v>
      </c>
      <c r="C812" s="353">
        <v>2.875E-3</v>
      </c>
      <c r="D812" s="353">
        <v>3.1050000000000001E-3</v>
      </c>
      <c r="E812" s="353">
        <v>4.6074999999999996E-3</v>
      </c>
      <c r="F812" s="354">
        <v>7.8549999999999991E-3</v>
      </c>
    </row>
    <row r="813" spans="1:6" ht="12" thickBot="1">
      <c r="A813" s="352">
        <v>40574</v>
      </c>
      <c r="B813" s="353">
        <v>2.5999999999999999E-3</v>
      </c>
      <c r="C813" s="353">
        <v>2.8313000000000001E-3</v>
      </c>
      <c r="D813" s="353">
        <v>3.0438000000000002E-3</v>
      </c>
      <c r="E813" s="353">
        <v>4.5380999999999998E-3</v>
      </c>
      <c r="F813" s="354">
        <v>7.8125E-3</v>
      </c>
    </row>
    <row r="814" spans="1:6" ht="12" thickBot="1">
      <c r="A814" s="352">
        <v>40571</v>
      </c>
      <c r="B814" s="353">
        <v>2.5999999999999999E-3</v>
      </c>
      <c r="C814" s="353">
        <v>2.8313000000000001E-3</v>
      </c>
      <c r="D814" s="353">
        <v>3.0438000000000002E-3</v>
      </c>
      <c r="E814" s="353">
        <v>4.5380999999999998E-3</v>
      </c>
      <c r="F814" s="354">
        <v>7.8063000000000004E-3</v>
      </c>
    </row>
    <row r="815" spans="1:6" ht="12" thickBot="1">
      <c r="A815" s="352">
        <v>40570</v>
      </c>
      <c r="B815" s="353">
        <v>2.5999999999999999E-3</v>
      </c>
      <c r="C815" s="353">
        <v>2.8313000000000001E-3</v>
      </c>
      <c r="D815" s="353">
        <v>3.0438000000000002E-3</v>
      </c>
      <c r="E815" s="353">
        <v>4.5469000000000004E-3</v>
      </c>
      <c r="F815" s="354">
        <v>7.8125E-3</v>
      </c>
    </row>
    <row r="816" spans="1:6" ht="12" thickBot="1">
      <c r="A816" s="352">
        <v>40569</v>
      </c>
      <c r="B816" s="353">
        <v>2.5999999999999999E-3</v>
      </c>
      <c r="C816" s="353">
        <v>2.8313000000000001E-3</v>
      </c>
      <c r="D816" s="353">
        <v>3.0438000000000002E-3</v>
      </c>
      <c r="E816" s="353">
        <v>4.5469000000000004E-3</v>
      </c>
      <c r="F816" s="354">
        <v>7.8125E-3</v>
      </c>
    </row>
    <row r="817" spans="1:6" ht="12" thickBot="1">
      <c r="A817" s="352">
        <v>40568</v>
      </c>
      <c r="B817" s="353">
        <v>2.5999999999999999E-3</v>
      </c>
      <c r="C817" s="353">
        <v>2.8313000000000001E-3</v>
      </c>
      <c r="D817" s="353">
        <v>3.0438000000000002E-3</v>
      </c>
      <c r="E817" s="353">
        <v>4.5469000000000004E-3</v>
      </c>
      <c r="F817" s="354">
        <v>7.8094000000000002E-3</v>
      </c>
    </row>
    <row r="818" spans="1:6" ht="12" thickBot="1">
      <c r="A818" s="352">
        <v>40567</v>
      </c>
      <c r="B818" s="353">
        <v>2.5999999999999999E-3</v>
      </c>
      <c r="C818" s="353">
        <v>2.8313000000000001E-3</v>
      </c>
      <c r="D818" s="353">
        <v>3.0312999999999998E-3</v>
      </c>
      <c r="E818" s="353">
        <v>4.5469000000000004E-3</v>
      </c>
      <c r="F818" s="354">
        <v>7.8094000000000002E-3</v>
      </c>
    </row>
    <row r="819" spans="1:6" ht="12" thickBot="1">
      <c r="A819" s="352">
        <v>40564</v>
      </c>
      <c r="B819" s="353">
        <v>2.5999999999999999E-3</v>
      </c>
      <c r="C819" s="353">
        <v>2.8313000000000001E-3</v>
      </c>
      <c r="D819" s="353">
        <v>3.0312999999999998E-3</v>
      </c>
      <c r="E819" s="353">
        <v>4.5469000000000004E-3</v>
      </c>
      <c r="F819" s="354">
        <v>7.8063000000000004E-3</v>
      </c>
    </row>
    <row r="820" spans="1:6" ht="12" thickBot="1">
      <c r="A820" s="352">
        <v>40563</v>
      </c>
      <c r="B820" s="353">
        <v>2.5999999999999999E-3</v>
      </c>
      <c r="C820" s="353">
        <v>2.8313000000000001E-3</v>
      </c>
      <c r="D820" s="353">
        <v>3.0312999999999998E-3</v>
      </c>
      <c r="E820" s="353">
        <v>4.5469000000000004E-3</v>
      </c>
      <c r="F820" s="354">
        <v>7.8031000000000003E-3</v>
      </c>
    </row>
    <row r="821" spans="1:6" ht="12" thickBot="1">
      <c r="A821" s="352">
        <v>40562</v>
      </c>
      <c r="B821" s="353">
        <v>2.5999999999999999E-3</v>
      </c>
      <c r="C821" s="353">
        <v>2.8313000000000001E-3</v>
      </c>
      <c r="D821" s="353">
        <v>3.0312999999999998E-3</v>
      </c>
      <c r="E821" s="353">
        <v>4.5469000000000004E-3</v>
      </c>
      <c r="F821" s="354">
        <v>7.8031000000000003E-3</v>
      </c>
    </row>
    <row r="822" spans="1:6" ht="12" thickBot="1">
      <c r="A822" s="352">
        <v>40561</v>
      </c>
      <c r="B822" s="353">
        <v>2.6063000000000002E-3</v>
      </c>
      <c r="C822" s="353">
        <v>2.8249999999999998E-3</v>
      </c>
      <c r="D822" s="353">
        <v>3.0312999999999998E-3</v>
      </c>
      <c r="E822" s="353">
        <v>4.5469000000000004E-3</v>
      </c>
      <c r="F822" s="354">
        <v>7.7906E-3</v>
      </c>
    </row>
    <row r="823" spans="1:6" ht="12" thickBot="1">
      <c r="A823" s="352">
        <v>40560</v>
      </c>
      <c r="B823" s="353">
        <v>2.6124999999999998E-3</v>
      </c>
      <c r="C823" s="353">
        <v>2.8249999999999998E-3</v>
      </c>
      <c r="D823" s="353">
        <v>3.0312999999999998E-3</v>
      </c>
      <c r="E823" s="353">
        <v>4.5469000000000004E-3</v>
      </c>
      <c r="F823" s="354">
        <v>7.7968999999999998E-3</v>
      </c>
    </row>
    <row r="824" spans="1:6" ht="12" thickBot="1">
      <c r="A824" s="352">
        <v>40557</v>
      </c>
      <c r="B824" s="353">
        <v>2.6124999999999998E-3</v>
      </c>
      <c r="C824" s="353">
        <v>2.8249999999999998E-3</v>
      </c>
      <c r="D824" s="353">
        <v>3.0312999999999998E-3</v>
      </c>
      <c r="E824" s="353">
        <v>4.5593999999999999E-3</v>
      </c>
      <c r="F824" s="354">
        <v>7.8218999999999997E-3</v>
      </c>
    </row>
    <row r="825" spans="1:6" ht="12" thickBot="1">
      <c r="A825" s="352">
        <v>40556</v>
      </c>
      <c r="B825" s="353">
        <v>2.6124999999999998E-3</v>
      </c>
      <c r="C825" s="353">
        <v>2.8249999999999998E-3</v>
      </c>
      <c r="D825" s="353">
        <v>3.0312999999999998E-3</v>
      </c>
      <c r="E825" s="353">
        <v>4.5656000000000004E-3</v>
      </c>
      <c r="F825" s="354">
        <v>7.8375000000000007E-3</v>
      </c>
    </row>
    <row r="826" spans="1:6" ht="12" thickBot="1">
      <c r="A826" s="352">
        <v>40555</v>
      </c>
      <c r="B826" s="353">
        <v>2.6124999999999998E-3</v>
      </c>
      <c r="C826" s="353">
        <v>2.8249999999999998E-3</v>
      </c>
      <c r="D826" s="353">
        <v>3.0312999999999998E-3</v>
      </c>
      <c r="E826" s="353">
        <v>4.5681000000000003E-3</v>
      </c>
      <c r="F826" s="354">
        <v>7.8375000000000007E-3</v>
      </c>
    </row>
    <row r="827" spans="1:6" ht="12" thickBot="1">
      <c r="A827" s="352">
        <v>40554</v>
      </c>
      <c r="B827" s="353">
        <v>2.6124999999999998E-3</v>
      </c>
      <c r="C827" s="353">
        <v>2.8249999999999998E-3</v>
      </c>
      <c r="D827" s="353">
        <v>3.0312999999999998E-3</v>
      </c>
      <c r="E827" s="353">
        <v>4.5694000000000004E-3</v>
      </c>
      <c r="F827" s="354">
        <v>7.8387999999999999E-3</v>
      </c>
    </row>
    <row r="828" spans="1:6" ht="12" thickBot="1">
      <c r="A828" s="352">
        <v>40550</v>
      </c>
      <c r="B828" s="353">
        <v>2.6124999999999998E-3</v>
      </c>
      <c r="C828" s="353">
        <v>2.8249999999999998E-3</v>
      </c>
      <c r="D828" s="353">
        <v>3.0312999999999998E-3</v>
      </c>
      <c r="E828" s="353">
        <v>4.5731000000000001E-3</v>
      </c>
      <c r="F828" s="354">
        <v>7.8549999999999991E-3</v>
      </c>
    </row>
    <row r="829" spans="1:6" ht="12" thickBot="1">
      <c r="A829" s="352">
        <v>40549</v>
      </c>
      <c r="B829" s="353">
        <v>2.6124999999999998E-3</v>
      </c>
      <c r="C829" s="353">
        <v>2.8249999999999998E-3</v>
      </c>
      <c r="D829" s="353">
        <v>3.0312999999999998E-3</v>
      </c>
      <c r="E829" s="353">
        <v>4.5719000000000003E-3</v>
      </c>
      <c r="F829" s="354">
        <v>7.8525000000000001E-3</v>
      </c>
    </row>
    <row r="830" spans="1:6" ht="12" thickBot="1">
      <c r="A830" s="352">
        <v>40548</v>
      </c>
      <c r="B830" s="353">
        <v>2.6124999999999998E-3</v>
      </c>
      <c r="C830" s="353">
        <v>2.8249999999999998E-3</v>
      </c>
      <c r="D830" s="353">
        <v>3.0281000000000001E-3</v>
      </c>
      <c r="E830" s="353">
        <v>4.5456000000000003E-3</v>
      </c>
      <c r="F830" s="354">
        <v>7.8094000000000002E-3</v>
      </c>
    </row>
    <row r="831" spans="1:6" ht="12" thickBot="1">
      <c r="A831" s="352">
        <v>40547</v>
      </c>
      <c r="B831" s="353">
        <v>2.6063000000000002E-3</v>
      </c>
      <c r="C831" s="353">
        <v>2.8249999999999998E-3</v>
      </c>
      <c r="D831" s="353">
        <v>3.0281000000000001E-3</v>
      </c>
      <c r="E831" s="353">
        <v>4.5580999999999998E-3</v>
      </c>
      <c r="F831" s="354">
        <v>7.8094000000000002E-3</v>
      </c>
    </row>
    <row r="832" spans="1:6" ht="12" thickBot="1">
      <c r="A832" s="355">
        <v>40546</v>
      </c>
      <c r="B832" s="356">
        <v>2.6063000000000002E-3</v>
      </c>
      <c r="C832" s="356">
        <v>2.8249999999999998E-3</v>
      </c>
      <c r="D832" s="356">
        <v>3.0281000000000001E-3</v>
      </c>
      <c r="E832" s="356">
        <v>4.5593999999999999E-3</v>
      </c>
      <c r="F832" s="357">
        <v>7.8094000000000002E-3</v>
      </c>
    </row>
    <row r="833" spans="1:6">
      <c r="A833" s="346">
        <v>2010</v>
      </c>
      <c r="B833" s="347"/>
      <c r="C833" s="347"/>
      <c r="D833" s="347"/>
      <c r="E833" s="347"/>
      <c r="F833" s="347"/>
    </row>
    <row r="834" spans="1:6" ht="12" thickBot="1">
      <c r="A834" s="348"/>
      <c r="B834" s="610"/>
      <c r="C834" s="611"/>
      <c r="D834" s="611"/>
      <c r="E834" s="611"/>
      <c r="F834" s="612"/>
    </row>
    <row r="835" spans="1:6" ht="12" thickBot="1">
      <c r="A835" s="349" t="s">
        <v>1061</v>
      </c>
      <c r="B835" s="350" t="s">
        <v>1062</v>
      </c>
      <c r="C835" s="350" t="s">
        <v>1063</v>
      </c>
      <c r="D835" s="350" t="s">
        <v>1064</v>
      </c>
      <c r="E835" s="350" t="s">
        <v>1065</v>
      </c>
      <c r="F835" s="351" t="s">
        <v>1066</v>
      </c>
    </row>
    <row r="836" spans="1:6" ht="12" thickBot="1">
      <c r="A836" s="352">
        <v>40542</v>
      </c>
      <c r="B836" s="353">
        <v>2.6063000000000002E-3</v>
      </c>
      <c r="C836" s="353">
        <v>2.8249999999999998E-3</v>
      </c>
      <c r="D836" s="353">
        <v>3.0281000000000001E-3</v>
      </c>
      <c r="E836" s="353">
        <v>4.5656000000000004E-3</v>
      </c>
      <c r="F836" s="354">
        <v>7.8156000000000007E-3</v>
      </c>
    </row>
    <row r="837" spans="1:6" ht="12" thickBot="1">
      <c r="A837" s="352">
        <v>40541</v>
      </c>
      <c r="B837" s="353">
        <v>2.6063000000000002E-3</v>
      </c>
      <c r="C837" s="353">
        <v>2.8249999999999998E-3</v>
      </c>
      <c r="D837" s="353">
        <v>3.0281000000000001E-3</v>
      </c>
      <c r="E837" s="353">
        <v>4.5687999999999996E-3</v>
      </c>
      <c r="F837" s="354">
        <v>7.8312999999999994E-3</v>
      </c>
    </row>
    <row r="838" spans="1:6" ht="12" thickBot="1">
      <c r="A838" s="352">
        <v>40540</v>
      </c>
      <c r="B838" s="353">
        <v>2.6063000000000002E-3</v>
      </c>
      <c r="C838" s="353">
        <v>2.8249999999999998E-3</v>
      </c>
      <c r="D838" s="353">
        <v>3.0281000000000001E-3</v>
      </c>
      <c r="E838" s="353">
        <v>4.5719000000000003E-3</v>
      </c>
      <c r="F838" s="354">
        <v>7.8312999999999994E-3</v>
      </c>
    </row>
    <row r="839" spans="1:6" ht="12" thickBot="1">
      <c r="A839" s="352">
        <v>40539</v>
      </c>
      <c r="B839" s="353">
        <v>2.6063000000000002E-3</v>
      </c>
      <c r="C839" s="353">
        <v>2.8249999999999998E-3</v>
      </c>
      <c r="D839" s="353">
        <v>3.0281000000000001E-3</v>
      </c>
      <c r="E839" s="353">
        <v>4.5719000000000003E-3</v>
      </c>
      <c r="F839" s="354">
        <v>7.8312999999999994E-3</v>
      </c>
    </row>
    <row r="840" spans="1:6" ht="12" thickBot="1">
      <c r="A840" s="352">
        <v>40536</v>
      </c>
      <c r="B840" s="353">
        <v>2.6063000000000002E-3</v>
      </c>
      <c r="C840" s="353">
        <v>2.8249999999999998E-3</v>
      </c>
      <c r="D840" s="353">
        <v>3.0281000000000001E-3</v>
      </c>
      <c r="E840" s="353">
        <v>4.5719000000000003E-3</v>
      </c>
      <c r="F840" s="354">
        <v>7.8312999999999994E-3</v>
      </c>
    </row>
    <row r="841" spans="1:6" ht="12" thickBot="1">
      <c r="A841" s="352">
        <v>40535</v>
      </c>
      <c r="B841" s="353">
        <v>2.6063000000000002E-3</v>
      </c>
      <c r="C841" s="353">
        <v>2.8249999999999998E-3</v>
      </c>
      <c r="D841" s="353">
        <v>3.0281000000000001E-3</v>
      </c>
      <c r="E841" s="353">
        <v>4.5719000000000003E-3</v>
      </c>
      <c r="F841" s="354">
        <v>7.8312999999999994E-3</v>
      </c>
    </row>
    <row r="842" spans="1:6" ht="12" thickBot="1">
      <c r="A842" s="352">
        <v>40534</v>
      </c>
      <c r="B842" s="353">
        <v>2.6063000000000002E-3</v>
      </c>
      <c r="C842" s="353">
        <v>2.8249999999999998E-3</v>
      </c>
      <c r="D842" s="353">
        <v>3.0281000000000001E-3</v>
      </c>
      <c r="E842" s="353">
        <v>4.5719000000000003E-3</v>
      </c>
      <c r="F842" s="354">
        <v>7.8312999999999994E-3</v>
      </c>
    </row>
    <row r="843" spans="1:6" ht="12" thickBot="1">
      <c r="A843" s="352">
        <v>40533</v>
      </c>
      <c r="B843" s="353">
        <v>2.6063000000000002E-3</v>
      </c>
      <c r="C843" s="353">
        <v>2.8249999999999998E-3</v>
      </c>
      <c r="D843" s="353">
        <v>3.0281000000000001E-3</v>
      </c>
      <c r="E843" s="353">
        <v>4.5719000000000003E-3</v>
      </c>
      <c r="F843" s="354">
        <v>7.8324999999999992E-3</v>
      </c>
    </row>
    <row r="844" spans="1:6" ht="12" thickBot="1">
      <c r="A844" s="352">
        <v>40532</v>
      </c>
      <c r="B844" s="353">
        <v>2.6063000000000002E-3</v>
      </c>
      <c r="C844" s="353">
        <v>2.8249999999999998E-3</v>
      </c>
      <c r="D844" s="353">
        <v>3.0281000000000001E-3</v>
      </c>
      <c r="E844" s="353">
        <v>4.5719000000000003E-3</v>
      </c>
      <c r="F844" s="354">
        <v>7.8324999999999992E-3</v>
      </c>
    </row>
    <row r="845" spans="1:6" ht="12" thickBot="1">
      <c r="A845" s="352">
        <v>40529</v>
      </c>
      <c r="B845" s="353">
        <v>2.6063000000000002E-3</v>
      </c>
      <c r="C845" s="353">
        <v>2.8249999999999998E-3</v>
      </c>
      <c r="D845" s="353">
        <v>3.0374999999999998E-3</v>
      </c>
      <c r="E845" s="353">
        <v>4.5719000000000003E-3</v>
      </c>
      <c r="F845" s="354">
        <v>7.8387999999999999E-3</v>
      </c>
    </row>
    <row r="846" spans="1:6" ht="12" thickBot="1">
      <c r="A846" s="352">
        <v>40528</v>
      </c>
      <c r="B846" s="353">
        <v>2.6063000000000002E-3</v>
      </c>
      <c r="C846" s="353">
        <v>2.8249999999999998E-3</v>
      </c>
      <c r="D846" s="353">
        <v>3.0374999999999998E-3</v>
      </c>
      <c r="E846" s="353">
        <v>4.5969000000000001E-3</v>
      </c>
      <c r="F846" s="354">
        <v>7.8513000000000003E-3</v>
      </c>
    </row>
    <row r="847" spans="1:6" ht="12" thickBot="1">
      <c r="A847" s="352">
        <v>40527</v>
      </c>
      <c r="B847" s="353">
        <v>2.6063000000000002E-3</v>
      </c>
      <c r="C847" s="353">
        <v>2.8062999999999999E-3</v>
      </c>
      <c r="D847" s="353">
        <v>3.0187999999999999E-3</v>
      </c>
      <c r="E847" s="353">
        <v>4.5780999999999999E-3</v>
      </c>
      <c r="F847" s="354">
        <v>7.8344E-3</v>
      </c>
    </row>
    <row r="848" spans="1:6" ht="12" thickBot="1">
      <c r="A848" s="352">
        <v>40526</v>
      </c>
      <c r="B848" s="353">
        <v>2.6063000000000002E-3</v>
      </c>
      <c r="C848" s="353">
        <v>2.8062999999999999E-3</v>
      </c>
      <c r="D848" s="353">
        <v>3.0187999999999999E-3</v>
      </c>
      <c r="E848" s="353">
        <v>4.5618999999999998E-3</v>
      </c>
      <c r="F848" s="354">
        <v>7.8375000000000007E-3</v>
      </c>
    </row>
    <row r="849" spans="1:6" ht="12" thickBot="1">
      <c r="A849" s="352">
        <v>40525</v>
      </c>
      <c r="B849" s="353">
        <v>2.6031000000000001E-3</v>
      </c>
      <c r="C849" s="353">
        <v>2.8062999999999999E-3</v>
      </c>
      <c r="D849" s="353">
        <v>3.0155999999999998E-3</v>
      </c>
      <c r="E849" s="353">
        <v>4.5630999999999996E-3</v>
      </c>
      <c r="F849" s="354">
        <v>7.8499999999999993E-3</v>
      </c>
    </row>
    <row r="850" spans="1:6" ht="12" thickBot="1">
      <c r="A850" s="352">
        <v>40522</v>
      </c>
      <c r="B850" s="353">
        <v>2.6031000000000001E-3</v>
      </c>
      <c r="C850" s="353">
        <v>2.8062999999999999E-3</v>
      </c>
      <c r="D850" s="353">
        <v>3.0155999999999998E-3</v>
      </c>
      <c r="E850" s="353">
        <v>4.5719000000000003E-3</v>
      </c>
      <c r="F850" s="354">
        <v>7.8250000000000004E-3</v>
      </c>
    </row>
    <row r="851" spans="1:6" ht="12" thickBot="1">
      <c r="A851" s="352">
        <v>40521</v>
      </c>
      <c r="B851" s="353">
        <v>2.6218999999999999E-3</v>
      </c>
      <c r="C851" s="353">
        <v>2.8188000000000002E-3</v>
      </c>
      <c r="D851" s="353">
        <v>3.0219000000000001E-3</v>
      </c>
      <c r="E851" s="353">
        <v>4.5719000000000003E-3</v>
      </c>
      <c r="F851" s="354">
        <v>7.8250000000000004E-3</v>
      </c>
    </row>
    <row r="852" spans="1:6" ht="12" thickBot="1">
      <c r="A852" s="352">
        <v>40519</v>
      </c>
      <c r="B852" s="353">
        <v>2.6375000000000001E-3</v>
      </c>
      <c r="C852" s="353">
        <v>2.8124999999999999E-3</v>
      </c>
      <c r="D852" s="353">
        <v>3.0219000000000001E-3</v>
      </c>
      <c r="E852" s="353">
        <v>4.5719000000000003E-3</v>
      </c>
      <c r="F852" s="354">
        <v>7.8125E-3</v>
      </c>
    </row>
    <row r="853" spans="1:6" ht="12" thickBot="1">
      <c r="A853" s="352">
        <v>40518</v>
      </c>
      <c r="B853" s="353">
        <v>2.65E-3</v>
      </c>
      <c r="C853" s="353">
        <v>2.8249999999999998E-3</v>
      </c>
      <c r="D853" s="353">
        <v>3.0344E-3</v>
      </c>
      <c r="E853" s="353">
        <v>4.5969000000000001E-3</v>
      </c>
      <c r="F853" s="354">
        <v>7.8250000000000004E-3</v>
      </c>
    </row>
    <row r="854" spans="1:6" ht="12" thickBot="1">
      <c r="A854" s="352">
        <v>40515</v>
      </c>
      <c r="B854" s="353">
        <v>2.65E-3</v>
      </c>
      <c r="C854" s="353">
        <v>2.8249999999999998E-3</v>
      </c>
      <c r="D854" s="353">
        <v>3.0344E-3</v>
      </c>
      <c r="E854" s="353">
        <v>4.6219E-3</v>
      </c>
      <c r="F854" s="354">
        <v>7.8793999999999999E-3</v>
      </c>
    </row>
    <row r="855" spans="1:6" ht="12" thickBot="1">
      <c r="A855" s="352">
        <v>40514</v>
      </c>
      <c r="B855" s="353">
        <v>2.6562999999999999E-3</v>
      </c>
      <c r="C855" s="353">
        <v>2.8249999999999998E-3</v>
      </c>
      <c r="D855" s="353">
        <v>3.0344E-3</v>
      </c>
      <c r="E855" s="353">
        <v>4.6531000000000003E-3</v>
      </c>
      <c r="F855" s="354">
        <v>7.9000000000000008E-3</v>
      </c>
    </row>
    <row r="856" spans="1:6" ht="12" thickBot="1">
      <c r="A856" s="352">
        <v>40513</v>
      </c>
      <c r="B856" s="353">
        <v>2.6530999999999998E-3</v>
      </c>
      <c r="C856" s="353">
        <v>2.8249999999999998E-3</v>
      </c>
      <c r="D856" s="353">
        <v>3.0344E-3</v>
      </c>
      <c r="E856" s="353">
        <v>4.6655999999999998E-3</v>
      </c>
      <c r="F856" s="354">
        <v>7.9000000000000008E-3</v>
      </c>
    </row>
    <row r="857" spans="1:6" ht="12" thickBot="1">
      <c r="A857" s="352">
        <v>40512</v>
      </c>
      <c r="B857" s="353">
        <v>2.6063000000000002E-3</v>
      </c>
      <c r="C857" s="353">
        <v>2.8E-3</v>
      </c>
      <c r="D857" s="353">
        <v>3.0030999999999999E-3</v>
      </c>
      <c r="E857" s="353">
        <v>4.6100000000000004E-3</v>
      </c>
      <c r="F857" s="354">
        <v>7.8656000000000004E-3</v>
      </c>
    </row>
    <row r="858" spans="1:6" ht="12" thickBot="1">
      <c r="A858" s="352">
        <v>40511</v>
      </c>
      <c r="B858" s="353">
        <v>2.575E-3</v>
      </c>
      <c r="C858" s="353">
        <v>2.7750000000000001E-3</v>
      </c>
      <c r="D858" s="353">
        <v>2.9594000000000001E-3</v>
      </c>
      <c r="E858" s="353">
        <v>4.5906000000000002E-3</v>
      </c>
      <c r="F858" s="354">
        <v>7.8493999999999994E-3</v>
      </c>
    </row>
    <row r="859" spans="1:6" ht="12" thickBot="1">
      <c r="A859" s="352">
        <v>40508</v>
      </c>
      <c r="B859" s="353">
        <v>2.5625000000000001E-3</v>
      </c>
      <c r="C859" s="353">
        <v>2.7594E-3</v>
      </c>
      <c r="D859" s="353">
        <v>2.9437999999999999E-3</v>
      </c>
      <c r="E859" s="353">
        <v>4.5875000000000004E-3</v>
      </c>
      <c r="F859" s="354">
        <v>7.8463000000000005E-3</v>
      </c>
    </row>
    <row r="860" spans="1:6" ht="12" thickBot="1">
      <c r="A860" s="352">
        <v>40507</v>
      </c>
      <c r="B860" s="353">
        <v>2.5500000000000002E-3</v>
      </c>
      <c r="C860" s="353">
        <v>2.7437999999999998E-3</v>
      </c>
      <c r="D860" s="353">
        <v>2.9188E-3</v>
      </c>
      <c r="E860" s="353">
        <v>4.5624999999999997E-3</v>
      </c>
      <c r="F860" s="354">
        <v>7.8025000000000004E-3</v>
      </c>
    </row>
    <row r="861" spans="1:6" ht="12" thickBot="1">
      <c r="A861" s="352">
        <v>40506</v>
      </c>
      <c r="B861" s="353">
        <v>2.5344E-3</v>
      </c>
      <c r="C861" s="353">
        <v>2.7141000000000001E-3</v>
      </c>
      <c r="D861" s="353">
        <v>2.875E-3</v>
      </c>
      <c r="E861" s="353">
        <v>4.4688000000000002E-3</v>
      </c>
      <c r="F861" s="354">
        <v>7.6649999999999999E-3</v>
      </c>
    </row>
    <row r="862" spans="1:6" ht="12" thickBot="1">
      <c r="A862" s="352">
        <v>40505</v>
      </c>
      <c r="B862" s="353">
        <v>2.5344E-3</v>
      </c>
      <c r="C862" s="353">
        <v>2.6827999999999999E-3</v>
      </c>
      <c r="D862" s="353">
        <v>2.8438000000000001E-3</v>
      </c>
      <c r="E862" s="353">
        <v>4.4219000000000003E-3</v>
      </c>
      <c r="F862" s="354">
        <v>7.6312999999999997E-3</v>
      </c>
    </row>
    <row r="863" spans="1:6" ht="12" thickBot="1">
      <c r="A863" s="352">
        <v>40504</v>
      </c>
      <c r="B863" s="353">
        <v>2.5344E-3</v>
      </c>
      <c r="C863" s="353">
        <v>2.6827999999999999E-3</v>
      </c>
      <c r="D863" s="353">
        <v>2.8438000000000001E-3</v>
      </c>
      <c r="E863" s="353">
        <v>4.4219000000000003E-3</v>
      </c>
      <c r="F863" s="354">
        <v>7.6312999999999997E-3</v>
      </c>
    </row>
    <row r="864" spans="1:6" ht="12" thickBot="1">
      <c r="A864" s="352">
        <v>40501</v>
      </c>
      <c r="B864" s="353">
        <v>2.5344E-3</v>
      </c>
      <c r="C864" s="353">
        <v>2.6827999999999999E-3</v>
      </c>
      <c r="D864" s="353">
        <v>2.8438000000000001E-3</v>
      </c>
      <c r="E864" s="353">
        <v>4.4219000000000003E-3</v>
      </c>
      <c r="F864" s="354">
        <v>7.6312999999999997E-3</v>
      </c>
    </row>
    <row r="865" spans="1:6" ht="12" thickBot="1">
      <c r="A865" s="352">
        <v>40500</v>
      </c>
      <c r="B865" s="353">
        <v>2.5344E-3</v>
      </c>
      <c r="C865" s="353">
        <v>2.6827999999999999E-3</v>
      </c>
      <c r="D865" s="353">
        <v>2.8438000000000001E-3</v>
      </c>
      <c r="E865" s="353">
        <v>4.4219000000000003E-3</v>
      </c>
      <c r="F865" s="354">
        <v>7.6325000000000004E-3</v>
      </c>
    </row>
    <row r="866" spans="1:6" ht="12" thickBot="1">
      <c r="A866" s="352">
        <v>40499</v>
      </c>
      <c r="B866" s="353">
        <v>2.5344E-3</v>
      </c>
      <c r="C866" s="353">
        <v>2.6827999999999999E-3</v>
      </c>
      <c r="D866" s="353">
        <v>2.8438000000000001E-3</v>
      </c>
      <c r="E866" s="353">
        <v>4.4219000000000003E-3</v>
      </c>
      <c r="F866" s="354">
        <v>7.6249999999999998E-3</v>
      </c>
    </row>
    <row r="867" spans="1:6" ht="12" thickBot="1">
      <c r="A867" s="352">
        <v>40498</v>
      </c>
      <c r="B867" s="353">
        <v>2.5344E-3</v>
      </c>
      <c r="C867" s="353">
        <v>2.6827999999999999E-3</v>
      </c>
      <c r="D867" s="353">
        <v>2.8438000000000001E-3</v>
      </c>
      <c r="E867" s="353">
        <v>4.4219000000000003E-3</v>
      </c>
      <c r="F867" s="354">
        <v>7.6249999999999998E-3</v>
      </c>
    </row>
    <row r="868" spans="1:6" ht="12" thickBot="1">
      <c r="A868" s="352">
        <v>40494</v>
      </c>
      <c r="B868" s="353">
        <v>2.5344E-3</v>
      </c>
      <c r="C868" s="353">
        <v>2.6827999999999999E-3</v>
      </c>
      <c r="D868" s="353">
        <v>2.8438000000000001E-3</v>
      </c>
      <c r="E868" s="353">
        <v>4.4280999999999999E-3</v>
      </c>
      <c r="F868" s="354">
        <v>7.6280999999999996E-3</v>
      </c>
    </row>
    <row r="869" spans="1:6" ht="12" thickBot="1">
      <c r="A869" s="352">
        <v>40493</v>
      </c>
      <c r="B869" s="353">
        <v>2.5344E-3</v>
      </c>
      <c r="C869" s="353">
        <v>2.6827999999999999E-3</v>
      </c>
      <c r="D869" s="353">
        <v>2.8563E-3</v>
      </c>
      <c r="E869" s="353">
        <v>4.4280999999999999E-3</v>
      </c>
      <c r="F869" s="354">
        <v>7.5906000000000003E-3</v>
      </c>
    </row>
    <row r="870" spans="1:6" ht="12" thickBot="1">
      <c r="A870" s="352">
        <v>40492</v>
      </c>
      <c r="B870" s="353">
        <v>2.5344E-3</v>
      </c>
      <c r="C870" s="353">
        <v>2.6827999999999999E-3</v>
      </c>
      <c r="D870" s="353">
        <v>2.8563E-3</v>
      </c>
      <c r="E870" s="353">
        <v>4.4280999999999999E-3</v>
      </c>
      <c r="F870" s="354">
        <v>7.5906000000000003E-3</v>
      </c>
    </row>
    <row r="871" spans="1:6" ht="12" thickBot="1">
      <c r="A871" s="352">
        <v>40491</v>
      </c>
      <c r="B871" s="353">
        <v>2.5344E-3</v>
      </c>
      <c r="C871" s="353">
        <v>2.6827999999999999E-3</v>
      </c>
      <c r="D871" s="353">
        <v>2.8563E-3</v>
      </c>
      <c r="E871" s="353">
        <v>4.4280999999999999E-3</v>
      </c>
      <c r="F871" s="354">
        <v>7.5874999999999996E-3</v>
      </c>
    </row>
    <row r="872" spans="1:6" ht="12" thickBot="1">
      <c r="A872" s="352">
        <v>40490</v>
      </c>
      <c r="B872" s="353">
        <v>2.5344E-3</v>
      </c>
      <c r="C872" s="353">
        <v>2.6827999999999999E-3</v>
      </c>
      <c r="D872" s="353">
        <v>2.8563E-3</v>
      </c>
      <c r="E872" s="353">
        <v>4.4250000000000001E-3</v>
      </c>
      <c r="F872" s="354">
        <v>7.5556E-3</v>
      </c>
    </row>
    <row r="873" spans="1:6" ht="12" thickBot="1">
      <c r="A873" s="352">
        <v>40487</v>
      </c>
      <c r="B873" s="353">
        <v>2.5344E-3</v>
      </c>
      <c r="C873" s="353">
        <v>2.6827999999999999E-3</v>
      </c>
      <c r="D873" s="353">
        <v>2.8563E-3</v>
      </c>
      <c r="E873" s="353">
        <v>4.4187999999999996E-3</v>
      </c>
      <c r="F873" s="354">
        <v>7.5525000000000002E-3</v>
      </c>
    </row>
    <row r="874" spans="1:6" ht="12" thickBot="1">
      <c r="A874" s="352">
        <v>40486</v>
      </c>
      <c r="B874" s="353">
        <v>2.5344E-3</v>
      </c>
      <c r="C874" s="353">
        <v>2.6827999999999999E-3</v>
      </c>
      <c r="D874" s="353">
        <v>2.8563E-3</v>
      </c>
      <c r="E874" s="353">
        <v>4.4250000000000001E-3</v>
      </c>
      <c r="F874" s="354">
        <v>7.5599999999999999E-3</v>
      </c>
    </row>
    <row r="875" spans="1:6" ht="12" thickBot="1">
      <c r="A875" s="352">
        <v>40485</v>
      </c>
      <c r="B875" s="353">
        <v>2.5374999999999998E-3</v>
      </c>
      <c r="C875" s="353">
        <v>2.6859000000000002E-3</v>
      </c>
      <c r="D875" s="353">
        <v>2.8593999999999998E-3</v>
      </c>
      <c r="E875" s="353">
        <v>4.4438000000000004E-3</v>
      </c>
      <c r="F875" s="354">
        <v>7.6038E-3</v>
      </c>
    </row>
    <row r="876" spans="1:6" ht="12" thickBot="1">
      <c r="A876" s="352">
        <v>40484</v>
      </c>
      <c r="B876" s="353">
        <v>2.5374999999999998E-3</v>
      </c>
      <c r="C876" s="353">
        <v>2.6859000000000002E-3</v>
      </c>
      <c r="D876" s="353">
        <v>2.8593999999999998E-3</v>
      </c>
      <c r="E876" s="353">
        <v>4.4562999999999998E-3</v>
      </c>
      <c r="F876" s="354">
        <v>7.6038E-3</v>
      </c>
    </row>
    <row r="877" spans="1:6" ht="12" thickBot="1">
      <c r="A877" s="352">
        <v>40480</v>
      </c>
      <c r="B877" s="353">
        <v>2.5374999999999998E-3</v>
      </c>
      <c r="C877" s="353">
        <v>2.6765999999999999E-3</v>
      </c>
      <c r="D877" s="353">
        <v>2.8593999999999998E-3</v>
      </c>
      <c r="E877" s="353">
        <v>4.4844000000000004E-3</v>
      </c>
      <c r="F877" s="354">
        <v>7.6219E-3</v>
      </c>
    </row>
    <row r="878" spans="1:6" ht="12" thickBot="1">
      <c r="A878" s="352">
        <v>40479</v>
      </c>
      <c r="B878" s="353">
        <v>2.5406000000000001E-3</v>
      </c>
      <c r="C878" s="353">
        <v>2.7016000000000002E-3</v>
      </c>
      <c r="D878" s="353">
        <v>2.8687999999999999E-3</v>
      </c>
      <c r="E878" s="353">
        <v>4.4980999999999997E-3</v>
      </c>
      <c r="F878" s="354">
        <v>7.6400000000000001E-3</v>
      </c>
    </row>
    <row r="879" spans="1:6" ht="12" thickBot="1">
      <c r="A879" s="352">
        <v>40478</v>
      </c>
      <c r="B879" s="353">
        <v>2.5531E-3</v>
      </c>
      <c r="C879" s="353">
        <v>2.7077999999999998E-3</v>
      </c>
      <c r="D879" s="353">
        <v>2.8812999999999998E-3</v>
      </c>
      <c r="E879" s="353">
        <v>4.5031000000000003E-3</v>
      </c>
      <c r="F879" s="354">
        <v>7.6537999999999997E-3</v>
      </c>
    </row>
    <row r="880" spans="1:6" ht="12" thickBot="1">
      <c r="A880" s="352">
        <v>40477</v>
      </c>
      <c r="B880" s="353">
        <v>2.5531E-3</v>
      </c>
      <c r="C880" s="353">
        <v>2.7109E-3</v>
      </c>
      <c r="D880" s="353">
        <v>2.8844000000000001E-3</v>
      </c>
      <c r="E880" s="353">
        <v>4.5125E-3</v>
      </c>
      <c r="F880" s="354">
        <v>7.6524999999999996E-3</v>
      </c>
    </row>
    <row r="881" spans="1:6" ht="12" thickBot="1">
      <c r="A881" s="352">
        <v>40476</v>
      </c>
      <c r="B881" s="353">
        <v>2.5625000000000001E-3</v>
      </c>
      <c r="C881" s="353">
        <v>2.7109E-3</v>
      </c>
      <c r="D881" s="353">
        <v>2.8844000000000001E-3</v>
      </c>
      <c r="E881" s="353">
        <v>4.5250000000000004E-3</v>
      </c>
      <c r="F881" s="354">
        <v>7.6524999999999996E-3</v>
      </c>
    </row>
    <row r="882" spans="1:6" ht="12" thickBot="1">
      <c r="A882" s="352">
        <v>40473</v>
      </c>
      <c r="B882" s="353">
        <v>2.5625000000000001E-3</v>
      </c>
      <c r="C882" s="353">
        <v>2.7109E-3</v>
      </c>
      <c r="D882" s="353">
        <v>2.8844000000000001E-3</v>
      </c>
      <c r="E882" s="353">
        <v>4.5250000000000004E-3</v>
      </c>
      <c r="F882" s="354">
        <v>7.6537999999999997E-3</v>
      </c>
    </row>
    <row r="883" spans="1:6" ht="12" thickBot="1">
      <c r="A883" s="352">
        <v>40472</v>
      </c>
      <c r="B883" s="353">
        <v>2.5625000000000001E-3</v>
      </c>
      <c r="C883" s="353">
        <v>2.7109E-3</v>
      </c>
      <c r="D883" s="353">
        <v>2.8844000000000001E-3</v>
      </c>
      <c r="E883" s="353">
        <v>4.5250000000000004E-3</v>
      </c>
      <c r="F883" s="354">
        <v>7.6537999999999997E-3</v>
      </c>
    </row>
    <row r="884" spans="1:6" ht="12" thickBot="1">
      <c r="A884" s="352">
        <v>40471</v>
      </c>
      <c r="B884" s="353">
        <v>2.5625000000000001E-3</v>
      </c>
      <c r="C884" s="353">
        <v>2.7109E-3</v>
      </c>
      <c r="D884" s="353">
        <v>2.8844000000000001E-3</v>
      </c>
      <c r="E884" s="353">
        <v>4.5374999999999999E-3</v>
      </c>
      <c r="F884" s="354">
        <v>7.6550000000000003E-3</v>
      </c>
    </row>
    <row r="885" spans="1:6" ht="12" thickBot="1">
      <c r="A885" s="352">
        <v>40470</v>
      </c>
      <c r="B885" s="353">
        <v>2.5625000000000001E-3</v>
      </c>
      <c r="C885" s="353">
        <v>2.7171999999999999E-3</v>
      </c>
      <c r="D885" s="353">
        <v>2.8906000000000001E-3</v>
      </c>
      <c r="E885" s="353">
        <v>4.5250000000000004E-3</v>
      </c>
      <c r="F885" s="354">
        <v>7.6550000000000003E-3</v>
      </c>
    </row>
    <row r="886" spans="1:6" ht="12" thickBot="1">
      <c r="A886" s="352">
        <v>40466</v>
      </c>
      <c r="B886" s="353">
        <v>2.5625000000000001E-3</v>
      </c>
      <c r="C886" s="353">
        <v>2.7296999999999998E-3</v>
      </c>
      <c r="D886" s="353">
        <v>2.8906000000000001E-3</v>
      </c>
      <c r="E886" s="353">
        <v>4.5250000000000004E-3</v>
      </c>
      <c r="F886" s="354">
        <v>7.6663E-3</v>
      </c>
    </row>
    <row r="887" spans="1:6" ht="12" thickBot="1">
      <c r="A887" s="352">
        <v>40465</v>
      </c>
      <c r="B887" s="353">
        <v>2.5625000000000001E-3</v>
      </c>
      <c r="C887" s="353">
        <v>2.7296999999999998E-3</v>
      </c>
      <c r="D887" s="353">
        <v>2.8906000000000001E-3</v>
      </c>
      <c r="E887" s="353">
        <v>4.5374999999999999E-3</v>
      </c>
      <c r="F887" s="354">
        <v>7.6649999999999999E-3</v>
      </c>
    </row>
    <row r="888" spans="1:6" ht="12" thickBot="1">
      <c r="A888" s="352">
        <v>40464</v>
      </c>
      <c r="B888" s="353">
        <v>2.5625000000000001E-3</v>
      </c>
      <c r="C888" s="353">
        <v>2.7296999999999998E-3</v>
      </c>
      <c r="D888" s="353">
        <v>2.8906000000000001E-3</v>
      </c>
      <c r="E888" s="353">
        <v>4.5500000000000002E-3</v>
      </c>
      <c r="F888" s="354">
        <v>7.6680999999999997E-3</v>
      </c>
    </row>
    <row r="889" spans="1:6" ht="12" thickBot="1">
      <c r="A889" s="352">
        <v>40463</v>
      </c>
      <c r="B889" s="353">
        <v>2.5625000000000001E-3</v>
      </c>
      <c r="C889" s="353">
        <v>2.7296999999999998E-3</v>
      </c>
      <c r="D889" s="353">
        <v>2.8906000000000001E-3</v>
      </c>
      <c r="E889" s="353">
        <v>4.5500000000000002E-3</v>
      </c>
      <c r="F889" s="354">
        <v>7.6649999999999999E-3</v>
      </c>
    </row>
    <row r="890" spans="1:6" ht="12" thickBot="1">
      <c r="A890" s="352">
        <v>40462</v>
      </c>
      <c r="B890" s="353">
        <v>2.5625000000000001E-3</v>
      </c>
      <c r="C890" s="353">
        <v>2.7296999999999998E-3</v>
      </c>
      <c r="D890" s="353">
        <v>2.8906000000000001E-3</v>
      </c>
      <c r="E890" s="353">
        <v>4.5656000000000004E-3</v>
      </c>
      <c r="F890" s="354">
        <v>7.6693999999999998E-3</v>
      </c>
    </row>
    <row r="891" spans="1:6" ht="12" thickBot="1">
      <c r="A891" s="352">
        <v>40459</v>
      </c>
      <c r="B891" s="353">
        <v>2.5625000000000001E-3</v>
      </c>
      <c r="C891" s="353">
        <v>2.7296999999999998E-3</v>
      </c>
      <c r="D891" s="353">
        <v>2.8906000000000001E-3</v>
      </c>
      <c r="E891" s="353">
        <v>4.5750000000000001E-3</v>
      </c>
      <c r="F891" s="354">
        <v>7.6956000000000004E-3</v>
      </c>
    </row>
    <row r="892" spans="1:6" ht="12" thickBot="1">
      <c r="A892" s="352">
        <v>40458</v>
      </c>
      <c r="B892" s="353">
        <v>2.5625000000000001E-3</v>
      </c>
      <c r="C892" s="353">
        <v>2.7296999999999998E-3</v>
      </c>
      <c r="D892" s="353">
        <v>2.8906000000000001E-3</v>
      </c>
      <c r="E892" s="353">
        <v>4.5875000000000004E-3</v>
      </c>
      <c r="F892" s="354">
        <v>7.7149999999999996E-3</v>
      </c>
    </row>
    <row r="893" spans="1:6" ht="12" thickBot="1">
      <c r="A893" s="352">
        <v>40457</v>
      </c>
      <c r="B893" s="353">
        <v>2.5688E-3</v>
      </c>
      <c r="C893" s="353">
        <v>2.7358999999999999E-3</v>
      </c>
      <c r="D893" s="353">
        <v>2.8969E-3</v>
      </c>
      <c r="E893" s="353">
        <v>4.6156000000000001E-3</v>
      </c>
      <c r="F893" s="354">
        <v>7.7412999999999996E-3</v>
      </c>
    </row>
    <row r="894" spans="1:6" ht="12" thickBot="1">
      <c r="A894" s="352">
        <v>40456</v>
      </c>
      <c r="B894" s="353">
        <v>2.5688E-3</v>
      </c>
      <c r="C894" s="353">
        <v>2.7358999999999999E-3</v>
      </c>
      <c r="D894" s="353">
        <v>2.8999999999999998E-3</v>
      </c>
      <c r="E894" s="353">
        <v>4.6188000000000002E-3</v>
      </c>
      <c r="F894" s="354">
        <v>7.7675000000000001E-3</v>
      </c>
    </row>
    <row r="895" spans="1:6" ht="12" thickBot="1">
      <c r="A895" s="352">
        <v>40455</v>
      </c>
      <c r="B895" s="353">
        <v>2.5688E-3</v>
      </c>
      <c r="C895" s="353">
        <v>2.7358999999999999E-3</v>
      </c>
      <c r="D895" s="353">
        <v>2.9063000000000001E-3</v>
      </c>
      <c r="E895" s="353">
        <v>4.6312999999999997E-3</v>
      </c>
      <c r="F895" s="354">
        <v>7.77E-3</v>
      </c>
    </row>
    <row r="896" spans="1:6" ht="12" thickBot="1">
      <c r="A896" s="352">
        <v>40452</v>
      </c>
      <c r="B896" s="353">
        <v>2.5688E-3</v>
      </c>
      <c r="C896" s="353">
        <v>2.7358999999999999E-3</v>
      </c>
      <c r="D896" s="353">
        <v>2.9063000000000001E-3</v>
      </c>
      <c r="E896" s="353">
        <v>4.6312999999999997E-3</v>
      </c>
      <c r="F896" s="354">
        <v>7.7837999999999996E-3</v>
      </c>
    </row>
    <row r="897" spans="1:6" ht="12" thickBot="1">
      <c r="A897" s="352">
        <v>40451</v>
      </c>
      <c r="B897" s="353">
        <v>2.5625000000000001E-3</v>
      </c>
      <c r="C897" s="353">
        <v>2.7296999999999998E-3</v>
      </c>
      <c r="D897" s="353">
        <v>2.8999999999999998E-3</v>
      </c>
      <c r="E897" s="353">
        <v>4.6249999999999998E-3</v>
      </c>
      <c r="F897" s="354">
        <v>7.7774999999999997E-3</v>
      </c>
    </row>
    <row r="898" spans="1:6" ht="12" thickBot="1">
      <c r="A898" s="352">
        <v>40450</v>
      </c>
      <c r="B898" s="353">
        <v>2.5625000000000001E-3</v>
      </c>
      <c r="C898" s="353">
        <v>2.7296999999999998E-3</v>
      </c>
      <c r="D898" s="353">
        <v>2.8999999999999998E-3</v>
      </c>
      <c r="E898" s="353">
        <v>4.6249999999999998E-3</v>
      </c>
      <c r="F898" s="354">
        <v>7.7825000000000004E-3</v>
      </c>
    </row>
    <row r="899" spans="1:6" ht="12" thickBot="1">
      <c r="A899" s="352">
        <v>40449</v>
      </c>
      <c r="B899" s="353">
        <v>2.5625000000000001E-3</v>
      </c>
      <c r="C899" s="353">
        <v>2.7296999999999998E-3</v>
      </c>
      <c r="D899" s="353">
        <v>2.8938000000000002E-3</v>
      </c>
      <c r="E899" s="353">
        <v>4.6249999999999998E-3</v>
      </c>
      <c r="F899" s="354">
        <v>7.7850000000000003E-3</v>
      </c>
    </row>
    <row r="900" spans="1:6" ht="12" thickBot="1">
      <c r="A900" s="352">
        <v>40448</v>
      </c>
      <c r="B900" s="353">
        <v>2.5625000000000001E-3</v>
      </c>
      <c r="C900" s="353">
        <v>2.7296999999999998E-3</v>
      </c>
      <c r="D900" s="353">
        <v>2.8938000000000002E-3</v>
      </c>
      <c r="E900" s="353">
        <v>4.6249999999999998E-3</v>
      </c>
      <c r="F900" s="354">
        <v>7.7863000000000003E-3</v>
      </c>
    </row>
    <row r="901" spans="1:6" ht="12" thickBot="1">
      <c r="A901" s="352">
        <v>40445</v>
      </c>
      <c r="B901" s="353">
        <v>2.5625000000000001E-3</v>
      </c>
      <c r="C901" s="353">
        <v>2.7296999999999998E-3</v>
      </c>
      <c r="D901" s="353">
        <v>2.8938000000000002E-3</v>
      </c>
      <c r="E901" s="353">
        <v>4.6405999999999999E-3</v>
      </c>
      <c r="F901" s="354">
        <v>7.8063000000000004E-3</v>
      </c>
    </row>
    <row r="902" spans="1:6" ht="12" thickBot="1">
      <c r="A902" s="352">
        <v>40444</v>
      </c>
      <c r="B902" s="353">
        <v>2.5625000000000001E-3</v>
      </c>
      <c r="C902" s="353">
        <v>2.7296999999999998E-3</v>
      </c>
      <c r="D902" s="353">
        <v>2.8938000000000002E-3</v>
      </c>
      <c r="E902" s="353">
        <v>4.6280999999999996E-3</v>
      </c>
      <c r="F902" s="354">
        <v>7.8125E-3</v>
      </c>
    </row>
    <row r="903" spans="1:6" ht="12" thickBot="1">
      <c r="A903" s="352">
        <v>40443</v>
      </c>
      <c r="B903" s="353">
        <v>2.5625000000000001E-3</v>
      </c>
      <c r="C903" s="353">
        <v>2.7296999999999998E-3</v>
      </c>
      <c r="D903" s="353">
        <v>2.8938000000000002E-3</v>
      </c>
      <c r="E903" s="353">
        <v>4.6405999999999999E-3</v>
      </c>
      <c r="F903" s="354">
        <v>7.8168999999999999E-3</v>
      </c>
    </row>
    <row r="904" spans="1:6" ht="12" thickBot="1">
      <c r="A904" s="352">
        <v>40442</v>
      </c>
      <c r="B904" s="353">
        <v>2.5625000000000001E-3</v>
      </c>
      <c r="C904" s="353">
        <v>2.7312999999999999E-3</v>
      </c>
      <c r="D904" s="353">
        <v>2.8969E-3</v>
      </c>
      <c r="E904" s="353">
        <v>4.7312999999999999E-3</v>
      </c>
      <c r="F904" s="354">
        <v>7.9337999999999995E-3</v>
      </c>
    </row>
    <row r="905" spans="1:6" ht="12" thickBot="1">
      <c r="A905" s="352">
        <v>40441</v>
      </c>
      <c r="B905" s="353">
        <v>2.5625000000000001E-3</v>
      </c>
      <c r="C905" s="353">
        <v>2.7312999999999999E-3</v>
      </c>
      <c r="D905" s="353">
        <v>2.9031E-3</v>
      </c>
      <c r="E905" s="353">
        <v>4.7312999999999999E-3</v>
      </c>
      <c r="F905" s="354">
        <v>7.9363000000000003E-3</v>
      </c>
    </row>
    <row r="906" spans="1:6" ht="12" thickBot="1">
      <c r="A906" s="352">
        <v>40438</v>
      </c>
      <c r="B906" s="353">
        <v>2.575E-3</v>
      </c>
      <c r="C906" s="353">
        <v>2.7437999999999998E-3</v>
      </c>
      <c r="D906" s="353">
        <v>2.9156E-3</v>
      </c>
      <c r="E906" s="353">
        <v>4.7312999999999999E-3</v>
      </c>
      <c r="F906" s="354">
        <v>7.9363000000000003E-3</v>
      </c>
    </row>
    <row r="907" spans="1:6" ht="12" thickBot="1">
      <c r="A907" s="352">
        <v>40437</v>
      </c>
      <c r="B907" s="353">
        <v>2.5734E-3</v>
      </c>
      <c r="C907" s="353">
        <v>2.7406000000000002E-3</v>
      </c>
      <c r="D907" s="353">
        <v>2.9141000000000002E-3</v>
      </c>
      <c r="E907" s="353">
        <v>4.7438000000000003E-3</v>
      </c>
      <c r="F907" s="354">
        <v>7.9399999999999991E-3</v>
      </c>
    </row>
    <row r="908" spans="1:6" ht="12" thickBot="1">
      <c r="A908" s="352">
        <v>40436</v>
      </c>
      <c r="B908" s="353">
        <v>2.5734E-3</v>
      </c>
      <c r="C908" s="353">
        <v>2.7406000000000002E-3</v>
      </c>
      <c r="D908" s="353">
        <v>2.9202999999999998E-3</v>
      </c>
      <c r="E908" s="353">
        <v>4.7453E-3</v>
      </c>
      <c r="F908" s="354">
        <v>7.9749999999999995E-3</v>
      </c>
    </row>
    <row r="909" spans="1:6" ht="12" thickBot="1">
      <c r="A909" s="352">
        <v>40435</v>
      </c>
      <c r="B909" s="353">
        <v>2.5734E-3</v>
      </c>
      <c r="C909" s="353">
        <v>2.7406000000000002E-3</v>
      </c>
      <c r="D909" s="353">
        <v>2.9188E-3</v>
      </c>
      <c r="E909" s="353">
        <v>4.8187999999999998E-3</v>
      </c>
      <c r="F909" s="354">
        <v>8.0788000000000006E-3</v>
      </c>
    </row>
    <row r="910" spans="1:6" ht="12" thickBot="1">
      <c r="A910" s="352">
        <v>40434</v>
      </c>
      <c r="B910" s="353">
        <v>2.5734E-3</v>
      </c>
      <c r="C910" s="353">
        <v>2.7437999999999998E-3</v>
      </c>
      <c r="D910" s="353">
        <v>2.9218999999999998E-3</v>
      </c>
      <c r="E910" s="353">
        <v>4.8719000000000002E-3</v>
      </c>
      <c r="F910" s="354">
        <v>8.1987999999999991E-3</v>
      </c>
    </row>
    <row r="911" spans="1:6" ht="12" thickBot="1">
      <c r="A911" s="352">
        <v>40431</v>
      </c>
      <c r="B911" s="353">
        <v>2.5734E-3</v>
      </c>
      <c r="C911" s="353">
        <v>2.7437999999999998E-3</v>
      </c>
      <c r="D911" s="353">
        <v>2.9218999999999998E-3</v>
      </c>
      <c r="E911" s="353">
        <v>4.8969E-3</v>
      </c>
      <c r="F911" s="354">
        <v>8.2219000000000007E-3</v>
      </c>
    </row>
    <row r="912" spans="1:6" ht="12" thickBot="1">
      <c r="A912" s="352">
        <v>40430</v>
      </c>
      <c r="B912" s="353">
        <v>2.5734E-3</v>
      </c>
      <c r="C912" s="353">
        <v>2.7437999999999998E-3</v>
      </c>
      <c r="D912" s="353">
        <v>2.9250000000000001E-3</v>
      </c>
      <c r="E912" s="353">
        <v>4.8999999999999998E-3</v>
      </c>
      <c r="F912" s="354">
        <v>8.2424999999999998E-3</v>
      </c>
    </row>
    <row r="913" spans="1:6" ht="12" thickBot="1">
      <c r="A913" s="352">
        <v>40429</v>
      </c>
      <c r="B913" s="353">
        <v>2.5734E-3</v>
      </c>
      <c r="C913" s="353">
        <v>2.7437999999999998E-3</v>
      </c>
      <c r="D913" s="353">
        <v>2.9250000000000001E-3</v>
      </c>
      <c r="E913" s="353">
        <v>4.8953E-3</v>
      </c>
      <c r="F913" s="354">
        <v>8.2331000000000001E-3</v>
      </c>
    </row>
    <row r="914" spans="1:6" ht="12" thickBot="1">
      <c r="A914" s="352">
        <v>40428</v>
      </c>
      <c r="B914" s="353">
        <v>2.5766000000000001E-3</v>
      </c>
      <c r="C914" s="353">
        <v>2.7437999999999998E-3</v>
      </c>
      <c r="D914" s="353">
        <v>2.9188E-3</v>
      </c>
      <c r="E914" s="353">
        <v>4.8875000000000004E-3</v>
      </c>
      <c r="F914" s="354">
        <v>8.2594000000000001E-3</v>
      </c>
    </row>
    <row r="915" spans="1:6" ht="12" thickBot="1">
      <c r="A915" s="352">
        <v>40427</v>
      </c>
      <c r="B915" s="353">
        <v>2.5766000000000001E-3</v>
      </c>
      <c r="C915" s="353">
        <v>2.7437999999999998E-3</v>
      </c>
      <c r="D915" s="353">
        <v>2.9218999999999998E-3</v>
      </c>
      <c r="E915" s="353">
        <v>4.8922000000000002E-3</v>
      </c>
      <c r="F915" s="354">
        <v>8.3006E-3</v>
      </c>
    </row>
    <row r="916" spans="1:6" ht="12" thickBot="1">
      <c r="A916" s="352">
        <v>40424</v>
      </c>
      <c r="B916" s="353">
        <v>2.5780999999999998E-3</v>
      </c>
      <c r="C916" s="353">
        <v>2.7469E-3</v>
      </c>
      <c r="D916" s="353">
        <v>2.9280999999999999E-3</v>
      </c>
      <c r="E916" s="353">
        <v>4.9363000000000002E-3</v>
      </c>
      <c r="F916" s="354">
        <v>8.3488E-3</v>
      </c>
    </row>
    <row r="917" spans="1:6" ht="12" thickBot="1">
      <c r="A917" s="352">
        <v>40423</v>
      </c>
      <c r="B917" s="353">
        <v>2.5780999999999998E-3</v>
      </c>
      <c r="C917" s="353">
        <v>2.7469E-3</v>
      </c>
      <c r="D917" s="353">
        <v>2.9437999999999999E-3</v>
      </c>
      <c r="E917" s="353">
        <v>4.9563000000000003E-3</v>
      </c>
      <c r="F917" s="354">
        <v>8.3913000000000008E-3</v>
      </c>
    </row>
    <row r="918" spans="1:6" ht="12" thickBot="1">
      <c r="A918" s="352">
        <v>40422</v>
      </c>
      <c r="B918" s="353">
        <v>2.5780999999999998E-3</v>
      </c>
      <c r="C918" s="353">
        <v>2.7469E-3</v>
      </c>
      <c r="D918" s="353">
        <v>2.9562999999999998E-3</v>
      </c>
      <c r="E918" s="353">
        <v>4.9624999999999999E-3</v>
      </c>
      <c r="F918" s="354">
        <v>8.3987999999999997E-3</v>
      </c>
    </row>
    <row r="919" spans="1:6" ht="12" thickBot="1">
      <c r="A919" s="352">
        <v>40421</v>
      </c>
      <c r="B919" s="353">
        <v>2.5780999999999998E-3</v>
      </c>
      <c r="C919" s="353">
        <v>2.7469E-3</v>
      </c>
      <c r="D919" s="353">
        <v>2.9562999999999998E-3</v>
      </c>
      <c r="E919" s="353">
        <v>4.9668999999999998E-3</v>
      </c>
      <c r="F919" s="354">
        <v>8.4305999999999999E-3</v>
      </c>
    </row>
    <row r="920" spans="1:6" ht="12" thickBot="1">
      <c r="A920" s="352">
        <v>40420</v>
      </c>
      <c r="B920" s="353">
        <v>2.5937999999999998E-3</v>
      </c>
      <c r="C920" s="353">
        <v>2.7531000000000001E-3</v>
      </c>
      <c r="D920" s="353">
        <v>2.9688000000000002E-3</v>
      </c>
      <c r="E920" s="353">
        <v>5.0318999999999997E-3</v>
      </c>
      <c r="F920" s="354">
        <v>8.5830999999999998E-3</v>
      </c>
    </row>
    <row r="921" spans="1:6" ht="12" thickBot="1">
      <c r="A921" s="352">
        <v>40417</v>
      </c>
      <c r="B921" s="353">
        <v>2.5937999999999998E-3</v>
      </c>
      <c r="C921" s="353">
        <v>2.7531000000000001E-3</v>
      </c>
      <c r="D921" s="353">
        <v>2.9688000000000002E-3</v>
      </c>
      <c r="E921" s="353">
        <v>5.0318999999999997E-3</v>
      </c>
      <c r="F921" s="354">
        <v>8.5830999999999998E-3</v>
      </c>
    </row>
    <row r="922" spans="1:6" ht="12" thickBot="1">
      <c r="A922" s="352">
        <v>40416</v>
      </c>
      <c r="B922" s="353">
        <v>2.6031000000000001E-3</v>
      </c>
      <c r="C922" s="353">
        <v>2.7531000000000001E-3</v>
      </c>
      <c r="D922" s="353">
        <v>2.9938E-3</v>
      </c>
      <c r="E922" s="353">
        <v>5.0724999999999998E-3</v>
      </c>
      <c r="F922" s="354">
        <v>8.6531000000000004E-3</v>
      </c>
    </row>
    <row r="923" spans="1:6" ht="12" thickBot="1">
      <c r="A923" s="352">
        <v>40415</v>
      </c>
      <c r="B923" s="353">
        <v>2.6156E-3</v>
      </c>
      <c r="C923" s="353">
        <v>2.7969000000000002E-3</v>
      </c>
      <c r="D923" s="353">
        <v>3.0374999999999998E-3</v>
      </c>
      <c r="E923" s="353">
        <v>5.1124999999999999E-3</v>
      </c>
      <c r="F923" s="354">
        <v>8.6999999999999994E-3</v>
      </c>
    </row>
    <row r="924" spans="1:6" ht="12" thickBot="1">
      <c r="A924" s="352">
        <v>40414</v>
      </c>
      <c r="B924" s="353">
        <v>2.6156E-3</v>
      </c>
      <c r="C924" s="353">
        <v>2.8313000000000001E-3</v>
      </c>
      <c r="D924" s="353">
        <v>3.075E-3</v>
      </c>
      <c r="E924" s="353">
        <v>5.1831000000000004E-3</v>
      </c>
      <c r="F924" s="354">
        <v>8.7594000000000005E-3</v>
      </c>
    </row>
    <row r="925" spans="1:6" ht="12" thickBot="1">
      <c r="A925" s="352">
        <v>40413</v>
      </c>
      <c r="B925" s="353">
        <v>2.6375000000000001E-3</v>
      </c>
      <c r="C925" s="353">
        <v>2.8906000000000001E-3</v>
      </c>
      <c r="D925" s="353">
        <v>3.1749999999999999E-3</v>
      </c>
      <c r="E925" s="353">
        <v>5.3375000000000002E-3</v>
      </c>
      <c r="F925" s="354">
        <v>8.9425000000000008E-3</v>
      </c>
    </row>
    <row r="926" spans="1:6" ht="12" thickBot="1">
      <c r="A926" s="352">
        <v>40410</v>
      </c>
      <c r="B926" s="353">
        <v>2.6438E-3</v>
      </c>
      <c r="C926" s="353">
        <v>2.9594000000000001E-3</v>
      </c>
      <c r="D926" s="353">
        <v>3.2921999999999999E-3</v>
      </c>
      <c r="E926" s="353">
        <v>5.4562999999999999E-3</v>
      </c>
      <c r="F926" s="354">
        <v>9.0638000000000003E-3</v>
      </c>
    </row>
    <row r="927" spans="1:6" ht="12" thickBot="1">
      <c r="A927" s="352">
        <v>40409</v>
      </c>
      <c r="B927" s="353">
        <v>2.6469000000000002E-3</v>
      </c>
      <c r="C927" s="353">
        <v>2.9968999999999998E-3</v>
      </c>
      <c r="D927" s="353">
        <v>3.3906000000000001E-3</v>
      </c>
      <c r="E927" s="353">
        <v>5.5593999999999999E-3</v>
      </c>
      <c r="F927" s="354">
        <v>9.1918999999999994E-3</v>
      </c>
    </row>
    <row r="928" spans="1:6" ht="12" thickBot="1">
      <c r="A928" s="352">
        <v>40408</v>
      </c>
      <c r="B928" s="353">
        <v>2.6624999999999999E-3</v>
      </c>
      <c r="C928" s="353">
        <v>3.0000000000000001E-3</v>
      </c>
      <c r="D928" s="353">
        <v>3.4546999999999998E-3</v>
      </c>
      <c r="E928" s="353">
        <v>5.6844E-3</v>
      </c>
      <c r="F928" s="354">
        <v>9.3094000000000007E-3</v>
      </c>
    </row>
    <row r="929" spans="1:6" ht="12" thickBot="1">
      <c r="A929" s="352">
        <v>40407</v>
      </c>
      <c r="B929" s="353">
        <v>2.6656000000000002E-3</v>
      </c>
      <c r="C929" s="353">
        <v>3.0344E-3</v>
      </c>
      <c r="D929" s="353">
        <v>3.5219000000000001E-3</v>
      </c>
      <c r="E929" s="353">
        <v>5.7650000000000002E-3</v>
      </c>
      <c r="F929" s="354">
        <v>9.4619000000000005E-3</v>
      </c>
    </row>
    <row r="930" spans="1:6" ht="12" thickBot="1">
      <c r="A930" s="352">
        <v>40403</v>
      </c>
      <c r="B930" s="353">
        <v>2.7187999999999999E-3</v>
      </c>
      <c r="C930" s="353">
        <v>3.1313000000000001E-3</v>
      </c>
      <c r="D930" s="353">
        <v>3.6938000000000001E-3</v>
      </c>
      <c r="E930" s="353">
        <v>5.9188000000000001E-3</v>
      </c>
      <c r="F930" s="354">
        <v>9.6530999999999995E-3</v>
      </c>
    </row>
    <row r="931" spans="1:6" ht="12" thickBot="1">
      <c r="A931" s="352">
        <v>40402</v>
      </c>
      <c r="B931" s="353">
        <v>2.7594E-3</v>
      </c>
      <c r="C931" s="353">
        <v>3.1749999999999999E-3</v>
      </c>
      <c r="D931" s="353">
        <v>3.7624999999999998E-3</v>
      </c>
      <c r="E931" s="353">
        <v>5.9405999999999999E-3</v>
      </c>
      <c r="F931" s="354">
        <v>9.6062999999999999E-3</v>
      </c>
    </row>
    <row r="932" spans="1:6" ht="12" thickBot="1">
      <c r="A932" s="352">
        <v>40401</v>
      </c>
      <c r="B932" s="353">
        <v>2.7937999999999999E-3</v>
      </c>
      <c r="C932" s="353">
        <v>3.2469E-3</v>
      </c>
      <c r="D932" s="353">
        <v>3.8438000000000001E-3</v>
      </c>
      <c r="E932" s="353">
        <v>6.025E-3</v>
      </c>
      <c r="F932" s="354">
        <v>9.7075000000000009E-3</v>
      </c>
    </row>
    <row r="933" spans="1:6" ht="12" thickBot="1">
      <c r="A933" s="352">
        <v>40400</v>
      </c>
      <c r="B933" s="353">
        <v>2.8563E-3</v>
      </c>
      <c r="C933" s="353">
        <v>3.3313000000000001E-3</v>
      </c>
      <c r="D933" s="353">
        <v>3.9781E-3</v>
      </c>
      <c r="E933" s="353">
        <v>6.2030999999999996E-3</v>
      </c>
      <c r="F933" s="354">
        <v>9.9375000000000002E-3</v>
      </c>
    </row>
    <row r="934" spans="1:6" ht="12" thickBot="1">
      <c r="A934" s="352">
        <v>40399</v>
      </c>
      <c r="B934" s="353">
        <v>2.8999999999999998E-3</v>
      </c>
      <c r="C934" s="353">
        <v>3.375E-3</v>
      </c>
      <c r="D934" s="353">
        <v>4.0438000000000002E-3</v>
      </c>
      <c r="E934" s="353">
        <v>6.2750000000000002E-3</v>
      </c>
      <c r="F934" s="354">
        <v>9.9500000000000005E-3</v>
      </c>
    </row>
    <row r="935" spans="1:6" ht="12" thickBot="1">
      <c r="A935" s="352">
        <v>40396</v>
      </c>
      <c r="B935" s="353">
        <v>2.9344000000000002E-3</v>
      </c>
      <c r="C935" s="353">
        <v>3.4156E-3</v>
      </c>
      <c r="D935" s="353">
        <v>4.1124999999999998E-3</v>
      </c>
      <c r="E935" s="353">
        <v>6.3375000000000003E-3</v>
      </c>
      <c r="F935" s="354">
        <v>1.00313E-2</v>
      </c>
    </row>
    <row r="936" spans="1:6" ht="12" thickBot="1">
      <c r="A936" s="352">
        <v>40395</v>
      </c>
      <c r="B936" s="353">
        <v>2.9469000000000001E-3</v>
      </c>
      <c r="C936" s="353">
        <v>3.4499999999999999E-3</v>
      </c>
      <c r="D936" s="353">
        <v>4.1812999999999998E-3</v>
      </c>
      <c r="E936" s="353">
        <v>6.3893999999999999E-3</v>
      </c>
      <c r="F936" s="354">
        <v>1.0096900000000001E-2</v>
      </c>
    </row>
    <row r="937" spans="1:6" ht="12" thickBot="1">
      <c r="A937" s="352">
        <v>40394</v>
      </c>
      <c r="B937" s="353">
        <v>2.9531000000000002E-3</v>
      </c>
      <c r="C937" s="353">
        <v>3.4688000000000002E-3</v>
      </c>
      <c r="D937" s="353">
        <v>4.2405999999999998E-3</v>
      </c>
      <c r="E937" s="353">
        <v>6.3831000000000001E-3</v>
      </c>
      <c r="F937" s="354">
        <v>1.00156E-2</v>
      </c>
    </row>
    <row r="938" spans="1:6" ht="12" thickBot="1">
      <c r="A938" s="352">
        <v>40393</v>
      </c>
      <c r="B938" s="353">
        <v>3.0000000000000001E-3</v>
      </c>
      <c r="C938" s="353">
        <v>3.5312999999999998E-3</v>
      </c>
      <c r="D938" s="353">
        <v>4.3468999999999999E-3</v>
      </c>
      <c r="E938" s="353">
        <v>6.4955999999999998E-3</v>
      </c>
      <c r="F938" s="354">
        <v>1.0150599999999999E-2</v>
      </c>
    </row>
    <row r="939" spans="1:6" ht="12" thickBot="1">
      <c r="A939" s="352">
        <v>40392</v>
      </c>
      <c r="B939" s="353">
        <v>3.0281000000000001E-3</v>
      </c>
      <c r="C939" s="353">
        <v>3.6094E-3</v>
      </c>
      <c r="D939" s="353">
        <v>4.4469000000000002E-3</v>
      </c>
      <c r="E939" s="353">
        <v>6.5994000000000001E-3</v>
      </c>
      <c r="F939" s="354">
        <v>1.0297499999999999E-2</v>
      </c>
    </row>
    <row r="940" spans="1:6" ht="12" thickBot="1">
      <c r="A940" s="352">
        <v>40389</v>
      </c>
      <c r="B940" s="353">
        <v>3.0500000000000002E-3</v>
      </c>
      <c r="C940" s="353">
        <v>3.7093999999999999E-3</v>
      </c>
      <c r="D940" s="353">
        <v>4.5374999999999999E-3</v>
      </c>
      <c r="E940" s="353">
        <v>6.6781000000000002E-3</v>
      </c>
      <c r="F940" s="354">
        <v>1.03669E-2</v>
      </c>
    </row>
    <row r="941" spans="1:6" ht="12" thickBot="1">
      <c r="A941" s="352">
        <v>40388</v>
      </c>
      <c r="B941" s="353">
        <v>3.1156000000000001E-3</v>
      </c>
      <c r="C941" s="353">
        <v>3.8094000000000001E-3</v>
      </c>
      <c r="D941" s="353">
        <v>4.6563000000000004E-3</v>
      </c>
      <c r="E941" s="353">
        <v>6.7768999999999998E-3</v>
      </c>
      <c r="F941" s="354">
        <v>1.0504400000000001E-2</v>
      </c>
    </row>
    <row r="942" spans="1:6" ht="12" thickBot="1">
      <c r="A942" s="352">
        <v>40387</v>
      </c>
      <c r="B942" s="353">
        <v>3.1562999999999999E-3</v>
      </c>
      <c r="C942" s="353">
        <v>3.8906000000000001E-3</v>
      </c>
      <c r="D942" s="353">
        <v>4.7499999999999999E-3</v>
      </c>
      <c r="E942" s="353">
        <v>6.8793999999999999E-3</v>
      </c>
      <c r="F942" s="354">
        <v>1.06438E-2</v>
      </c>
    </row>
    <row r="943" spans="1:6" ht="12" thickBot="1">
      <c r="A943" s="352">
        <v>40386</v>
      </c>
      <c r="B943" s="353">
        <v>3.2063E-3</v>
      </c>
      <c r="C943" s="353">
        <v>3.9281000000000003E-3</v>
      </c>
      <c r="D943" s="353">
        <v>4.8124999999999999E-3</v>
      </c>
      <c r="E943" s="353">
        <v>6.9430999999999998E-3</v>
      </c>
      <c r="F943" s="354">
        <v>1.07469E-2</v>
      </c>
    </row>
    <row r="944" spans="1:6" ht="12" thickBot="1">
      <c r="A944" s="352">
        <v>40385</v>
      </c>
      <c r="B944" s="353">
        <v>3.2499999999999999E-3</v>
      </c>
      <c r="C944" s="353">
        <v>4.0124999999999996E-3</v>
      </c>
      <c r="D944" s="353">
        <v>4.875E-3</v>
      </c>
      <c r="E944" s="353">
        <v>6.9769000000000003E-3</v>
      </c>
      <c r="F944" s="354">
        <v>1.08031E-2</v>
      </c>
    </row>
    <row r="945" spans="1:6" ht="12" thickBot="1">
      <c r="A945" s="352">
        <v>40382</v>
      </c>
      <c r="B945" s="353">
        <v>3.2688000000000001E-3</v>
      </c>
      <c r="C945" s="353">
        <v>4.0562999999999997E-3</v>
      </c>
      <c r="D945" s="353">
        <v>4.9312999999999996E-3</v>
      </c>
      <c r="E945" s="353">
        <v>6.9699999999999996E-3</v>
      </c>
      <c r="F945" s="354">
        <v>1.07469E-2</v>
      </c>
    </row>
    <row r="946" spans="1:6" ht="12" thickBot="1">
      <c r="A946" s="352">
        <v>40381</v>
      </c>
      <c r="B946" s="353">
        <v>3.2875000000000001E-3</v>
      </c>
      <c r="C946" s="353">
        <v>4.0937999999999999E-3</v>
      </c>
      <c r="D946" s="353">
        <v>4.9781000000000001E-3</v>
      </c>
      <c r="E946" s="353">
        <v>7.0074999999999998E-3</v>
      </c>
      <c r="F946" s="354">
        <v>1.0800000000000001E-2</v>
      </c>
    </row>
    <row r="947" spans="1:6" ht="12" thickBot="1">
      <c r="A947" s="352">
        <v>40380</v>
      </c>
      <c r="B947" s="353">
        <v>3.3062999999999999E-3</v>
      </c>
      <c r="C947" s="353">
        <v>4.1343999999999999E-3</v>
      </c>
      <c r="D947" s="353">
        <v>5.0625000000000002E-3</v>
      </c>
      <c r="E947" s="353">
        <v>7.0263000000000001E-3</v>
      </c>
      <c r="F947" s="354">
        <v>1.0874999999999999E-2</v>
      </c>
    </row>
    <row r="948" spans="1:6" ht="12" thickBot="1">
      <c r="A948" s="352">
        <v>40378</v>
      </c>
      <c r="B948" s="353">
        <v>3.3687999999999999E-3</v>
      </c>
      <c r="C948" s="353">
        <v>4.2188E-3</v>
      </c>
      <c r="D948" s="353">
        <v>5.1780999999999997E-3</v>
      </c>
      <c r="E948" s="353">
        <v>7.1812999999999998E-3</v>
      </c>
      <c r="F948" s="354">
        <v>1.1165599999999999E-2</v>
      </c>
    </row>
    <row r="949" spans="1:6" ht="12" thickBot="1">
      <c r="A949" s="352">
        <v>40375</v>
      </c>
      <c r="B949" s="353">
        <v>3.3812999999999998E-3</v>
      </c>
      <c r="C949" s="353">
        <v>4.2374999999999999E-3</v>
      </c>
      <c r="D949" s="353">
        <v>5.2125000000000001E-3</v>
      </c>
      <c r="E949" s="353">
        <v>7.2655999999999997E-3</v>
      </c>
      <c r="F949" s="354">
        <v>1.1268800000000001E-2</v>
      </c>
    </row>
    <row r="950" spans="1:6" ht="12" thickBot="1">
      <c r="A950" s="352">
        <v>40374</v>
      </c>
      <c r="B950" s="353">
        <v>3.4063000000000001E-3</v>
      </c>
      <c r="C950" s="353">
        <v>4.2405999999999998E-3</v>
      </c>
      <c r="D950" s="353">
        <v>5.2468999999999997E-3</v>
      </c>
      <c r="E950" s="353">
        <v>7.2988000000000003E-3</v>
      </c>
      <c r="F950" s="354">
        <v>1.13375E-2</v>
      </c>
    </row>
    <row r="951" spans="1:6" ht="12" thickBot="1">
      <c r="A951" s="352">
        <v>40373</v>
      </c>
      <c r="B951" s="353">
        <v>3.4093999999999999E-3</v>
      </c>
      <c r="C951" s="353">
        <v>4.2531000000000001E-3</v>
      </c>
      <c r="D951" s="353">
        <v>5.2563000000000002E-3</v>
      </c>
      <c r="E951" s="353">
        <v>7.3131000000000003E-3</v>
      </c>
      <c r="F951" s="354">
        <v>1.1406299999999999E-2</v>
      </c>
    </row>
    <row r="952" spans="1:6" ht="12" thickBot="1">
      <c r="A952" s="352">
        <v>40372</v>
      </c>
      <c r="B952" s="353">
        <v>3.4093999999999999E-3</v>
      </c>
      <c r="C952" s="353">
        <v>4.2531000000000001E-3</v>
      </c>
      <c r="D952" s="353">
        <v>5.2594E-3</v>
      </c>
      <c r="E952" s="353">
        <v>7.3312999999999998E-3</v>
      </c>
      <c r="F952" s="354">
        <v>1.145E-2</v>
      </c>
    </row>
    <row r="953" spans="1:6" ht="12" thickBot="1">
      <c r="A953" s="352">
        <v>40371</v>
      </c>
      <c r="B953" s="353">
        <v>3.4093999999999999E-3</v>
      </c>
      <c r="C953" s="353">
        <v>4.2531000000000001E-3</v>
      </c>
      <c r="D953" s="353">
        <v>5.2556E-3</v>
      </c>
      <c r="E953" s="353">
        <v>7.3163000000000004E-3</v>
      </c>
      <c r="F953" s="354">
        <v>1.14375E-2</v>
      </c>
    </row>
    <row r="954" spans="1:6" ht="12" thickBot="1">
      <c r="A954" s="352">
        <v>40368</v>
      </c>
      <c r="B954" s="353">
        <v>3.4093999999999999E-3</v>
      </c>
      <c r="C954" s="353">
        <v>4.2531000000000001E-3</v>
      </c>
      <c r="D954" s="353">
        <v>5.2681000000000004E-3</v>
      </c>
      <c r="E954" s="353">
        <v>7.3318999999999997E-3</v>
      </c>
      <c r="F954" s="354">
        <v>1.14625E-2</v>
      </c>
    </row>
    <row r="955" spans="1:6" ht="12" thickBot="1">
      <c r="A955" s="352">
        <v>40367</v>
      </c>
      <c r="B955" s="353">
        <v>3.4250000000000001E-3</v>
      </c>
      <c r="C955" s="353">
        <v>4.2563000000000002E-3</v>
      </c>
      <c r="D955" s="353">
        <v>5.2750000000000002E-3</v>
      </c>
      <c r="E955" s="353">
        <v>7.3718999999999998E-3</v>
      </c>
      <c r="F955" s="354">
        <v>1.15438E-2</v>
      </c>
    </row>
    <row r="956" spans="1:6" ht="12" thickBot="1">
      <c r="A956" s="352">
        <v>40366</v>
      </c>
      <c r="B956" s="353">
        <v>3.4499999999999999E-3</v>
      </c>
      <c r="C956" s="353">
        <v>4.2813E-3</v>
      </c>
      <c r="D956" s="353">
        <v>5.2988000000000002E-3</v>
      </c>
      <c r="E956" s="353">
        <v>7.4244000000000003E-3</v>
      </c>
      <c r="F956" s="354">
        <v>1.16188E-2</v>
      </c>
    </row>
    <row r="957" spans="1:6" ht="12" thickBot="1">
      <c r="A957" s="352">
        <v>40365</v>
      </c>
      <c r="B957" s="353">
        <v>3.4624999999999999E-3</v>
      </c>
      <c r="C957" s="353">
        <v>4.2938000000000004E-3</v>
      </c>
      <c r="D957" s="353">
        <v>5.3112999999999997E-3</v>
      </c>
      <c r="E957" s="353">
        <v>7.4244000000000003E-3</v>
      </c>
      <c r="F957" s="354">
        <v>1.1631300000000001E-2</v>
      </c>
    </row>
    <row r="958" spans="1:6" ht="12" thickBot="1">
      <c r="A958" s="352">
        <v>40361</v>
      </c>
      <c r="B958" s="353">
        <v>3.4749999999999998E-3</v>
      </c>
      <c r="C958" s="353">
        <v>4.3062999999999999E-3</v>
      </c>
      <c r="D958" s="353">
        <v>5.3363000000000004E-3</v>
      </c>
      <c r="E958" s="353">
        <v>7.5005999999999996E-3</v>
      </c>
      <c r="F958" s="354">
        <v>1.17188E-2</v>
      </c>
    </row>
    <row r="959" spans="1:6" ht="12" thickBot="1">
      <c r="A959" s="352">
        <v>40360</v>
      </c>
      <c r="B959" s="353">
        <v>3.4719E-3</v>
      </c>
      <c r="C959" s="353">
        <v>4.3062999999999999E-3</v>
      </c>
      <c r="D959" s="353">
        <v>5.3331000000000003E-3</v>
      </c>
      <c r="E959" s="353">
        <v>7.5100000000000002E-3</v>
      </c>
      <c r="F959" s="354">
        <v>1.17313E-2</v>
      </c>
    </row>
    <row r="960" spans="1:6" ht="12" thickBot="1">
      <c r="A960" s="352">
        <v>40359</v>
      </c>
      <c r="B960" s="353">
        <v>3.4843999999999999E-3</v>
      </c>
      <c r="C960" s="353">
        <v>4.3188000000000002E-3</v>
      </c>
      <c r="D960" s="353">
        <v>5.3394000000000002E-3</v>
      </c>
      <c r="E960" s="353">
        <v>7.5249999999999996E-3</v>
      </c>
      <c r="F960" s="354">
        <v>1.17313E-2</v>
      </c>
    </row>
    <row r="961" spans="1:6" ht="12" thickBot="1">
      <c r="A961" s="352">
        <v>40358</v>
      </c>
      <c r="B961" s="353">
        <v>3.4562999999999998E-3</v>
      </c>
      <c r="C961" s="353">
        <v>4.3125000000000004E-3</v>
      </c>
      <c r="D961" s="353">
        <v>5.3299999999999997E-3</v>
      </c>
      <c r="E961" s="353">
        <v>7.5069000000000004E-3</v>
      </c>
      <c r="F961" s="354">
        <v>1.17438E-2</v>
      </c>
    </row>
    <row r="962" spans="1:6" ht="12" thickBot="1">
      <c r="A962" s="352">
        <v>40357</v>
      </c>
      <c r="B962" s="353">
        <v>3.4719E-3</v>
      </c>
      <c r="C962" s="353">
        <v>4.3062999999999999E-3</v>
      </c>
      <c r="D962" s="353">
        <v>5.3344000000000004E-3</v>
      </c>
      <c r="E962" s="353">
        <v>7.4719000000000001E-3</v>
      </c>
      <c r="F962" s="354">
        <v>1.1756300000000001E-2</v>
      </c>
    </row>
    <row r="963" spans="1:6" ht="12" thickBot="1">
      <c r="A963" s="352">
        <v>40354</v>
      </c>
      <c r="B963" s="353">
        <v>3.4719E-3</v>
      </c>
      <c r="C963" s="353">
        <v>4.3062999999999999E-3</v>
      </c>
      <c r="D963" s="353">
        <v>5.3468999999999999E-3</v>
      </c>
      <c r="E963" s="353">
        <v>7.5319000000000002E-3</v>
      </c>
      <c r="F963" s="354">
        <v>1.1831299999999999E-2</v>
      </c>
    </row>
    <row r="964" spans="1:6" ht="12" thickBot="1">
      <c r="A964" s="352">
        <v>40353</v>
      </c>
      <c r="B964" s="353">
        <v>3.4719E-3</v>
      </c>
      <c r="C964" s="353">
        <v>4.3188000000000002E-3</v>
      </c>
      <c r="D964" s="353">
        <v>5.3718999999999998E-3</v>
      </c>
      <c r="E964" s="353">
        <v>7.5193999999999999E-3</v>
      </c>
      <c r="F964" s="354">
        <v>1.17938E-2</v>
      </c>
    </row>
    <row r="965" spans="1:6" ht="12" thickBot="1">
      <c r="A965" s="352">
        <v>40352</v>
      </c>
      <c r="B965" s="353">
        <v>3.4719E-3</v>
      </c>
      <c r="C965" s="353">
        <v>4.3280999999999997E-3</v>
      </c>
      <c r="D965" s="353">
        <v>5.3825000000000001E-3</v>
      </c>
      <c r="E965" s="353">
        <v>7.4869000000000003E-3</v>
      </c>
      <c r="F965" s="354">
        <v>1.1787499999999999E-2</v>
      </c>
    </row>
    <row r="966" spans="1:6" ht="12" thickBot="1">
      <c r="A966" s="352">
        <v>40351</v>
      </c>
      <c r="B966" s="353">
        <v>3.4719E-3</v>
      </c>
      <c r="C966" s="353">
        <v>4.3280999999999997E-3</v>
      </c>
      <c r="D966" s="353">
        <v>5.3825000000000001E-3</v>
      </c>
      <c r="E966" s="353">
        <v>7.4700000000000001E-3</v>
      </c>
      <c r="F966" s="354">
        <v>1.175E-2</v>
      </c>
    </row>
    <row r="967" spans="1:6" ht="12" thickBot="1">
      <c r="A967" s="352">
        <v>40350</v>
      </c>
      <c r="B967" s="353">
        <v>3.4719E-3</v>
      </c>
      <c r="C967" s="353">
        <v>4.3280999999999997E-3</v>
      </c>
      <c r="D967" s="353">
        <v>5.3838000000000002E-3</v>
      </c>
      <c r="E967" s="353">
        <v>7.4955999999999998E-3</v>
      </c>
      <c r="F967" s="354">
        <v>1.1837500000000001E-2</v>
      </c>
    </row>
    <row r="968" spans="1:6" ht="12" thickBot="1">
      <c r="A968" s="352">
        <v>40347</v>
      </c>
      <c r="B968" s="353">
        <v>3.4734000000000002E-3</v>
      </c>
      <c r="C968" s="353">
        <v>4.3249999999999999E-3</v>
      </c>
      <c r="D968" s="353">
        <v>5.3819000000000002E-3</v>
      </c>
      <c r="E968" s="353">
        <v>7.5062999999999996E-3</v>
      </c>
      <c r="F968" s="354">
        <v>1.1831299999999999E-2</v>
      </c>
    </row>
    <row r="969" spans="1:6" ht="12" thickBot="1">
      <c r="A969" s="352">
        <v>40346</v>
      </c>
      <c r="B969" s="353">
        <v>3.4749999999999998E-3</v>
      </c>
      <c r="C969" s="353">
        <v>4.3344000000000004E-3</v>
      </c>
      <c r="D969" s="353">
        <v>5.3924999999999997E-3</v>
      </c>
      <c r="E969" s="353">
        <v>7.5475000000000004E-3</v>
      </c>
      <c r="F969" s="354">
        <v>1.1900000000000001E-2</v>
      </c>
    </row>
    <row r="970" spans="1:6" ht="12" thickBot="1">
      <c r="A970" s="352">
        <v>40345</v>
      </c>
      <c r="B970" s="353">
        <v>3.4843999999999999E-3</v>
      </c>
      <c r="C970" s="353">
        <v>4.3312999999999997E-3</v>
      </c>
      <c r="D970" s="353">
        <v>5.3893999999999999E-3</v>
      </c>
      <c r="E970" s="353">
        <v>7.5456000000000004E-3</v>
      </c>
      <c r="F970" s="354">
        <v>1.18875E-2</v>
      </c>
    </row>
    <row r="971" spans="1:6" ht="12" thickBot="1">
      <c r="A971" s="352">
        <v>40344</v>
      </c>
      <c r="B971" s="353">
        <v>3.4968999999999998E-3</v>
      </c>
      <c r="C971" s="353">
        <v>4.3312999999999997E-3</v>
      </c>
      <c r="D971" s="353">
        <v>5.3893999999999999E-3</v>
      </c>
      <c r="E971" s="353">
        <v>7.5481000000000003E-3</v>
      </c>
      <c r="F971" s="354">
        <v>1.19156E-2</v>
      </c>
    </row>
    <row r="972" spans="1:6" ht="12" thickBot="1">
      <c r="A972" s="352">
        <v>40340</v>
      </c>
      <c r="B972" s="353">
        <v>3.4968999999999998E-3</v>
      </c>
      <c r="C972" s="353">
        <v>4.3499999999999997E-3</v>
      </c>
      <c r="D972" s="353">
        <v>5.3705999999999997E-3</v>
      </c>
      <c r="E972" s="353">
        <v>7.4612999999999997E-3</v>
      </c>
      <c r="F972" s="354">
        <v>1.18031E-2</v>
      </c>
    </row>
    <row r="973" spans="1:6" ht="12" thickBot="1">
      <c r="A973" s="352">
        <v>40339</v>
      </c>
      <c r="B973" s="353">
        <v>3.4968999999999998E-3</v>
      </c>
      <c r="C973" s="353">
        <v>4.3499999999999997E-3</v>
      </c>
      <c r="D973" s="353">
        <v>5.3644000000000001E-3</v>
      </c>
      <c r="E973" s="353">
        <v>7.4938000000000001E-3</v>
      </c>
      <c r="F973" s="354">
        <v>1.1825E-2</v>
      </c>
    </row>
    <row r="974" spans="1:6" ht="12" thickBot="1">
      <c r="A974" s="352">
        <v>40338</v>
      </c>
      <c r="B974" s="353">
        <v>3.5030999999999999E-3</v>
      </c>
      <c r="C974" s="353">
        <v>4.3499999999999997E-3</v>
      </c>
      <c r="D974" s="353">
        <v>5.3655999999999999E-3</v>
      </c>
      <c r="E974" s="353">
        <v>7.5081000000000002E-3</v>
      </c>
      <c r="F974" s="354">
        <v>1.19063E-2</v>
      </c>
    </row>
    <row r="975" spans="1:6" ht="12" thickBot="1">
      <c r="A975" s="352">
        <v>40337</v>
      </c>
      <c r="B975" s="353">
        <v>3.5000000000000001E-3</v>
      </c>
      <c r="C975" s="353">
        <v>4.3531000000000004E-3</v>
      </c>
      <c r="D975" s="353">
        <v>5.3688E-3</v>
      </c>
      <c r="E975" s="353">
        <v>7.5363000000000001E-3</v>
      </c>
      <c r="F975" s="354">
        <v>1.19656E-2</v>
      </c>
    </row>
    <row r="976" spans="1:6" ht="12" thickBot="1">
      <c r="A976" s="352">
        <v>40333</v>
      </c>
      <c r="B976" s="353">
        <v>3.5000000000000001E-3</v>
      </c>
      <c r="C976" s="353">
        <v>4.3562999999999996E-3</v>
      </c>
      <c r="D976" s="353">
        <v>5.3655999999999999E-3</v>
      </c>
      <c r="E976" s="353">
        <v>7.4919000000000001E-3</v>
      </c>
      <c r="F976" s="354">
        <v>1.19656E-2</v>
      </c>
    </row>
    <row r="977" spans="1:6" ht="12" thickBot="1">
      <c r="A977" s="352">
        <v>40332</v>
      </c>
      <c r="B977" s="353">
        <v>3.5087999999999999E-3</v>
      </c>
      <c r="C977" s="353">
        <v>4.3687999999999999E-3</v>
      </c>
      <c r="D977" s="353">
        <v>5.3781000000000002E-3</v>
      </c>
      <c r="E977" s="353">
        <v>7.5300000000000002E-3</v>
      </c>
      <c r="F977" s="354">
        <v>1.205E-2</v>
      </c>
    </row>
    <row r="978" spans="1:6" ht="12" thickBot="1">
      <c r="A978" s="352">
        <v>40331</v>
      </c>
      <c r="B978" s="353">
        <v>3.5087999999999999E-3</v>
      </c>
      <c r="C978" s="353">
        <v>4.3687999999999999E-3</v>
      </c>
      <c r="D978" s="353">
        <v>5.3749999999999996E-3</v>
      </c>
      <c r="E978" s="353">
        <v>7.5363000000000001E-3</v>
      </c>
      <c r="F978" s="354">
        <v>1.20625E-2</v>
      </c>
    </row>
    <row r="979" spans="1:6" ht="12" thickBot="1">
      <c r="A979" s="352">
        <v>40330</v>
      </c>
      <c r="B979" s="353">
        <v>3.5087999999999999E-3</v>
      </c>
      <c r="C979" s="353">
        <v>4.3438000000000001E-3</v>
      </c>
      <c r="D979" s="353">
        <v>5.3625000000000001E-3</v>
      </c>
      <c r="E979" s="353">
        <v>7.6112999999999997E-3</v>
      </c>
      <c r="F979" s="354">
        <v>1.2087499999999999E-2</v>
      </c>
    </row>
    <row r="980" spans="1:6" ht="12" thickBot="1">
      <c r="A980" s="352">
        <v>40329</v>
      </c>
      <c r="B980" s="353">
        <v>3.5125E-3</v>
      </c>
      <c r="C980" s="353">
        <v>4.3375000000000002E-3</v>
      </c>
      <c r="D980" s="353">
        <v>5.3625000000000001E-3</v>
      </c>
      <c r="E980" s="353">
        <v>7.5188E-3</v>
      </c>
      <c r="F980" s="354">
        <v>1.20406E-2</v>
      </c>
    </row>
    <row r="981" spans="1:6" ht="12" thickBot="1">
      <c r="A981" s="352">
        <v>40326</v>
      </c>
      <c r="B981" s="353">
        <v>3.5125E-3</v>
      </c>
      <c r="C981" s="353">
        <v>4.3375000000000002E-3</v>
      </c>
      <c r="D981" s="353">
        <v>5.3625000000000001E-3</v>
      </c>
      <c r="E981" s="353">
        <v>7.5188E-3</v>
      </c>
      <c r="F981" s="354">
        <v>1.20406E-2</v>
      </c>
    </row>
    <row r="982" spans="1:6" ht="12" thickBot="1">
      <c r="A982" s="352">
        <v>40325</v>
      </c>
      <c r="B982" s="353">
        <v>3.5374999999999998E-3</v>
      </c>
      <c r="C982" s="353">
        <v>4.3280999999999997E-3</v>
      </c>
      <c r="D982" s="353">
        <v>5.3844000000000001E-3</v>
      </c>
      <c r="E982" s="353">
        <v>7.5849999999999997E-3</v>
      </c>
      <c r="F982" s="354">
        <v>1.21263E-2</v>
      </c>
    </row>
    <row r="983" spans="1:6" ht="12" thickBot="1">
      <c r="A983" s="352">
        <v>40324</v>
      </c>
      <c r="B983" s="353">
        <v>3.5406000000000001E-3</v>
      </c>
      <c r="C983" s="353">
        <v>4.3406E-3</v>
      </c>
      <c r="D983" s="353">
        <v>5.3781000000000002E-3</v>
      </c>
      <c r="E983" s="353">
        <v>7.5788000000000001E-3</v>
      </c>
      <c r="F983" s="354">
        <v>1.218E-2</v>
      </c>
    </row>
    <row r="984" spans="1:6" ht="12" thickBot="1">
      <c r="A984" s="352">
        <v>40323</v>
      </c>
      <c r="B984" s="353">
        <v>3.5400000000000002E-3</v>
      </c>
      <c r="C984" s="353">
        <v>4.3200000000000001E-3</v>
      </c>
      <c r="D984" s="353">
        <v>5.3625000000000001E-3</v>
      </c>
      <c r="E984" s="353">
        <v>7.5912999999999996E-3</v>
      </c>
      <c r="F984" s="354">
        <v>1.22413E-2</v>
      </c>
    </row>
    <row r="985" spans="1:6" ht="12" thickBot="1">
      <c r="A985" s="352">
        <v>40322</v>
      </c>
      <c r="B985" s="353">
        <v>3.4524999999999998E-3</v>
      </c>
      <c r="C985" s="353">
        <v>4.1694000000000002E-3</v>
      </c>
      <c r="D985" s="353">
        <v>5.0968999999999997E-3</v>
      </c>
      <c r="E985" s="353">
        <v>7.1624999999999996E-3</v>
      </c>
      <c r="F985" s="354">
        <v>1.1765599999999999E-2</v>
      </c>
    </row>
    <row r="986" spans="1:6" ht="12" thickBot="1">
      <c r="A986" s="352">
        <v>40319</v>
      </c>
      <c r="B986" s="353">
        <v>3.4280999999999999E-3</v>
      </c>
      <c r="C986" s="353">
        <v>4.1155999999999996E-3</v>
      </c>
      <c r="D986" s="353">
        <v>4.9687999999999998E-3</v>
      </c>
      <c r="E986" s="353">
        <v>6.9563000000000003E-3</v>
      </c>
      <c r="F986" s="354">
        <v>1.15438E-2</v>
      </c>
    </row>
    <row r="987" spans="1:6" ht="12" thickBot="1">
      <c r="A987" s="352">
        <v>40318</v>
      </c>
      <c r="B987" s="353">
        <v>3.4131000000000001E-3</v>
      </c>
      <c r="C987" s="353">
        <v>4.0937999999999999E-3</v>
      </c>
      <c r="D987" s="353">
        <v>4.8405999999999996E-3</v>
      </c>
      <c r="E987" s="353">
        <v>6.7875000000000001E-3</v>
      </c>
      <c r="F987" s="354">
        <v>1.1350000000000001E-2</v>
      </c>
    </row>
    <row r="988" spans="1:6" ht="12" thickBot="1">
      <c r="A988" s="352">
        <v>40317</v>
      </c>
      <c r="B988" s="353">
        <v>3.4106000000000002E-3</v>
      </c>
      <c r="C988" s="353">
        <v>4.0638000000000002E-3</v>
      </c>
      <c r="D988" s="353">
        <v>4.7749999999999997E-3</v>
      </c>
      <c r="E988" s="353">
        <v>6.7337999999999999E-3</v>
      </c>
      <c r="F988" s="354">
        <v>1.1299999999999999E-2</v>
      </c>
    </row>
    <row r="989" spans="1:6" ht="12" thickBot="1">
      <c r="A989" s="352">
        <v>40316</v>
      </c>
      <c r="B989" s="353">
        <v>3.3969E-3</v>
      </c>
      <c r="C989" s="353">
        <v>3.9874999999999997E-3</v>
      </c>
      <c r="D989" s="353">
        <v>4.6468999999999998E-3</v>
      </c>
      <c r="E989" s="353">
        <v>6.5500000000000003E-3</v>
      </c>
      <c r="F989" s="354">
        <v>1.115E-2</v>
      </c>
    </row>
    <row r="990" spans="1:6" ht="12" thickBot="1">
      <c r="A990" s="352">
        <v>40312</v>
      </c>
      <c r="B990" s="353">
        <v>3.3774999999999999E-3</v>
      </c>
      <c r="C990" s="353">
        <v>3.8928000000000001E-3</v>
      </c>
      <c r="D990" s="353">
        <v>4.4505999999999999E-3</v>
      </c>
      <c r="E990" s="353">
        <v>6.3499999999999997E-3</v>
      </c>
      <c r="F990" s="354">
        <v>1.10563E-2</v>
      </c>
    </row>
    <row r="991" spans="1:6" ht="12" thickBot="1">
      <c r="A991" s="352">
        <v>40311</v>
      </c>
      <c r="B991" s="353">
        <v>3.3687999999999999E-3</v>
      </c>
      <c r="C991" s="353">
        <v>3.8338000000000001E-3</v>
      </c>
      <c r="D991" s="353">
        <v>4.3588000000000003E-3</v>
      </c>
      <c r="E991" s="353">
        <v>6.2262999999999997E-3</v>
      </c>
      <c r="F991" s="354">
        <v>1.09219E-2</v>
      </c>
    </row>
    <row r="992" spans="1:6" ht="12" thickBot="1">
      <c r="A992" s="352">
        <v>40310</v>
      </c>
      <c r="B992" s="353">
        <v>3.3812999999999998E-3</v>
      </c>
      <c r="C992" s="353">
        <v>3.8219E-3</v>
      </c>
      <c r="D992" s="353">
        <v>4.3019E-3</v>
      </c>
      <c r="E992" s="353">
        <v>6.2230999999999996E-3</v>
      </c>
      <c r="F992" s="354">
        <v>1.0975E-2</v>
      </c>
    </row>
    <row r="993" spans="1:6" ht="12" thickBot="1">
      <c r="A993" s="352">
        <v>40309</v>
      </c>
      <c r="B993" s="353">
        <v>3.375E-3</v>
      </c>
      <c r="C993" s="353">
        <v>3.8094000000000001E-3</v>
      </c>
      <c r="D993" s="353">
        <v>4.2281000000000003E-3</v>
      </c>
      <c r="E993" s="353">
        <v>6.1850000000000004E-3</v>
      </c>
      <c r="F993" s="354">
        <v>1.0987500000000001E-2</v>
      </c>
    </row>
    <row r="994" spans="1:6" ht="12" thickBot="1">
      <c r="A994" s="352">
        <v>40308</v>
      </c>
      <c r="B994" s="353">
        <v>3.3999999999999998E-3</v>
      </c>
      <c r="C994" s="353">
        <v>3.8062999999999999E-3</v>
      </c>
      <c r="D994" s="353">
        <v>4.2125000000000001E-3</v>
      </c>
      <c r="E994" s="353">
        <v>6.2249999999999996E-3</v>
      </c>
      <c r="F994" s="354">
        <v>1.0975E-2</v>
      </c>
    </row>
    <row r="995" spans="1:6" ht="12" thickBot="1">
      <c r="A995" s="352">
        <v>40305</v>
      </c>
      <c r="B995" s="353">
        <v>3.4875000000000001E-3</v>
      </c>
      <c r="C995" s="353">
        <v>3.8563E-3</v>
      </c>
      <c r="D995" s="353">
        <v>4.2813E-3</v>
      </c>
      <c r="E995" s="353">
        <v>6.3688E-3</v>
      </c>
      <c r="F995" s="354">
        <v>1.1299999999999999E-2</v>
      </c>
    </row>
    <row r="996" spans="1:6" ht="12" thickBot="1">
      <c r="A996" s="352">
        <v>40304</v>
      </c>
      <c r="B996" s="353">
        <v>2.9705999999999999E-3</v>
      </c>
      <c r="C996" s="353">
        <v>3.3530999999999999E-3</v>
      </c>
      <c r="D996" s="353">
        <v>3.7358999999999999E-3</v>
      </c>
      <c r="E996" s="353">
        <v>5.6563000000000004E-3</v>
      </c>
      <c r="F996" s="354">
        <v>1.065E-2</v>
      </c>
    </row>
    <row r="997" spans="1:6" ht="12" thickBot="1">
      <c r="A997" s="352">
        <v>40303</v>
      </c>
      <c r="B997" s="353">
        <v>2.9093999999999999E-3</v>
      </c>
      <c r="C997" s="353">
        <v>3.2563000000000002E-3</v>
      </c>
      <c r="D997" s="353">
        <v>3.6015999999999999E-3</v>
      </c>
      <c r="E997" s="353">
        <v>5.5531E-3</v>
      </c>
      <c r="F997" s="354">
        <v>1.0540600000000001E-2</v>
      </c>
    </row>
    <row r="998" spans="1:6" ht="12" thickBot="1">
      <c r="A998" s="352">
        <v>40302</v>
      </c>
      <c r="B998" s="353">
        <v>2.8468999999999999E-3</v>
      </c>
      <c r="C998" s="353">
        <v>3.2125000000000001E-3</v>
      </c>
      <c r="D998" s="353">
        <v>3.5312999999999998E-3</v>
      </c>
      <c r="E998" s="353">
        <v>5.4577999999999996E-3</v>
      </c>
      <c r="F998" s="354">
        <v>1.04E-2</v>
      </c>
    </row>
    <row r="999" spans="1:6" ht="12" thickBot="1">
      <c r="A999" s="352">
        <v>40301</v>
      </c>
      <c r="B999" s="353">
        <v>2.8E-3</v>
      </c>
      <c r="C999" s="353">
        <v>3.1624999999999999E-3</v>
      </c>
      <c r="D999" s="353">
        <v>3.4656000000000001E-3</v>
      </c>
      <c r="E999" s="353">
        <v>5.3062999999999999E-3</v>
      </c>
      <c r="F999" s="354">
        <v>1.01563E-2</v>
      </c>
    </row>
    <row r="1000" spans="1:6" ht="12" thickBot="1">
      <c r="A1000" s="352">
        <v>40298</v>
      </c>
      <c r="B1000" s="353">
        <v>2.8E-3</v>
      </c>
      <c r="C1000" s="353">
        <v>3.1624999999999999E-3</v>
      </c>
      <c r="D1000" s="353">
        <v>3.4656000000000001E-3</v>
      </c>
      <c r="E1000" s="353">
        <v>5.3062999999999999E-3</v>
      </c>
      <c r="F1000" s="354">
        <v>1.01563E-2</v>
      </c>
    </row>
    <row r="1001" spans="1:6" ht="12" thickBot="1">
      <c r="A1001" s="352">
        <v>40297</v>
      </c>
      <c r="B1001" s="353">
        <v>2.7766000000000002E-3</v>
      </c>
      <c r="C1001" s="353">
        <v>3.1218999999999999E-3</v>
      </c>
      <c r="D1001" s="353">
        <v>3.4437999999999999E-3</v>
      </c>
      <c r="E1001" s="353">
        <v>5.2719000000000004E-3</v>
      </c>
      <c r="F1001" s="354">
        <v>1.01438E-2</v>
      </c>
    </row>
    <row r="1002" spans="1:6" ht="12" thickBot="1">
      <c r="A1002" s="352">
        <v>40296</v>
      </c>
      <c r="B1002" s="353">
        <v>2.7312999999999999E-3</v>
      </c>
      <c r="C1002" s="353">
        <v>3.0469E-3</v>
      </c>
      <c r="D1002" s="353">
        <v>3.3781000000000002E-3</v>
      </c>
      <c r="E1002" s="353">
        <v>5.2249999999999996E-3</v>
      </c>
      <c r="F1002" s="354">
        <v>1.0149999999999999E-2</v>
      </c>
    </row>
    <row r="1003" spans="1:6" ht="12" thickBot="1">
      <c r="A1003" s="352">
        <v>40295</v>
      </c>
      <c r="B1003" s="353">
        <v>2.6672000000000002E-3</v>
      </c>
      <c r="C1003" s="353">
        <v>2.9688000000000002E-3</v>
      </c>
      <c r="D1003" s="353">
        <v>3.2780999999999999E-3</v>
      </c>
      <c r="E1003" s="353">
        <v>5.0562999999999997E-3</v>
      </c>
      <c r="F1003" s="354">
        <v>9.9874999999999999E-3</v>
      </c>
    </row>
    <row r="1004" spans="1:6" ht="12" thickBot="1">
      <c r="A1004" s="352">
        <v>40294</v>
      </c>
      <c r="B1004" s="353">
        <v>2.6469000000000002E-3</v>
      </c>
      <c r="C1004" s="353">
        <v>2.9313E-3</v>
      </c>
      <c r="D1004" s="353">
        <v>3.2374999999999999E-3</v>
      </c>
      <c r="E1004" s="353">
        <v>5.0030999999999999E-3</v>
      </c>
      <c r="F1004" s="354">
        <v>9.9313000000000005E-3</v>
      </c>
    </row>
    <row r="1005" spans="1:6" ht="12" thickBot="1">
      <c r="A1005" s="352">
        <v>40291</v>
      </c>
      <c r="B1005" s="353">
        <v>2.6438E-3</v>
      </c>
      <c r="C1005" s="353">
        <v>2.8999999999999998E-3</v>
      </c>
      <c r="D1005" s="353">
        <v>3.2063E-3</v>
      </c>
      <c r="E1005" s="353">
        <v>4.9281000000000004E-3</v>
      </c>
      <c r="F1005" s="354">
        <v>9.7874999999999993E-3</v>
      </c>
    </row>
    <row r="1006" spans="1:6" ht="12" thickBot="1">
      <c r="A1006" s="352">
        <v>40290</v>
      </c>
      <c r="B1006" s="353">
        <v>2.6250000000000002E-3</v>
      </c>
      <c r="C1006" s="353">
        <v>2.875E-3</v>
      </c>
      <c r="D1006" s="353">
        <v>3.1578000000000001E-3</v>
      </c>
      <c r="E1006" s="353">
        <v>4.8218999999999996E-3</v>
      </c>
      <c r="F1006" s="354">
        <v>9.6296999999999997E-3</v>
      </c>
    </row>
    <row r="1007" spans="1:6" ht="12" thickBot="1">
      <c r="A1007" s="352">
        <v>40289</v>
      </c>
      <c r="B1007" s="353">
        <v>2.6063000000000002E-3</v>
      </c>
      <c r="C1007" s="353">
        <v>2.8438000000000001E-3</v>
      </c>
      <c r="D1007" s="353">
        <v>3.1281E-3</v>
      </c>
      <c r="E1007" s="353">
        <v>4.725E-3</v>
      </c>
      <c r="F1007" s="354">
        <v>9.5250000000000005E-3</v>
      </c>
    </row>
    <row r="1008" spans="1:6" ht="12" thickBot="1">
      <c r="A1008" s="352">
        <v>40288</v>
      </c>
      <c r="B1008" s="353">
        <v>2.5875E-3</v>
      </c>
      <c r="C1008" s="353">
        <v>2.8313000000000001E-3</v>
      </c>
      <c r="D1008" s="353">
        <v>3.0718999999999998E-3</v>
      </c>
      <c r="E1008" s="353">
        <v>4.6499999999999996E-3</v>
      </c>
      <c r="F1008" s="354">
        <v>9.4094000000000001E-3</v>
      </c>
    </row>
    <row r="1009" spans="1:6" ht="12" thickBot="1">
      <c r="A1009" s="352">
        <v>40287</v>
      </c>
      <c r="B1009" s="353">
        <v>2.575E-3</v>
      </c>
      <c r="C1009" s="353">
        <v>2.8156000000000001E-3</v>
      </c>
      <c r="D1009" s="353">
        <v>3.0531E-3</v>
      </c>
      <c r="E1009" s="353">
        <v>4.6062999999999998E-3</v>
      </c>
      <c r="F1009" s="354">
        <v>9.3313000000000007E-3</v>
      </c>
    </row>
    <row r="1010" spans="1:6" ht="12" thickBot="1">
      <c r="A1010" s="352">
        <v>40284</v>
      </c>
      <c r="B1010" s="353">
        <v>2.5563000000000001E-3</v>
      </c>
      <c r="C1010" s="353">
        <v>2.8E-3</v>
      </c>
      <c r="D1010" s="353">
        <v>3.0531E-3</v>
      </c>
      <c r="E1010" s="353">
        <v>4.6438E-3</v>
      </c>
      <c r="F1010" s="354">
        <v>9.4438000000000005E-3</v>
      </c>
    </row>
    <row r="1011" spans="1:6" ht="12" thickBot="1">
      <c r="A1011" s="352">
        <v>40283</v>
      </c>
      <c r="B1011" s="353">
        <v>2.5625000000000001E-3</v>
      </c>
      <c r="C1011" s="353">
        <v>2.8019E-3</v>
      </c>
      <c r="D1011" s="353">
        <v>3.0438000000000002E-3</v>
      </c>
      <c r="E1011" s="353">
        <v>4.6499999999999996E-3</v>
      </c>
      <c r="F1011" s="354">
        <v>9.4593999999999998E-3</v>
      </c>
    </row>
    <row r="1012" spans="1:6" ht="12" thickBot="1">
      <c r="A1012" s="352">
        <v>40282</v>
      </c>
      <c r="B1012" s="353">
        <v>2.5593999999999999E-3</v>
      </c>
      <c r="C1012" s="353">
        <v>2.7769000000000001E-3</v>
      </c>
      <c r="D1012" s="353">
        <v>3.0374999999999998E-3</v>
      </c>
      <c r="E1012" s="353">
        <v>4.6249999999999998E-3</v>
      </c>
      <c r="F1012" s="354">
        <v>9.4655999999999994E-3</v>
      </c>
    </row>
    <row r="1013" spans="1:6" ht="12" thickBot="1">
      <c r="A1013" s="352">
        <v>40281</v>
      </c>
      <c r="B1013" s="353">
        <v>2.5438000000000001E-3</v>
      </c>
      <c r="C1013" s="353">
        <v>2.7506000000000002E-3</v>
      </c>
      <c r="D1013" s="353">
        <v>3.0281000000000001E-3</v>
      </c>
      <c r="E1013" s="353">
        <v>4.5563000000000001E-3</v>
      </c>
      <c r="F1013" s="354">
        <v>9.3594000000000004E-3</v>
      </c>
    </row>
    <row r="1014" spans="1:6" ht="12" thickBot="1">
      <c r="A1014" s="352">
        <v>40280</v>
      </c>
      <c r="B1014" s="353">
        <v>2.5298E-3</v>
      </c>
      <c r="C1014" s="353">
        <v>2.7260000000000001E-3</v>
      </c>
      <c r="D1014" s="353">
        <v>3.0041E-3</v>
      </c>
      <c r="E1014" s="353">
        <v>4.5563000000000001E-3</v>
      </c>
      <c r="F1014" s="354">
        <v>9.4094000000000001E-3</v>
      </c>
    </row>
    <row r="1015" spans="1:6" ht="12" thickBot="1">
      <c r="A1015" s="352">
        <v>40277</v>
      </c>
      <c r="B1015" s="353">
        <v>2.5287999999999999E-3</v>
      </c>
      <c r="C1015" s="353">
        <v>2.7093999999999998E-3</v>
      </c>
      <c r="D1015" s="353">
        <v>2.9781E-3</v>
      </c>
      <c r="E1015" s="353">
        <v>4.5374999999999999E-3</v>
      </c>
      <c r="F1015" s="354">
        <v>9.3606000000000002E-3</v>
      </c>
    </row>
    <row r="1016" spans="1:6" ht="12" thickBot="1">
      <c r="A1016" s="352">
        <v>40276</v>
      </c>
      <c r="B1016" s="353">
        <v>2.5013000000000001E-3</v>
      </c>
      <c r="C1016" s="353">
        <v>2.6855999999999998E-3</v>
      </c>
      <c r="D1016" s="353">
        <v>2.9399999999999999E-3</v>
      </c>
      <c r="E1016" s="353">
        <v>4.5250000000000004E-3</v>
      </c>
      <c r="F1016" s="354">
        <v>9.3355999999999995E-3</v>
      </c>
    </row>
    <row r="1017" spans="1:6" ht="12" thickBot="1">
      <c r="A1017" s="352">
        <v>40275</v>
      </c>
      <c r="B1017" s="353">
        <v>2.5138000000000001E-3</v>
      </c>
      <c r="C1017" s="353">
        <v>2.6981000000000002E-3</v>
      </c>
      <c r="D1017" s="353">
        <v>2.9524999999999998E-3</v>
      </c>
      <c r="E1017" s="353">
        <v>4.5250000000000004E-3</v>
      </c>
      <c r="F1017" s="354">
        <v>9.4249999999999994E-3</v>
      </c>
    </row>
    <row r="1018" spans="1:6" ht="12" thickBot="1">
      <c r="A1018" s="352">
        <v>40274</v>
      </c>
      <c r="B1018" s="353">
        <v>2.5075000000000002E-3</v>
      </c>
      <c r="C1018" s="353">
        <v>2.6925E-3</v>
      </c>
      <c r="D1018" s="353">
        <v>2.9488000000000001E-3</v>
      </c>
      <c r="E1018" s="353">
        <v>4.5437999999999997E-3</v>
      </c>
      <c r="F1018" s="354">
        <v>9.4999999999999998E-3</v>
      </c>
    </row>
    <row r="1019" spans="1:6" ht="12" thickBot="1">
      <c r="A1019" s="352">
        <v>40273</v>
      </c>
      <c r="B1019" s="353">
        <v>2.4862999999999999E-3</v>
      </c>
      <c r="C1019" s="353">
        <v>2.6694000000000002E-3</v>
      </c>
      <c r="D1019" s="353">
        <v>2.9150000000000001E-3</v>
      </c>
      <c r="E1019" s="353">
        <v>4.4156000000000004E-3</v>
      </c>
      <c r="F1019" s="354">
        <v>9.1500000000000001E-3</v>
      </c>
    </row>
    <row r="1020" spans="1:6" ht="12" thickBot="1">
      <c r="A1020" s="352">
        <v>40268</v>
      </c>
      <c r="B1020" s="353">
        <v>2.4862999999999999E-3</v>
      </c>
      <c r="C1020" s="353">
        <v>2.6668999999999998E-3</v>
      </c>
      <c r="D1020" s="353">
        <v>2.9150000000000001E-3</v>
      </c>
      <c r="E1020" s="353">
        <v>4.4438000000000004E-3</v>
      </c>
      <c r="F1020" s="354">
        <v>9.1999999999999998E-3</v>
      </c>
    </row>
    <row r="1021" spans="1:6" ht="12" thickBot="1">
      <c r="A1021" s="352">
        <v>40267</v>
      </c>
      <c r="B1021" s="353">
        <v>2.4862999999999999E-3</v>
      </c>
      <c r="C1021" s="353">
        <v>2.6638E-3</v>
      </c>
      <c r="D1021" s="353">
        <v>2.9088E-3</v>
      </c>
      <c r="E1021" s="353">
        <v>4.4187999999999996E-3</v>
      </c>
      <c r="F1021" s="354">
        <v>9.1468999999999995E-3</v>
      </c>
    </row>
    <row r="1022" spans="1:6" ht="12" thickBot="1">
      <c r="A1022" s="352">
        <v>40266</v>
      </c>
      <c r="B1022" s="353">
        <v>2.4788000000000002E-3</v>
      </c>
      <c r="C1022" s="353">
        <v>2.6562999999999999E-3</v>
      </c>
      <c r="D1022" s="353">
        <v>2.9012999999999999E-3</v>
      </c>
      <c r="E1022" s="353">
        <v>4.4250000000000001E-3</v>
      </c>
      <c r="F1022" s="354">
        <v>9.1468999999999995E-3</v>
      </c>
    </row>
    <row r="1023" spans="1:6" ht="12" thickBot="1">
      <c r="A1023" s="352">
        <v>40263</v>
      </c>
      <c r="B1023" s="353">
        <v>2.4688000000000002E-3</v>
      </c>
      <c r="C1023" s="353">
        <v>2.6469000000000002E-3</v>
      </c>
      <c r="D1023" s="353">
        <v>2.8874999999999999E-3</v>
      </c>
      <c r="E1023" s="353">
        <v>4.3937999999999998E-3</v>
      </c>
      <c r="F1023" s="354">
        <v>9.0968999999999998E-3</v>
      </c>
    </row>
    <row r="1024" spans="1:6" ht="12" thickBot="1">
      <c r="A1024" s="352">
        <v>40262</v>
      </c>
      <c r="B1024" s="353">
        <v>2.4694000000000001E-3</v>
      </c>
      <c r="C1024" s="353">
        <v>2.6375000000000001E-3</v>
      </c>
      <c r="D1024" s="353">
        <v>2.8781000000000002E-3</v>
      </c>
      <c r="E1024" s="353">
        <v>4.3687999999999999E-3</v>
      </c>
      <c r="F1024" s="354">
        <v>9.0843999999999994E-3</v>
      </c>
    </row>
    <row r="1025" spans="1:6" ht="12" thickBot="1">
      <c r="A1025" s="352">
        <v>40261</v>
      </c>
      <c r="B1025" s="353">
        <v>2.4618999999999999E-3</v>
      </c>
      <c r="C1025" s="353">
        <v>2.6162999999999998E-3</v>
      </c>
      <c r="D1025" s="353">
        <v>2.8490999999999998E-3</v>
      </c>
      <c r="E1025" s="353">
        <v>4.3531000000000004E-3</v>
      </c>
      <c r="F1025" s="354">
        <v>8.9374999999999993E-3</v>
      </c>
    </row>
    <row r="1026" spans="1:6" ht="12" thickBot="1">
      <c r="A1026" s="352">
        <v>40260</v>
      </c>
      <c r="B1026" s="353">
        <v>2.4605999999999999E-3</v>
      </c>
      <c r="C1026" s="353">
        <v>2.6180999999999999E-3</v>
      </c>
      <c r="D1026" s="353">
        <v>2.8352999999999998E-3</v>
      </c>
      <c r="E1026" s="353">
        <v>4.3375000000000002E-3</v>
      </c>
      <c r="F1026" s="354">
        <v>8.9125000000000003E-3</v>
      </c>
    </row>
    <row r="1027" spans="1:6" ht="12" thickBot="1">
      <c r="A1027" s="352">
        <v>40256</v>
      </c>
      <c r="B1027" s="353">
        <v>2.4505999999999998E-3</v>
      </c>
      <c r="C1027" s="353">
        <v>2.5699999999999998E-3</v>
      </c>
      <c r="D1027" s="353">
        <v>2.7750000000000001E-3</v>
      </c>
      <c r="E1027" s="353">
        <v>4.2325000000000002E-3</v>
      </c>
      <c r="F1027" s="354">
        <v>8.7562999999999998E-3</v>
      </c>
    </row>
    <row r="1028" spans="1:6" ht="12" thickBot="1">
      <c r="A1028" s="352">
        <v>40255</v>
      </c>
      <c r="B1028" s="353">
        <v>2.3974999999999999E-3</v>
      </c>
      <c r="C1028" s="353">
        <v>2.5200000000000001E-3</v>
      </c>
      <c r="D1028" s="353">
        <v>2.7100000000000002E-3</v>
      </c>
      <c r="E1028" s="353">
        <v>4.0765999999999997E-3</v>
      </c>
      <c r="F1028" s="354">
        <v>8.5687999999999997E-3</v>
      </c>
    </row>
    <row r="1029" spans="1:6" ht="12" thickBot="1">
      <c r="A1029" s="352">
        <v>40254</v>
      </c>
      <c r="B1029" s="353">
        <v>2.3744E-3</v>
      </c>
      <c r="C1029" s="353">
        <v>2.4830999999999998E-3</v>
      </c>
      <c r="D1029" s="353">
        <v>2.6638E-3</v>
      </c>
      <c r="E1029" s="353">
        <v>4.0188000000000003E-3</v>
      </c>
      <c r="F1029" s="354">
        <v>8.5906000000000003E-3</v>
      </c>
    </row>
    <row r="1030" spans="1:6" ht="12" thickBot="1">
      <c r="A1030" s="352">
        <v>40253</v>
      </c>
      <c r="B1030" s="353">
        <v>2.3563E-3</v>
      </c>
      <c r="C1030" s="353">
        <v>2.4650000000000002E-3</v>
      </c>
      <c r="D1030" s="353">
        <v>2.6088000000000001E-3</v>
      </c>
      <c r="E1030" s="353">
        <v>4.0124999999999996E-3</v>
      </c>
      <c r="F1030" s="354">
        <v>8.7174999999999996E-3</v>
      </c>
    </row>
    <row r="1031" spans="1:6" ht="12" thickBot="1">
      <c r="A1031" s="352">
        <v>40252</v>
      </c>
      <c r="B1031" s="353">
        <v>2.3031000000000002E-3</v>
      </c>
      <c r="C1031" s="353">
        <v>2.4294E-3</v>
      </c>
      <c r="D1031" s="353">
        <v>2.5763000000000001E-3</v>
      </c>
      <c r="E1031" s="353">
        <v>4.0063E-3</v>
      </c>
      <c r="F1031" s="354">
        <v>8.6718999999999997E-3</v>
      </c>
    </row>
    <row r="1032" spans="1:6" ht="12" thickBot="1">
      <c r="A1032" s="352">
        <v>40249</v>
      </c>
      <c r="B1032" s="353">
        <v>2.3E-3</v>
      </c>
      <c r="C1032" s="353">
        <v>2.4137999999999998E-3</v>
      </c>
      <c r="D1032" s="353">
        <v>2.5718999999999998E-3</v>
      </c>
      <c r="E1032" s="353">
        <v>3.9781E-3</v>
      </c>
      <c r="F1032" s="354">
        <v>8.6838000000000002E-3</v>
      </c>
    </row>
    <row r="1033" spans="1:6" ht="12" thickBot="1">
      <c r="A1033" s="352">
        <v>40248</v>
      </c>
      <c r="B1033" s="353">
        <v>2.3E-3</v>
      </c>
      <c r="C1033" s="353">
        <v>2.4125000000000001E-3</v>
      </c>
      <c r="D1033" s="353">
        <v>2.5703000000000002E-3</v>
      </c>
      <c r="E1033" s="353">
        <v>3.9344000000000002E-3</v>
      </c>
      <c r="F1033" s="354">
        <v>8.6125000000000004E-3</v>
      </c>
    </row>
    <row r="1034" spans="1:6" ht="12" thickBot="1">
      <c r="A1034" s="352">
        <v>40247</v>
      </c>
      <c r="B1034" s="353">
        <v>2.3E-3</v>
      </c>
      <c r="C1034" s="353">
        <v>2.3999999999999998E-3</v>
      </c>
      <c r="D1034" s="353">
        <v>2.5563000000000001E-3</v>
      </c>
      <c r="E1034" s="353">
        <v>3.9437999999999999E-3</v>
      </c>
      <c r="F1034" s="354">
        <v>8.5749999999999993E-3</v>
      </c>
    </row>
    <row r="1035" spans="1:6" ht="12" thickBot="1">
      <c r="A1035" s="352">
        <v>40246</v>
      </c>
      <c r="B1035" s="353">
        <v>2.3E-3</v>
      </c>
      <c r="C1035" s="353">
        <v>2.3999999999999998E-3</v>
      </c>
      <c r="D1035" s="353">
        <v>2.555E-3</v>
      </c>
      <c r="E1035" s="353">
        <v>3.9437999999999999E-3</v>
      </c>
      <c r="F1035" s="354">
        <v>8.5874999999999996E-3</v>
      </c>
    </row>
    <row r="1036" spans="1:6" ht="12" thickBot="1">
      <c r="A1036" s="352">
        <v>40245</v>
      </c>
      <c r="B1036" s="353">
        <v>2.3E-3</v>
      </c>
      <c r="C1036" s="353">
        <v>2.3999999999999998E-3</v>
      </c>
      <c r="D1036" s="353">
        <v>2.5425000000000001E-3</v>
      </c>
      <c r="E1036" s="353">
        <v>3.9531000000000002E-3</v>
      </c>
      <c r="F1036" s="354">
        <v>8.6750000000000004E-3</v>
      </c>
    </row>
    <row r="1037" spans="1:6" ht="12" thickBot="1">
      <c r="A1037" s="352">
        <v>40242</v>
      </c>
      <c r="B1037" s="353">
        <v>2.2905999999999998E-3</v>
      </c>
      <c r="C1037" s="353">
        <v>2.3938000000000002E-3</v>
      </c>
      <c r="D1037" s="353">
        <v>2.5363E-3</v>
      </c>
      <c r="E1037" s="353">
        <v>3.8999999999999998E-3</v>
      </c>
      <c r="F1037" s="354">
        <v>8.5062999999999996E-3</v>
      </c>
    </row>
    <row r="1038" spans="1:6" ht="12" thickBot="1">
      <c r="A1038" s="352">
        <v>40241</v>
      </c>
      <c r="B1038" s="353">
        <v>2.2813E-3</v>
      </c>
      <c r="C1038" s="353">
        <v>2.3938000000000002E-3</v>
      </c>
      <c r="D1038" s="353">
        <v>2.5219000000000001E-3</v>
      </c>
      <c r="E1038" s="353">
        <v>3.8319000000000001E-3</v>
      </c>
      <c r="F1038" s="354">
        <v>8.3406000000000001E-3</v>
      </c>
    </row>
    <row r="1039" spans="1:6" ht="12" thickBot="1">
      <c r="A1039" s="352">
        <v>40240</v>
      </c>
      <c r="B1039" s="353">
        <v>2.2813E-3</v>
      </c>
      <c r="C1039" s="353">
        <v>2.3938000000000002E-3</v>
      </c>
      <c r="D1039" s="353">
        <v>2.5194000000000002E-3</v>
      </c>
      <c r="E1039" s="353">
        <v>3.8319000000000001E-3</v>
      </c>
      <c r="F1039" s="354">
        <v>8.3438000000000002E-3</v>
      </c>
    </row>
    <row r="1040" spans="1:6" ht="12" thickBot="1">
      <c r="A1040" s="352">
        <v>40239</v>
      </c>
      <c r="B1040" s="353">
        <v>2.2813E-3</v>
      </c>
      <c r="C1040" s="353">
        <v>2.3938000000000002E-3</v>
      </c>
      <c r="D1040" s="353">
        <v>2.5194000000000002E-3</v>
      </c>
      <c r="E1040" s="353">
        <v>3.8319000000000001E-3</v>
      </c>
      <c r="F1040" s="354">
        <v>8.3625000000000001E-3</v>
      </c>
    </row>
    <row r="1041" spans="1:6" ht="12" thickBot="1">
      <c r="A1041" s="352">
        <v>40238</v>
      </c>
      <c r="B1041" s="353">
        <v>2.2813E-3</v>
      </c>
      <c r="C1041" s="353">
        <v>2.3938000000000002E-3</v>
      </c>
      <c r="D1041" s="353">
        <v>2.5168999999999999E-3</v>
      </c>
      <c r="E1041" s="353">
        <v>3.8375000000000002E-3</v>
      </c>
      <c r="F1041" s="354">
        <v>8.3937999999999999E-3</v>
      </c>
    </row>
    <row r="1042" spans="1:6" ht="12" thickBot="1">
      <c r="A1042" s="352">
        <v>40235</v>
      </c>
      <c r="B1042" s="353">
        <v>2.2875E-3</v>
      </c>
      <c r="C1042" s="353">
        <v>2.3999999999999998E-3</v>
      </c>
      <c r="D1042" s="353">
        <v>2.5168999999999999E-3</v>
      </c>
      <c r="E1042" s="353">
        <v>3.8687999999999999E-3</v>
      </c>
      <c r="F1042" s="354">
        <v>8.3937999999999999E-3</v>
      </c>
    </row>
    <row r="1043" spans="1:6" ht="12" thickBot="1">
      <c r="A1043" s="352">
        <v>40234</v>
      </c>
      <c r="B1043" s="353">
        <v>2.2875E-3</v>
      </c>
      <c r="C1043" s="353">
        <v>2.3999999999999998E-3</v>
      </c>
      <c r="D1043" s="353">
        <v>2.5194000000000002E-3</v>
      </c>
      <c r="E1043" s="353">
        <v>3.8687999999999999E-3</v>
      </c>
      <c r="F1043" s="354">
        <v>8.3999999999999995E-3</v>
      </c>
    </row>
    <row r="1044" spans="1:6" ht="12" thickBot="1">
      <c r="A1044" s="352">
        <v>40233</v>
      </c>
      <c r="B1044" s="353">
        <v>2.2875E-3</v>
      </c>
      <c r="C1044" s="353">
        <v>2.3999999999999998E-3</v>
      </c>
      <c r="D1044" s="353">
        <v>2.5194000000000002E-3</v>
      </c>
      <c r="E1044" s="353">
        <v>3.9125000000000002E-3</v>
      </c>
      <c r="F1044" s="354">
        <v>8.5438000000000007E-3</v>
      </c>
    </row>
    <row r="1045" spans="1:6" ht="12" thickBot="1">
      <c r="A1045" s="352">
        <v>40232</v>
      </c>
      <c r="B1045" s="353">
        <v>2.2875E-3</v>
      </c>
      <c r="C1045" s="353">
        <v>2.3999999999999998E-3</v>
      </c>
      <c r="D1045" s="353">
        <v>2.5194000000000002E-3</v>
      </c>
      <c r="E1045" s="353">
        <v>3.9375E-3</v>
      </c>
      <c r="F1045" s="354">
        <v>8.6688000000000008E-3</v>
      </c>
    </row>
    <row r="1046" spans="1:6" ht="12" thickBot="1">
      <c r="A1046" s="352">
        <v>40231</v>
      </c>
      <c r="B1046" s="353">
        <v>2.2875E-3</v>
      </c>
      <c r="C1046" s="353">
        <v>2.3999999999999998E-3</v>
      </c>
      <c r="D1046" s="353">
        <v>2.5219000000000001E-3</v>
      </c>
      <c r="E1046" s="353">
        <v>3.9313000000000004E-3</v>
      </c>
      <c r="F1046" s="354">
        <v>8.7313000000000009E-3</v>
      </c>
    </row>
    <row r="1047" spans="1:6" ht="12" thickBot="1">
      <c r="A1047" s="352">
        <v>40228</v>
      </c>
      <c r="B1047" s="353">
        <v>2.2875E-3</v>
      </c>
      <c r="C1047" s="353">
        <v>2.3999999999999998E-3</v>
      </c>
      <c r="D1047" s="353">
        <v>2.5194000000000002E-3</v>
      </c>
      <c r="E1047" s="353">
        <v>3.9531000000000002E-3</v>
      </c>
      <c r="F1047" s="354">
        <v>8.7749999999999998E-3</v>
      </c>
    </row>
    <row r="1048" spans="1:6" ht="12" thickBot="1">
      <c r="A1048" s="352">
        <v>40227</v>
      </c>
      <c r="B1048" s="353">
        <v>2.2875E-3</v>
      </c>
      <c r="C1048" s="353">
        <v>2.3999999999999998E-3</v>
      </c>
      <c r="D1048" s="353">
        <v>2.5125E-3</v>
      </c>
      <c r="E1048" s="353">
        <v>3.8438000000000001E-3</v>
      </c>
      <c r="F1048" s="354">
        <v>8.5375E-3</v>
      </c>
    </row>
    <row r="1049" spans="1:6" ht="12" thickBot="1">
      <c r="A1049" s="352">
        <v>40226</v>
      </c>
      <c r="B1049" s="353">
        <v>2.2875E-3</v>
      </c>
      <c r="C1049" s="353">
        <v>2.3999999999999998E-3</v>
      </c>
      <c r="D1049" s="353">
        <v>2.5062999999999999E-3</v>
      </c>
      <c r="E1049" s="353">
        <v>3.8500000000000001E-3</v>
      </c>
      <c r="F1049" s="354">
        <v>8.5062999999999996E-3</v>
      </c>
    </row>
    <row r="1050" spans="1:6" ht="12" thickBot="1">
      <c r="A1050" s="352">
        <v>40225</v>
      </c>
      <c r="B1050" s="353">
        <v>2.2875E-3</v>
      </c>
      <c r="C1050" s="353">
        <v>2.3999999999999998E-3</v>
      </c>
      <c r="D1050" s="353">
        <v>2.5000000000000001E-3</v>
      </c>
      <c r="E1050" s="353">
        <v>3.8812999999999999E-3</v>
      </c>
      <c r="F1050" s="354">
        <v>8.5562999999999993E-3</v>
      </c>
    </row>
    <row r="1051" spans="1:6" ht="12" thickBot="1">
      <c r="A1051" s="352">
        <v>40224</v>
      </c>
      <c r="B1051" s="353">
        <v>2.2875E-3</v>
      </c>
      <c r="C1051" s="353">
        <v>2.3999999999999998E-3</v>
      </c>
      <c r="D1051" s="353">
        <v>2.5000000000000001E-3</v>
      </c>
      <c r="E1051" s="353">
        <v>3.8812999999999999E-3</v>
      </c>
      <c r="F1051" s="354">
        <v>8.5124999999999992E-3</v>
      </c>
    </row>
    <row r="1052" spans="1:6" ht="12" thickBot="1">
      <c r="A1052" s="352">
        <v>40221</v>
      </c>
      <c r="B1052" s="353">
        <v>2.3188000000000002E-3</v>
      </c>
      <c r="C1052" s="353">
        <v>2.4125000000000001E-3</v>
      </c>
      <c r="D1052" s="353">
        <v>2.5000000000000001E-3</v>
      </c>
      <c r="E1052" s="353">
        <v>3.8812999999999999E-3</v>
      </c>
      <c r="F1052" s="354">
        <v>8.5375E-3</v>
      </c>
    </row>
    <row r="1053" spans="1:6" ht="12" thickBot="1">
      <c r="A1053" s="352">
        <v>40220</v>
      </c>
      <c r="B1053" s="353">
        <v>2.3062999999999998E-3</v>
      </c>
      <c r="C1053" s="353">
        <v>2.3999999999999998E-3</v>
      </c>
      <c r="D1053" s="353">
        <v>2.5000000000000001E-3</v>
      </c>
      <c r="E1053" s="353">
        <v>3.8999999999999998E-3</v>
      </c>
      <c r="F1053" s="354">
        <v>8.6187999999999994E-3</v>
      </c>
    </row>
    <row r="1054" spans="1:6" ht="12" thickBot="1">
      <c r="A1054" s="352">
        <v>40219</v>
      </c>
      <c r="B1054" s="353">
        <v>2.2843999999999998E-3</v>
      </c>
      <c r="C1054" s="353">
        <v>2.3906000000000001E-3</v>
      </c>
      <c r="D1054" s="353">
        <v>2.5000000000000001E-3</v>
      </c>
      <c r="E1054" s="353">
        <v>3.8874999999999999E-3</v>
      </c>
      <c r="F1054" s="354">
        <v>8.5000000000000006E-3</v>
      </c>
    </row>
    <row r="1055" spans="1:6" ht="12" thickBot="1">
      <c r="A1055" s="352">
        <v>40218</v>
      </c>
      <c r="B1055" s="353">
        <v>2.2843999999999998E-3</v>
      </c>
      <c r="C1055" s="353">
        <v>2.3906000000000001E-3</v>
      </c>
      <c r="D1055" s="353">
        <v>2.5000000000000001E-3</v>
      </c>
      <c r="E1055" s="353">
        <v>3.8874999999999999E-3</v>
      </c>
      <c r="F1055" s="354">
        <v>8.4624999999999995E-3</v>
      </c>
    </row>
    <row r="1056" spans="1:6" ht="12" thickBot="1">
      <c r="A1056" s="352">
        <v>40217</v>
      </c>
      <c r="B1056" s="353">
        <v>2.2843999999999998E-3</v>
      </c>
      <c r="C1056" s="353">
        <v>2.3906000000000001E-3</v>
      </c>
      <c r="D1056" s="353">
        <v>2.5000000000000001E-3</v>
      </c>
      <c r="E1056" s="353">
        <v>3.8625E-3</v>
      </c>
      <c r="F1056" s="354">
        <v>8.4250000000000002E-3</v>
      </c>
    </row>
    <row r="1057" spans="1:6" ht="12" thickBot="1">
      <c r="A1057" s="352">
        <v>40214</v>
      </c>
      <c r="B1057" s="353">
        <v>2.2843999999999998E-3</v>
      </c>
      <c r="C1057" s="353">
        <v>2.3906000000000001E-3</v>
      </c>
      <c r="D1057" s="353">
        <v>2.4968999999999998E-3</v>
      </c>
      <c r="E1057" s="353">
        <v>3.8500000000000001E-3</v>
      </c>
      <c r="F1057" s="354">
        <v>8.3750000000000005E-3</v>
      </c>
    </row>
    <row r="1058" spans="1:6" ht="12" thickBot="1">
      <c r="A1058" s="352">
        <v>40213</v>
      </c>
      <c r="B1058" s="353">
        <v>2.2843999999999998E-3</v>
      </c>
      <c r="C1058" s="353">
        <v>2.3906000000000001E-3</v>
      </c>
      <c r="D1058" s="353">
        <v>2.4875000000000001E-3</v>
      </c>
      <c r="E1058" s="353">
        <v>3.8500000000000001E-3</v>
      </c>
      <c r="F1058" s="354">
        <v>8.4594000000000006E-3</v>
      </c>
    </row>
    <row r="1059" spans="1:6" ht="12" thickBot="1">
      <c r="A1059" s="352">
        <v>40212</v>
      </c>
      <c r="B1059" s="353">
        <v>2.2905999999999998E-3</v>
      </c>
      <c r="C1059" s="353">
        <v>2.3906000000000001E-3</v>
      </c>
      <c r="D1059" s="353">
        <v>2.4905999999999999E-3</v>
      </c>
      <c r="E1059" s="353">
        <v>3.8375000000000002E-3</v>
      </c>
      <c r="F1059" s="354">
        <v>8.4624999999999995E-3</v>
      </c>
    </row>
    <row r="1060" spans="1:6" ht="12" thickBot="1">
      <c r="A1060" s="352">
        <v>40211</v>
      </c>
      <c r="B1060" s="353">
        <v>2.3094000000000001E-3</v>
      </c>
      <c r="C1060" s="353">
        <v>2.4093999999999999E-3</v>
      </c>
      <c r="D1060" s="353">
        <v>2.5030999999999999E-3</v>
      </c>
      <c r="E1060" s="353">
        <v>3.8375000000000002E-3</v>
      </c>
      <c r="F1060" s="354">
        <v>8.4250000000000002E-3</v>
      </c>
    </row>
    <row r="1061" spans="1:6" ht="12" thickBot="1">
      <c r="A1061" s="352">
        <v>40210</v>
      </c>
      <c r="B1061" s="353">
        <v>2.2905999999999998E-3</v>
      </c>
      <c r="C1061" s="353">
        <v>2.3906000000000001E-3</v>
      </c>
      <c r="D1061" s="353">
        <v>2.4905999999999999E-3</v>
      </c>
      <c r="E1061" s="353">
        <v>3.8375000000000002E-3</v>
      </c>
      <c r="F1061" s="354">
        <v>8.4250000000000002E-3</v>
      </c>
    </row>
    <row r="1062" spans="1:6" ht="12" thickBot="1">
      <c r="A1062" s="352">
        <v>40207</v>
      </c>
      <c r="B1062" s="353">
        <v>2.2905999999999998E-3</v>
      </c>
      <c r="C1062" s="353">
        <v>2.3906000000000001E-3</v>
      </c>
      <c r="D1062" s="353">
        <v>2.4905999999999999E-3</v>
      </c>
      <c r="E1062" s="353">
        <v>3.8438000000000001E-3</v>
      </c>
      <c r="F1062" s="354">
        <v>8.4624999999999995E-3</v>
      </c>
    </row>
    <row r="1063" spans="1:6" ht="12" thickBot="1">
      <c r="A1063" s="352">
        <v>40206</v>
      </c>
      <c r="B1063" s="353">
        <v>2.2875E-3</v>
      </c>
      <c r="C1063" s="353">
        <v>2.3874999999999999E-3</v>
      </c>
      <c r="D1063" s="353">
        <v>2.4875000000000001E-3</v>
      </c>
      <c r="E1063" s="353">
        <v>3.8563E-3</v>
      </c>
      <c r="F1063" s="354">
        <v>8.5375E-3</v>
      </c>
    </row>
    <row r="1064" spans="1:6" ht="12" thickBot="1">
      <c r="A1064" s="352">
        <v>40205</v>
      </c>
      <c r="B1064" s="353">
        <v>2.3062999999999998E-3</v>
      </c>
      <c r="C1064" s="353">
        <v>2.3938000000000002E-3</v>
      </c>
      <c r="D1064" s="353">
        <v>2.4875000000000001E-3</v>
      </c>
      <c r="E1064" s="353">
        <v>3.8344E-3</v>
      </c>
      <c r="F1064" s="354">
        <v>8.4188000000000006E-3</v>
      </c>
    </row>
    <row r="1065" spans="1:6" ht="12" thickBot="1">
      <c r="A1065" s="352">
        <v>40204</v>
      </c>
      <c r="B1065" s="353">
        <v>2.3062999999999998E-3</v>
      </c>
      <c r="C1065" s="353">
        <v>2.3938000000000002E-3</v>
      </c>
      <c r="D1065" s="353">
        <v>2.4875000000000001E-3</v>
      </c>
      <c r="E1065" s="353">
        <v>3.8249999999999998E-3</v>
      </c>
      <c r="F1065" s="354">
        <v>8.4063000000000002E-3</v>
      </c>
    </row>
    <row r="1066" spans="1:6" ht="12" thickBot="1">
      <c r="A1066" s="352">
        <v>40203</v>
      </c>
      <c r="B1066" s="353">
        <v>2.3062999999999998E-3</v>
      </c>
      <c r="C1066" s="353">
        <v>2.3938000000000002E-3</v>
      </c>
      <c r="D1066" s="353">
        <v>2.4875000000000001E-3</v>
      </c>
      <c r="E1066" s="353">
        <v>3.8563E-3</v>
      </c>
      <c r="F1066" s="354">
        <v>8.6063000000000008E-3</v>
      </c>
    </row>
    <row r="1067" spans="1:6" ht="12" thickBot="1">
      <c r="A1067" s="352">
        <v>40200</v>
      </c>
      <c r="B1067" s="353">
        <v>2.3062999999999998E-3</v>
      </c>
      <c r="C1067" s="353">
        <v>2.3938000000000002E-3</v>
      </c>
      <c r="D1067" s="353">
        <v>2.4905999999999999E-3</v>
      </c>
      <c r="E1067" s="353">
        <v>3.8468999999999999E-3</v>
      </c>
      <c r="F1067" s="354">
        <v>8.5749999999999993E-3</v>
      </c>
    </row>
    <row r="1068" spans="1:6" ht="12" thickBot="1">
      <c r="A1068" s="352">
        <v>40199</v>
      </c>
      <c r="B1068" s="353">
        <v>2.3062999999999998E-3</v>
      </c>
      <c r="C1068" s="353">
        <v>2.3938000000000002E-3</v>
      </c>
      <c r="D1068" s="353">
        <v>2.4888000000000002E-3</v>
      </c>
      <c r="E1068" s="353">
        <v>3.9031000000000001E-3</v>
      </c>
      <c r="F1068" s="354">
        <v>8.7749999999999998E-3</v>
      </c>
    </row>
    <row r="1069" spans="1:6" ht="12" thickBot="1">
      <c r="A1069" s="352">
        <v>40198</v>
      </c>
      <c r="B1069" s="353">
        <v>2.3062999999999998E-3</v>
      </c>
      <c r="C1069" s="353">
        <v>2.3938000000000002E-3</v>
      </c>
      <c r="D1069" s="353">
        <v>2.4888000000000002E-3</v>
      </c>
      <c r="E1069" s="353">
        <v>3.8999999999999998E-3</v>
      </c>
      <c r="F1069" s="354">
        <v>8.7562999999999998E-3</v>
      </c>
    </row>
    <row r="1070" spans="1:6" ht="12" thickBot="1">
      <c r="A1070" s="352">
        <v>40197</v>
      </c>
      <c r="B1070" s="353">
        <v>2.3062999999999998E-3</v>
      </c>
      <c r="C1070" s="353">
        <v>2.3938000000000002E-3</v>
      </c>
      <c r="D1070" s="353">
        <v>2.49E-3</v>
      </c>
      <c r="E1070" s="353">
        <v>3.9062999999999997E-3</v>
      </c>
      <c r="F1070" s="354">
        <v>8.8000000000000005E-3</v>
      </c>
    </row>
    <row r="1071" spans="1:6" ht="12" thickBot="1">
      <c r="A1071" s="352">
        <v>40196</v>
      </c>
      <c r="B1071" s="353">
        <v>2.3062999999999998E-3</v>
      </c>
      <c r="C1071" s="353">
        <v>2.3938000000000002E-3</v>
      </c>
      <c r="D1071" s="353">
        <v>2.4875000000000001E-3</v>
      </c>
      <c r="E1071" s="353">
        <v>3.8999999999999998E-3</v>
      </c>
      <c r="F1071" s="354">
        <v>8.8062999999999995E-3</v>
      </c>
    </row>
    <row r="1072" spans="1:6" ht="12" thickBot="1">
      <c r="A1072" s="352">
        <v>40193</v>
      </c>
      <c r="B1072" s="353">
        <v>2.3313000000000001E-3</v>
      </c>
      <c r="C1072" s="353">
        <v>2.4250000000000001E-3</v>
      </c>
      <c r="D1072" s="353">
        <v>2.5125E-3</v>
      </c>
      <c r="E1072" s="353">
        <v>3.9249999999999997E-3</v>
      </c>
      <c r="F1072" s="354">
        <v>8.9625E-3</v>
      </c>
    </row>
    <row r="1073" spans="1:6" ht="12" thickBot="1">
      <c r="A1073" s="352">
        <v>40192</v>
      </c>
      <c r="B1073" s="353">
        <v>2.3313000000000001E-3</v>
      </c>
      <c r="C1073" s="353">
        <v>2.4250000000000001E-3</v>
      </c>
      <c r="D1073" s="353">
        <v>2.5125E-3</v>
      </c>
      <c r="E1073" s="353">
        <v>3.9874999999999997E-3</v>
      </c>
      <c r="F1073" s="354">
        <v>9.0500000000000008E-3</v>
      </c>
    </row>
    <row r="1074" spans="1:6" ht="12" thickBot="1">
      <c r="A1074" s="352">
        <v>40191</v>
      </c>
      <c r="B1074" s="353">
        <v>2.3313000000000001E-3</v>
      </c>
      <c r="C1074" s="353">
        <v>2.4250000000000001E-3</v>
      </c>
      <c r="D1074" s="353">
        <v>2.5125E-3</v>
      </c>
      <c r="E1074" s="353">
        <v>4.0000000000000001E-3</v>
      </c>
      <c r="F1074" s="354">
        <v>9.0437999999999994E-3</v>
      </c>
    </row>
    <row r="1075" spans="1:6" ht="12" thickBot="1">
      <c r="A1075" s="352">
        <v>40190</v>
      </c>
      <c r="B1075" s="353">
        <v>2.3313000000000001E-3</v>
      </c>
      <c r="C1075" s="353">
        <v>2.4250000000000001E-3</v>
      </c>
      <c r="D1075" s="353">
        <v>2.5125E-3</v>
      </c>
      <c r="E1075" s="353">
        <v>4.0000000000000001E-3</v>
      </c>
      <c r="F1075" s="354">
        <v>9.0562999999999998E-3</v>
      </c>
    </row>
    <row r="1076" spans="1:6" ht="12" thickBot="1">
      <c r="A1076" s="352">
        <v>40186</v>
      </c>
      <c r="B1076" s="353">
        <v>2.3313000000000001E-3</v>
      </c>
      <c r="C1076" s="353">
        <v>2.4250000000000001E-3</v>
      </c>
      <c r="D1076" s="353">
        <v>2.5125E-3</v>
      </c>
      <c r="E1076" s="353">
        <v>4.1999999999999997E-3</v>
      </c>
      <c r="F1076" s="354">
        <v>9.5688000000000006E-3</v>
      </c>
    </row>
    <row r="1077" spans="1:6" ht="12" thickBot="1">
      <c r="A1077" s="352">
        <v>40185</v>
      </c>
      <c r="B1077" s="353">
        <v>2.3124999999999999E-3</v>
      </c>
      <c r="C1077" s="353">
        <v>2.4125000000000001E-3</v>
      </c>
      <c r="D1077" s="353">
        <v>2.4938E-3</v>
      </c>
      <c r="E1077" s="353">
        <v>4.1749999999999999E-3</v>
      </c>
      <c r="F1077" s="354">
        <v>9.4812999999999998E-3</v>
      </c>
    </row>
    <row r="1078" spans="1:6" ht="12" thickBot="1">
      <c r="A1078" s="352">
        <v>40184</v>
      </c>
      <c r="B1078" s="353">
        <v>2.3219E-3</v>
      </c>
      <c r="C1078" s="353">
        <v>2.4218999999999998E-3</v>
      </c>
      <c r="D1078" s="353">
        <v>2.5000000000000001E-3</v>
      </c>
      <c r="E1078" s="353">
        <v>4.2563000000000002E-3</v>
      </c>
      <c r="F1078" s="354">
        <v>9.6030999999999998E-3</v>
      </c>
    </row>
    <row r="1079" spans="1:6" ht="12" thickBot="1">
      <c r="A1079" s="352">
        <v>40183</v>
      </c>
      <c r="B1079" s="353">
        <v>2.3343999999999999E-3</v>
      </c>
      <c r="C1079" s="353">
        <v>2.4405999999999998E-3</v>
      </c>
      <c r="D1079" s="353">
        <v>2.5249999999999999E-3</v>
      </c>
      <c r="E1079" s="353">
        <v>4.2750000000000002E-3</v>
      </c>
      <c r="F1079" s="354">
        <v>9.6968999999999996E-3</v>
      </c>
    </row>
    <row r="1080" spans="1:6" ht="12" thickBot="1">
      <c r="A1080" s="355">
        <v>40182</v>
      </c>
      <c r="B1080" s="356">
        <v>2.3343999999999999E-3</v>
      </c>
      <c r="C1080" s="356">
        <v>2.4344000000000002E-3</v>
      </c>
      <c r="D1080" s="356">
        <v>2.5438000000000001E-3</v>
      </c>
      <c r="E1080" s="356">
        <v>4.3438000000000001E-3</v>
      </c>
      <c r="F1080" s="357">
        <v>9.9375000000000002E-3</v>
      </c>
    </row>
    <row r="1081" spans="1:6">
      <c r="A1081" s="346">
        <v>2009</v>
      </c>
      <c r="B1081" s="347"/>
      <c r="C1081" s="347"/>
      <c r="D1081" s="347"/>
      <c r="E1081" s="347"/>
      <c r="F1081" s="347"/>
    </row>
    <row r="1082" spans="1:6" ht="12" thickBot="1">
      <c r="A1082" s="348"/>
      <c r="B1082" s="610"/>
      <c r="C1082" s="611"/>
      <c r="D1082" s="611"/>
      <c r="E1082" s="611"/>
      <c r="F1082" s="612"/>
    </row>
    <row r="1083" spans="1:6" ht="12" thickBot="1">
      <c r="A1083" s="349" t="s">
        <v>1061</v>
      </c>
      <c r="B1083" s="350" t="s">
        <v>1062</v>
      </c>
      <c r="C1083" s="350" t="s">
        <v>1063</v>
      </c>
      <c r="D1083" s="350" t="s">
        <v>1064</v>
      </c>
      <c r="E1083" s="350" t="s">
        <v>1065</v>
      </c>
      <c r="F1083" s="351" t="s">
        <v>1066</v>
      </c>
    </row>
    <row r="1084" spans="1:6" ht="12" thickBot="1">
      <c r="A1084" s="352">
        <v>40177</v>
      </c>
      <c r="B1084" s="353">
        <v>2.3094000000000001E-3</v>
      </c>
      <c r="C1084" s="353">
        <v>2.3969E-3</v>
      </c>
      <c r="D1084" s="353">
        <v>2.5062999999999999E-3</v>
      </c>
      <c r="E1084" s="353">
        <v>4.3E-3</v>
      </c>
      <c r="F1084" s="354">
        <v>9.8563000000000001E-3</v>
      </c>
    </row>
    <row r="1085" spans="1:6" ht="12" thickBot="1">
      <c r="A1085" s="352">
        <v>40176</v>
      </c>
      <c r="B1085" s="353">
        <v>2.3094000000000001E-3</v>
      </c>
      <c r="C1085" s="353">
        <v>2.3969E-3</v>
      </c>
      <c r="D1085" s="353">
        <v>2.5062999999999999E-3</v>
      </c>
      <c r="E1085" s="353">
        <v>4.3438000000000001E-3</v>
      </c>
      <c r="F1085" s="354">
        <v>9.9749999999999995E-3</v>
      </c>
    </row>
    <row r="1086" spans="1:6" ht="12" thickBot="1">
      <c r="A1086" s="352">
        <v>40175</v>
      </c>
      <c r="B1086" s="353">
        <v>2.3124999999999999E-3</v>
      </c>
      <c r="C1086" s="353">
        <v>2.4093999999999999E-3</v>
      </c>
      <c r="D1086" s="353">
        <v>2.5062999999999999E-3</v>
      </c>
      <c r="E1086" s="353">
        <v>4.3125000000000004E-3</v>
      </c>
      <c r="F1086" s="354">
        <v>9.7874999999999993E-3</v>
      </c>
    </row>
    <row r="1087" spans="1:6" ht="12" thickBot="1">
      <c r="A1087" s="352">
        <v>40171</v>
      </c>
      <c r="B1087" s="353">
        <v>2.3124999999999999E-3</v>
      </c>
      <c r="C1087" s="353">
        <v>2.4093999999999999E-3</v>
      </c>
      <c r="D1087" s="353">
        <v>2.5062999999999999E-3</v>
      </c>
      <c r="E1087" s="353">
        <v>4.3125000000000004E-3</v>
      </c>
      <c r="F1087" s="354">
        <v>9.7874999999999993E-3</v>
      </c>
    </row>
    <row r="1088" spans="1:6" ht="12" thickBot="1">
      <c r="A1088" s="352">
        <v>40170</v>
      </c>
      <c r="B1088" s="353">
        <v>2.3124999999999999E-3</v>
      </c>
      <c r="C1088" s="353">
        <v>2.4093999999999999E-3</v>
      </c>
      <c r="D1088" s="353">
        <v>2.5062999999999999E-3</v>
      </c>
      <c r="E1088" s="353">
        <v>4.3062999999999999E-3</v>
      </c>
      <c r="F1088" s="354">
        <v>9.7438000000000004E-3</v>
      </c>
    </row>
    <row r="1089" spans="1:6" ht="12" thickBot="1">
      <c r="A1089" s="352">
        <v>40169</v>
      </c>
      <c r="B1089" s="353">
        <v>2.3188000000000002E-3</v>
      </c>
      <c r="C1089" s="353">
        <v>2.4093999999999999E-3</v>
      </c>
      <c r="D1089" s="353">
        <v>2.4875000000000001E-3</v>
      </c>
      <c r="E1089" s="353">
        <v>4.3125000000000004E-3</v>
      </c>
      <c r="F1089" s="354">
        <v>9.7812999999999997E-3</v>
      </c>
    </row>
    <row r="1090" spans="1:6" ht="12" thickBot="1">
      <c r="A1090" s="352">
        <v>40168</v>
      </c>
      <c r="B1090" s="353">
        <v>2.3188000000000002E-3</v>
      </c>
      <c r="C1090" s="353">
        <v>2.4093999999999999E-3</v>
      </c>
      <c r="D1090" s="353">
        <v>2.4875000000000001E-3</v>
      </c>
      <c r="E1090" s="353">
        <v>4.3062999999999999E-3</v>
      </c>
      <c r="F1090" s="354">
        <v>9.6437999999999992E-3</v>
      </c>
    </row>
    <row r="1091" spans="1:6" ht="12" thickBot="1">
      <c r="A1091" s="352">
        <v>40165</v>
      </c>
      <c r="B1091" s="353">
        <v>2.3188000000000002E-3</v>
      </c>
      <c r="C1091" s="353">
        <v>2.4069E-3</v>
      </c>
      <c r="D1091" s="353">
        <v>2.5125E-3</v>
      </c>
      <c r="E1091" s="353">
        <v>4.3537999999999997E-3</v>
      </c>
      <c r="F1091" s="354">
        <v>9.6837999999999994E-3</v>
      </c>
    </row>
    <row r="1092" spans="1:6" ht="12" thickBot="1">
      <c r="A1092" s="352">
        <v>40164</v>
      </c>
      <c r="B1092" s="353">
        <v>2.3313000000000001E-3</v>
      </c>
      <c r="C1092" s="353">
        <v>2.4069E-3</v>
      </c>
      <c r="D1092" s="353">
        <v>2.5338000000000001E-3</v>
      </c>
      <c r="E1092" s="353">
        <v>4.4387999999999997E-3</v>
      </c>
      <c r="F1092" s="354">
        <v>9.9162999999999994E-3</v>
      </c>
    </row>
    <row r="1093" spans="1:6" ht="12" thickBot="1">
      <c r="A1093" s="352">
        <v>40163</v>
      </c>
      <c r="B1093" s="353">
        <v>2.3249999999999998E-3</v>
      </c>
      <c r="C1093" s="353">
        <v>2.4093999999999999E-3</v>
      </c>
      <c r="D1093" s="353">
        <v>2.5374999999999998E-3</v>
      </c>
      <c r="E1093" s="353">
        <v>4.5125E-3</v>
      </c>
      <c r="F1093" s="354">
        <v>1.00375E-2</v>
      </c>
    </row>
    <row r="1094" spans="1:6" ht="12" thickBot="1">
      <c r="A1094" s="352">
        <v>40162</v>
      </c>
      <c r="B1094" s="353">
        <v>2.3249999999999998E-3</v>
      </c>
      <c r="C1094" s="353">
        <v>2.4093999999999999E-3</v>
      </c>
      <c r="D1094" s="353">
        <v>2.5344E-3</v>
      </c>
      <c r="E1094" s="353">
        <v>4.5250000000000004E-3</v>
      </c>
      <c r="F1094" s="354">
        <v>1.005E-2</v>
      </c>
    </row>
    <row r="1095" spans="1:6" ht="12" thickBot="1">
      <c r="A1095" s="352">
        <v>40161</v>
      </c>
      <c r="B1095" s="353">
        <v>2.3249999999999998E-3</v>
      </c>
      <c r="C1095" s="353">
        <v>2.4125000000000001E-3</v>
      </c>
      <c r="D1095" s="353">
        <v>2.5374999999999998E-3</v>
      </c>
      <c r="E1095" s="353">
        <v>4.5313000000000003E-3</v>
      </c>
      <c r="F1095" s="354">
        <v>1.0006299999999999E-2</v>
      </c>
    </row>
    <row r="1096" spans="1:6" ht="12" thickBot="1">
      <c r="A1096" s="352">
        <v>40158</v>
      </c>
      <c r="B1096" s="353">
        <v>2.3313000000000001E-3</v>
      </c>
      <c r="C1096" s="353">
        <v>2.4313E-3</v>
      </c>
      <c r="D1096" s="353">
        <v>2.5363E-3</v>
      </c>
      <c r="E1096" s="353">
        <v>4.5574999999999999E-3</v>
      </c>
      <c r="F1096" s="354">
        <v>1.004E-2</v>
      </c>
    </row>
    <row r="1097" spans="1:6" ht="12" thickBot="1">
      <c r="A1097" s="352">
        <v>40157</v>
      </c>
      <c r="B1097" s="353">
        <v>2.3406E-3</v>
      </c>
      <c r="C1097" s="353">
        <v>2.4375E-3</v>
      </c>
      <c r="D1097" s="353">
        <v>2.5425000000000001E-3</v>
      </c>
      <c r="E1097" s="353">
        <v>4.5756E-3</v>
      </c>
      <c r="F1097" s="354">
        <v>1.0064999999999999E-2</v>
      </c>
    </row>
    <row r="1098" spans="1:6" ht="12" thickBot="1">
      <c r="A1098" s="352">
        <v>40156</v>
      </c>
      <c r="B1098" s="353">
        <v>2.3406E-3</v>
      </c>
      <c r="C1098" s="353">
        <v>2.4375E-3</v>
      </c>
      <c r="D1098" s="353">
        <v>2.5519000000000002E-3</v>
      </c>
      <c r="E1098" s="353">
        <v>4.6188000000000002E-3</v>
      </c>
      <c r="F1098" s="354">
        <v>1.00663E-2</v>
      </c>
    </row>
    <row r="1099" spans="1:6" ht="12" thickBot="1">
      <c r="A1099" s="352">
        <v>40154</v>
      </c>
      <c r="B1099" s="353">
        <v>2.3468999999999999E-3</v>
      </c>
      <c r="C1099" s="353">
        <v>2.4437999999999999E-3</v>
      </c>
      <c r="D1099" s="353">
        <v>2.5655999999999999E-3</v>
      </c>
      <c r="E1099" s="353">
        <v>4.8437999999999997E-3</v>
      </c>
      <c r="F1099" s="354">
        <v>1.0543800000000001E-2</v>
      </c>
    </row>
    <row r="1100" spans="1:6" ht="12" thickBot="1">
      <c r="A1100" s="352">
        <v>40151</v>
      </c>
      <c r="B1100" s="353">
        <v>2.3468999999999999E-3</v>
      </c>
      <c r="C1100" s="353">
        <v>2.4437999999999999E-3</v>
      </c>
      <c r="D1100" s="353">
        <v>2.5655999999999999E-3</v>
      </c>
      <c r="E1100" s="353">
        <v>4.8374999999999998E-3</v>
      </c>
      <c r="F1100" s="354">
        <v>1.0256299999999999E-2</v>
      </c>
    </row>
    <row r="1101" spans="1:6" ht="12" thickBot="1">
      <c r="A1101" s="352">
        <v>40150</v>
      </c>
      <c r="B1101" s="353">
        <v>2.3468999999999999E-3</v>
      </c>
      <c r="C1101" s="353">
        <v>2.4375E-3</v>
      </c>
      <c r="D1101" s="353">
        <v>2.5531E-3</v>
      </c>
      <c r="E1101" s="353">
        <v>4.8500000000000001E-3</v>
      </c>
      <c r="F1101" s="354">
        <v>1.0293800000000001E-2</v>
      </c>
    </row>
    <row r="1102" spans="1:6" ht="12" thickBot="1">
      <c r="A1102" s="352">
        <v>40149</v>
      </c>
      <c r="B1102" s="353">
        <v>2.3438000000000001E-3</v>
      </c>
      <c r="C1102" s="353">
        <v>2.4344000000000002E-3</v>
      </c>
      <c r="D1102" s="353">
        <v>2.5500000000000002E-3</v>
      </c>
      <c r="E1102" s="353">
        <v>4.7812999999999996E-3</v>
      </c>
      <c r="F1102" s="354">
        <v>1.00313E-2</v>
      </c>
    </row>
    <row r="1103" spans="1:6" ht="12" thickBot="1">
      <c r="A1103" s="352">
        <v>40148</v>
      </c>
      <c r="B1103" s="353">
        <v>2.3468999999999999E-3</v>
      </c>
      <c r="C1103" s="353">
        <v>2.4375E-3</v>
      </c>
      <c r="D1103" s="353">
        <v>2.5531E-3</v>
      </c>
      <c r="E1103" s="353">
        <v>4.8187999999999998E-3</v>
      </c>
      <c r="F1103" s="354">
        <v>1.00813E-2</v>
      </c>
    </row>
    <row r="1104" spans="1:6" ht="12" thickBot="1">
      <c r="A1104" s="352">
        <v>40147</v>
      </c>
      <c r="B1104" s="353">
        <v>2.3530999999999999E-3</v>
      </c>
      <c r="C1104" s="353">
        <v>2.4437999999999999E-3</v>
      </c>
      <c r="D1104" s="353">
        <v>2.5655999999999999E-3</v>
      </c>
      <c r="E1104" s="353">
        <v>4.8812999999999999E-3</v>
      </c>
      <c r="F1104" s="354">
        <v>1.0175E-2</v>
      </c>
    </row>
    <row r="1105" spans="1:6" ht="12" thickBot="1">
      <c r="A1105" s="352">
        <v>40144</v>
      </c>
      <c r="B1105" s="353">
        <v>2.3530999999999999E-3</v>
      </c>
      <c r="C1105" s="353">
        <v>2.4313E-3</v>
      </c>
      <c r="D1105" s="353">
        <v>2.5563000000000001E-3</v>
      </c>
      <c r="E1105" s="353">
        <v>4.8437999999999997E-3</v>
      </c>
      <c r="F1105" s="354">
        <v>1.01125E-2</v>
      </c>
    </row>
    <row r="1106" spans="1:6" ht="12" thickBot="1">
      <c r="A1106" s="352">
        <v>40143</v>
      </c>
      <c r="B1106" s="353">
        <v>2.3406E-3</v>
      </c>
      <c r="C1106" s="353">
        <v>2.4375E-3</v>
      </c>
      <c r="D1106" s="353">
        <v>2.5438000000000001E-3</v>
      </c>
      <c r="E1106" s="353">
        <v>4.7625000000000002E-3</v>
      </c>
      <c r="F1106" s="354">
        <v>1.00313E-2</v>
      </c>
    </row>
    <row r="1107" spans="1:6" ht="12" thickBot="1">
      <c r="A1107" s="352">
        <v>40142</v>
      </c>
      <c r="B1107" s="353">
        <v>2.3406E-3</v>
      </c>
      <c r="C1107" s="353">
        <v>2.4375E-3</v>
      </c>
      <c r="D1107" s="353">
        <v>2.5563000000000001E-3</v>
      </c>
      <c r="E1107" s="353">
        <v>4.7812999999999996E-3</v>
      </c>
      <c r="F1107" s="354">
        <v>1.005E-2</v>
      </c>
    </row>
    <row r="1108" spans="1:6" ht="12" thickBot="1">
      <c r="A1108" s="352">
        <v>40141</v>
      </c>
      <c r="B1108" s="353">
        <v>2.3594000000000002E-3</v>
      </c>
      <c r="C1108" s="353">
        <v>2.4562999999999998E-3</v>
      </c>
      <c r="D1108" s="353">
        <v>2.6063000000000002E-3</v>
      </c>
      <c r="E1108" s="353">
        <v>4.8250000000000003E-3</v>
      </c>
      <c r="F1108" s="354">
        <v>1.0137500000000001E-2</v>
      </c>
    </row>
    <row r="1109" spans="1:6" ht="12" thickBot="1">
      <c r="A1109" s="352">
        <v>40140</v>
      </c>
      <c r="B1109" s="353">
        <v>2.3594000000000002E-3</v>
      </c>
      <c r="C1109" s="353">
        <v>2.4688000000000002E-3</v>
      </c>
      <c r="D1109" s="353">
        <v>2.6188000000000001E-3</v>
      </c>
      <c r="E1109" s="353">
        <v>4.8563E-3</v>
      </c>
      <c r="F1109" s="354">
        <v>1.0200000000000001E-2</v>
      </c>
    </row>
    <row r="1110" spans="1:6" ht="12" thickBot="1">
      <c r="A1110" s="352">
        <v>40137</v>
      </c>
      <c r="B1110" s="353">
        <v>2.3594000000000002E-3</v>
      </c>
      <c r="C1110" s="353">
        <v>2.4688000000000002E-3</v>
      </c>
      <c r="D1110" s="353">
        <v>2.6218999999999999E-3</v>
      </c>
      <c r="E1110" s="353">
        <v>4.8938000000000002E-3</v>
      </c>
      <c r="F1110" s="354">
        <v>1.0212499999999999E-2</v>
      </c>
    </row>
    <row r="1111" spans="1:6" ht="12" thickBot="1">
      <c r="A1111" s="352">
        <v>40136</v>
      </c>
      <c r="B1111" s="353">
        <v>2.3655999999999998E-3</v>
      </c>
      <c r="C1111" s="353">
        <v>2.4843999999999999E-3</v>
      </c>
      <c r="D1111" s="353">
        <v>2.6656000000000002E-3</v>
      </c>
      <c r="E1111" s="353">
        <v>4.9249999999999997E-3</v>
      </c>
      <c r="F1111" s="354">
        <v>1.0337499999999999E-2</v>
      </c>
    </row>
    <row r="1112" spans="1:6" ht="12" thickBot="1">
      <c r="A1112" s="352">
        <v>40135</v>
      </c>
      <c r="B1112" s="353">
        <v>2.3655999999999998E-3</v>
      </c>
      <c r="C1112" s="353">
        <v>2.4875000000000001E-3</v>
      </c>
      <c r="D1112" s="353">
        <v>2.6906E-3</v>
      </c>
      <c r="E1112" s="353">
        <v>5.0188000000000003E-3</v>
      </c>
      <c r="F1112" s="354">
        <v>1.055E-2</v>
      </c>
    </row>
    <row r="1113" spans="1:6" ht="12" thickBot="1">
      <c r="A1113" s="352">
        <v>40134</v>
      </c>
      <c r="B1113" s="353">
        <v>2.3687999999999999E-3</v>
      </c>
      <c r="C1113" s="353">
        <v>2.5000000000000001E-3</v>
      </c>
      <c r="D1113" s="353">
        <v>2.7030999999999999E-3</v>
      </c>
      <c r="E1113" s="353">
        <v>5.0625000000000002E-3</v>
      </c>
      <c r="F1113" s="354">
        <v>1.05938E-2</v>
      </c>
    </row>
    <row r="1114" spans="1:6" ht="12" thickBot="1">
      <c r="A1114" s="352">
        <v>40130</v>
      </c>
      <c r="B1114" s="353">
        <v>2.3749999999999999E-3</v>
      </c>
      <c r="C1114" s="353">
        <v>2.5030999999999999E-3</v>
      </c>
      <c r="D1114" s="353">
        <v>2.725E-3</v>
      </c>
      <c r="E1114" s="353">
        <v>5.2062999999999996E-3</v>
      </c>
      <c r="F1114" s="354">
        <v>1.0906300000000001E-2</v>
      </c>
    </row>
    <row r="1115" spans="1:6" ht="12" thickBot="1">
      <c r="A1115" s="352">
        <v>40129</v>
      </c>
      <c r="B1115" s="353">
        <v>2.3874999999999999E-3</v>
      </c>
      <c r="C1115" s="353">
        <v>2.5030999999999999E-3</v>
      </c>
      <c r="D1115" s="353">
        <v>2.725E-3</v>
      </c>
      <c r="E1115" s="353">
        <v>5.2437999999999999E-3</v>
      </c>
      <c r="F1115" s="354">
        <v>1.0981299999999999E-2</v>
      </c>
    </row>
    <row r="1116" spans="1:6" ht="12" thickBot="1">
      <c r="A1116" s="352">
        <v>40128</v>
      </c>
      <c r="B1116" s="353">
        <v>2.3874999999999999E-3</v>
      </c>
      <c r="C1116" s="353">
        <v>2.5030999999999999E-3</v>
      </c>
      <c r="D1116" s="353">
        <v>2.725E-3</v>
      </c>
      <c r="E1116" s="353">
        <v>5.3125000000000004E-3</v>
      </c>
      <c r="F1116" s="354">
        <v>1.10688E-2</v>
      </c>
    </row>
    <row r="1117" spans="1:6" ht="12" thickBot="1">
      <c r="A1117" s="352">
        <v>40127</v>
      </c>
      <c r="B1117" s="353">
        <v>2.3874999999999999E-3</v>
      </c>
      <c r="C1117" s="353">
        <v>2.5030999999999999E-3</v>
      </c>
      <c r="D1117" s="353">
        <v>2.725E-3</v>
      </c>
      <c r="E1117" s="353">
        <v>5.3625000000000001E-3</v>
      </c>
      <c r="F1117" s="354">
        <v>1.12E-2</v>
      </c>
    </row>
    <row r="1118" spans="1:6" ht="12" thickBot="1">
      <c r="A1118" s="352">
        <v>40126</v>
      </c>
      <c r="B1118" s="353">
        <v>2.3906000000000001E-3</v>
      </c>
      <c r="C1118" s="353">
        <v>2.5062999999999999E-3</v>
      </c>
      <c r="D1118" s="353">
        <v>2.725E-3</v>
      </c>
      <c r="E1118" s="353">
        <v>5.4063000000000002E-3</v>
      </c>
      <c r="F1118" s="354">
        <v>1.13125E-2</v>
      </c>
    </row>
    <row r="1119" spans="1:6" ht="12" thickBot="1">
      <c r="A1119" s="352">
        <v>40123</v>
      </c>
      <c r="B1119" s="353">
        <v>2.4156E-3</v>
      </c>
      <c r="C1119" s="353">
        <v>2.5313000000000002E-3</v>
      </c>
      <c r="D1119" s="353">
        <v>2.7406000000000002E-3</v>
      </c>
      <c r="E1119" s="353">
        <v>5.4999999999999997E-3</v>
      </c>
      <c r="F1119" s="354">
        <v>1.16125E-2</v>
      </c>
    </row>
    <row r="1120" spans="1:6" ht="12" thickBot="1">
      <c r="A1120" s="352">
        <v>40122</v>
      </c>
      <c r="B1120" s="353">
        <v>2.4156E-3</v>
      </c>
      <c r="C1120" s="353">
        <v>2.5313000000000002E-3</v>
      </c>
      <c r="D1120" s="353">
        <v>2.7531000000000001E-3</v>
      </c>
      <c r="E1120" s="353">
        <v>5.5399999999999998E-3</v>
      </c>
      <c r="F1120" s="354">
        <v>1.17E-2</v>
      </c>
    </row>
    <row r="1121" spans="1:6" ht="12" thickBot="1">
      <c r="A1121" s="352">
        <v>40121</v>
      </c>
      <c r="B1121" s="353">
        <v>2.4156E-3</v>
      </c>
      <c r="C1121" s="353">
        <v>2.5500000000000002E-3</v>
      </c>
      <c r="D1121" s="353">
        <v>2.7750000000000001E-3</v>
      </c>
      <c r="E1121" s="353">
        <v>5.6344000000000003E-3</v>
      </c>
      <c r="F1121" s="354">
        <v>1.18875E-2</v>
      </c>
    </row>
    <row r="1122" spans="1:6" ht="12" thickBot="1">
      <c r="A1122" s="352">
        <v>40120</v>
      </c>
      <c r="B1122" s="353">
        <v>2.4156E-3</v>
      </c>
      <c r="C1122" s="353">
        <v>2.5500000000000002E-3</v>
      </c>
      <c r="D1122" s="353">
        <v>2.7813E-3</v>
      </c>
      <c r="E1122" s="353">
        <v>5.6219E-3</v>
      </c>
      <c r="F1122" s="354">
        <v>1.1818800000000001E-2</v>
      </c>
    </row>
    <row r="1123" spans="1:6" ht="12" thickBot="1">
      <c r="A1123" s="352">
        <v>40116</v>
      </c>
      <c r="B1123" s="353">
        <v>2.4350000000000001E-3</v>
      </c>
      <c r="C1123" s="353">
        <v>2.5780999999999998E-3</v>
      </c>
      <c r="D1123" s="353">
        <v>2.8062999999999999E-3</v>
      </c>
      <c r="E1123" s="353">
        <v>5.6438E-3</v>
      </c>
      <c r="F1123" s="354">
        <v>1.1993800000000001E-2</v>
      </c>
    </row>
    <row r="1124" spans="1:6" ht="12" thickBot="1">
      <c r="A1124" s="352">
        <v>40115</v>
      </c>
      <c r="B1124" s="353">
        <v>2.4350000000000001E-3</v>
      </c>
      <c r="C1124" s="353">
        <v>2.5718999999999998E-3</v>
      </c>
      <c r="D1124" s="353">
        <v>2.8062999999999999E-3</v>
      </c>
      <c r="E1124" s="353">
        <v>5.6438E-3</v>
      </c>
      <c r="F1124" s="354">
        <v>1.19813E-2</v>
      </c>
    </row>
    <row r="1125" spans="1:6" ht="12" thickBot="1">
      <c r="A1125" s="352">
        <v>40114</v>
      </c>
      <c r="B1125" s="353">
        <v>2.4288000000000001E-3</v>
      </c>
      <c r="C1125" s="353">
        <v>2.5400000000000002E-3</v>
      </c>
      <c r="D1125" s="353">
        <v>2.8062999999999999E-3</v>
      </c>
      <c r="E1125" s="353">
        <v>5.7000000000000002E-3</v>
      </c>
      <c r="F1125" s="354">
        <v>1.2087499999999999E-2</v>
      </c>
    </row>
    <row r="1126" spans="1:6" ht="12" thickBot="1">
      <c r="A1126" s="352">
        <v>40113</v>
      </c>
      <c r="B1126" s="353">
        <v>2.4350000000000001E-3</v>
      </c>
      <c r="C1126" s="353">
        <v>2.5400000000000002E-3</v>
      </c>
      <c r="D1126" s="353">
        <v>2.8062999999999999E-3</v>
      </c>
      <c r="E1126" s="353">
        <v>5.7688000000000001E-3</v>
      </c>
      <c r="F1126" s="354">
        <v>1.23625E-2</v>
      </c>
    </row>
    <row r="1127" spans="1:6" ht="12" thickBot="1">
      <c r="A1127" s="352">
        <v>40112</v>
      </c>
      <c r="B1127" s="353">
        <v>2.4375E-3</v>
      </c>
      <c r="C1127" s="353">
        <v>2.5400000000000002E-3</v>
      </c>
      <c r="D1127" s="353">
        <v>2.8062999999999999E-3</v>
      </c>
      <c r="E1127" s="353">
        <v>5.8063000000000003E-3</v>
      </c>
      <c r="F1127" s="354">
        <v>1.24438E-2</v>
      </c>
    </row>
    <row r="1128" spans="1:6" ht="12" thickBot="1">
      <c r="A1128" s="352">
        <v>40109</v>
      </c>
      <c r="B1128" s="353">
        <v>2.4375E-3</v>
      </c>
      <c r="C1128" s="353">
        <v>2.5400000000000002E-3</v>
      </c>
      <c r="D1128" s="353">
        <v>2.8188000000000002E-3</v>
      </c>
      <c r="E1128" s="353">
        <v>5.8063000000000003E-3</v>
      </c>
      <c r="F1128" s="354">
        <v>1.235E-2</v>
      </c>
    </row>
    <row r="1129" spans="1:6" ht="12" thickBot="1">
      <c r="A1129" s="352">
        <v>40108</v>
      </c>
      <c r="B1129" s="353">
        <v>2.4375E-3</v>
      </c>
      <c r="C1129" s="353">
        <v>2.5400000000000002E-3</v>
      </c>
      <c r="D1129" s="353">
        <v>2.8219E-3</v>
      </c>
      <c r="E1129" s="353">
        <v>5.8187999999999998E-3</v>
      </c>
      <c r="F1129" s="354">
        <v>1.23188E-2</v>
      </c>
    </row>
    <row r="1130" spans="1:6" ht="12" thickBot="1">
      <c r="A1130" s="352">
        <v>40107</v>
      </c>
      <c r="B1130" s="353">
        <v>2.4375E-3</v>
      </c>
      <c r="C1130" s="353">
        <v>2.5425000000000001E-3</v>
      </c>
      <c r="D1130" s="353">
        <v>2.8343999999999999E-3</v>
      </c>
      <c r="E1130" s="353">
        <v>5.8500000000000002E-3</v>
      </c>
      <c r="F1130" s="354">
        <v>1.2274999999999999E-2</v>
      </c>
    </row>
    <row r="1131" spans="1:6" ht="12" thickBot="1">
      <c r="A1131" s="352">
        <v>40106</v>
      </c>
      <c r="B1131" s="353">
        <v>2.4499999999999999E-3</v>
      </c>
      <c r="C1131" s="353">
        <v>2.5425000000000001E-3</v>
      </c>
      <c r="D1131" s="353">
        <v>2.8313000000000001E-3</v>
      </c>
      <c r="E1131" s="353">
        <v>5.8563E-3</v>
      </c>
      <c r="F1131" s="354">
        <v>1.2387499999999999E-2</v>
      </c>
    </row>
    <row r="1132" spans="1:6" ht="12" thickBot="1">
      <c r="A1132" s="352">
        <v>40105</v>
      </c>
      <c r="B1132" s="353">
        <v>2.4499999999999999E-3</v>
      </c>
      <c r="C1132" s="353">
        <v>2.5313000000000002E-3</v>
      </c>
      <c r="D1132" s="353">
        <v>2.8338E-3</v>
      </c>
      <c r="E1132" s="353">
        <v>5.9249999999999997E-3</v>
      </c>
      <c r="F1132" s="354">
        <v>1.2500000000000001E-2</v>
      </c>
    </row>
    <row r="1133" spans="1:6" ht="12" thickBot="1">
      <c r="A1133" s="352">
        <v>40102</v>
      </c>
      <c r="B1133" s="353">
        <v>2.4499999999999999E-3</v>
      </c>
      <c r="C1133" s="353">
        <v>2.5374999999999998E-3</v>
      </c>
      <c r="D1133" s="353">
        <v>2.8406E-3</v>
      </c>
      <c r="E1133" s="353">
        <v>5.9125000000000002E-3</v>
      </c>
      <c r="F1133" s="354">
        <v>1.24688E-2</v>
      </c>
    </row>
    <row r="1134" spans="1:6" ht="12" thickBot="1">
      <c r="A1134" s="352">
        <v>40101</v>
      </c>
      <c r="B1134" s="353">
        <v>2.4499999999999999E-3</v>
      </c>
      <c r="C1134" s="353">
        <v>2.5374999999999998E-3</v>
      </c>
      <c r="D1134" s="353">
        <v>2.8406E-3</v>
      </c>
      <c r="E1134" s="353">
        <v>5.8999999999999999E-3</v>
      </c>
      <c r="F1134" s="354">
        <v>1.23813E-2</v>
      </c>
    </row>
    <row r="1135" spans="1:6" ht="12" thickBot="1">
      <c r="A1135" s="352">
        <v>40100</v>
      </c>
      <c r="B1135" s="353">
        <v>2.4499999999999999E-3</v>
      </c>
      <c r="C1135" s="353">
        <v>2.5374999999999998E-3</v>
      </c>
      <c r="D1135" s="353">
        <v>2.8406E-3</v>
      </c>
      <c r="E1135" s="353">
        <v>5.9312999999999996E-3</v>
      </c>
      <c r="F1135" s="354">
        <v>1.2324999999999999E-2</v>
      </c>
    </row>
    <row r="1136" spans="1:6" ht="12" thickBot="1">
      <c r="A1136" s="352">
        <v>40099</v>
      </c>
      <c r="B1136" s="353">
        <v>2.4499999999999999E-3</v>
      </c>
      <c r="C1136" s="353">
        <v>2.5374999999999998E-3</v>
      </c>
      <c r="D1136" s="353">
        <v>2.8438000000000001E-3</v>
      </c>
      <c r="E1136" s="353">
        <v>5.9563000000000003E-3</v>
      </c>
      <c r="F1136" s="354">
        <v>1.23938E-2</v>
      </c>
    </row>
    <row r="1137" spans="1:6" ht="12" thickBot="1">
      <c r="A1137" s="352">
        <v>40095</v>
      </c>
      <c r="B1137" s="353">
        <v>2.4499999999999999E-3</v>
      </c>
      <c r="C1137" s="353">
        <v>2.5374999999999998E-3</v>
      </c>
      <c r="D1137" s="353">
        <v>2.8438000000000001E-3</v>
      </c>
      <c r="E1137" s="353">
        <v>5.9687999999999998E-3</v>
      </c>
      <c r="F1137" s="354">
        <v>1.2225E-2</v>
      </c>
    </row>
    <row r="1138" spans="1:6" ht="12" thickBot="1">
      <c r="A1138" s="352">
        <v>40094</v>
      </c>
      <c r="B1138" s="353">
        <v>2.4437999999999999E-3</v>
      </c>
      <c r="C1138" s="353">
        <v>2.5374999999999998E-3</v>
      </c>
      <c r="D1138" s="353">
        <v>2.8438000000000001E-3</v>
      </c>
      <c r="E1138" s="353">
        <v>5.9750000000000003E-3</v>
      </c>
      <c r="F1138" s="354">
        <v>1.2131299999999999E-2</v>
      </c>
    </row>
    <row r="1139" spans="1:6" ht="12" thickBot="1">
      <c r="A1139" s="352">
        <v>40093</v>
      </c>
      <c r="B1139" s="353">
        <v>2.4437999999999999E-3</v>
      </c>
      <c r="C1139" s="353">
        <v>2.5374999999999998E-3</v>
      </c>
      <c r="D1139" s="353">
        <v>2.8438000000000001E-3</v>
      </c>
      <c r="E1139" s="353">
        <v>6.0000000000000001E-3</v>
      </c>
      <c r="F1139" s="354">
        <v>1.21688E-2</v>
      </c>
    </row>
    <row r="1140" spans="1:6" ht="12" thickBot="1">
      <c r="A1140" s="352">
        <v>40092</v>
      </c>
      <c r="B1140" s="353">
        <v>2.4437999999999999E-3</v>
      </c>
      <c r="C1140" s="353">
        <v>2.5374999999999998E-3</v>
      </c>
      <c r="D1140" s="353">
        <v>2.8406E-3</v>
      </c>
      <c r="E1140" s="353">
        <v>6.0000000000000001E-3</v>
      </c>
      <c r="F1140" s="354">
        <v>1.2125E-2</v>
      </c>
    </row>
    <row r="1141" spans="1:6" ht="12" thickBot="1">
      <c r="A1141" s="352">
        <v>40091</v>
      </c>
      <c r="B1141" s="353">
        <v>2.4437999999999999E-3</v>
      </c>
      <c r="C1141" s="353">
        <v>2.5313000000000002E-3</v>
      </c>
      <c r="D1141" s="353">
        <v>2.8406E-3</v>
      </c>
      <c r="E1141" s="353">
        <v>6.0188000000000004E-3</v>
      </c>
      <c r="F1141" s="354">
        <v>1.2068799999999999E-2</v>
      </c>
    </row>
    <row r="1142" spans="1:6" ht="12" thickBot="1">
      <c r="A1142" s="352">
        <v>40088</v>
      </c>
      <c r="B1142" s="353">
        <v>2.4437999999999999E-3</v>
      </c>
      <c r="C1142" s="353">
        <v>2.5249999999999999E-3</v>
      </c>
      <c r="D1142" s="353">
        <v>2.8406E-3</v>
      </c>
      <c r="E1142" s="353">
        <v>6.0312999999999999E-3</v>
      </c>
      <c r="F1142" s="354">
        <v>1.2125E-2</v>
      </c>
    </row>
    <row r="1143" spans="1:6" ht="12" thickBot="1">
      <c r="A1143" s="352">
        <v>40087</v>
      </c>
      <c r="B1143" s="353">
        <v>2.4562999999999998E-3</v>
      </c>
      <c r="C1143" s="353">
        <v>2.5313000000000002E-3</v>
      </c>
      <c r="D1143" s="353">
        <v>2.8438000000000001E-3</v>
      </c>
      <c r="E1143" s="353">
        <v>6.1999999999999998E-3</v>
      </c>
      <c r="F1143" s="354">
        <v>1.2418800000000001E-2</v>
      </c>
    </row>
    <row r="1144" spans="1:6" ht="12" thickBot="1">
      <c r="A1144" s="352">
        <v>40086</v>
      </c>
      <c r="B1144" s="353">
        <v>2.4562999999999998E-3</v>
      </c>
      <c r="C1144" s="353">
        <v>2.5249999999999999E-3</v>
      </c>
      <c r="D1144" s="353">
        <v>2.8687999999999999E-3</v>
      </c>
      <c r="E1144" s="353">
        <v>6.2874999999999997E-3</v>
      </c>
      <c r="F1144" s="354">
        <v>1.2637499999999999E-2</v>
      </c>
    </row>
    <row r="1145" spans="1:6" ht="12" thickBot="1">
      <c r="A1145" s="352">
        <v>40085</v>
      </c>
      <c r="B1145" s="353">
        <v>2.4624999999999998E-3</v>
      </c>
      <c r="C1145" s="353">
        <v>2.5374999999999998E-3</v>
      </c>
      <c r="D1145" s="353">
        <v>2.8969E-3</v>
      </c>
      <c r="E1145" s="353">
        <v>6.3125000000000004E-3</v>
      </c>
      <c r="F1145" s="354">
        <v>1.25375E-2</v>
      </c>
    </row>
    <row r="1146" spans="1:6" ht="12" thickBot="1">
      <c r="A1146" s="352">
        <v>40084</v>
      </c>
      <c r="B1146" s="353">
        <v>2.4624999999999998E-3</v>
      </c>
      <c r="C1146" s="353">
        <v>2.5374999999999998E-3</v>
      </c>
      <c r="D1146" s="353">
        <v>2.8249999999999998E-3</v>
      </c>
      <c r="E1146" s="353">
        <v>6.3874999999999999E-3</v>
      </c>
      <c r="F1146" s="354">
        <v>1.255E-2</v>
      </c>
    </row>
    <row r="1147" spans="1:6" ht="12" thickBot="1">
      <c r="A1147" s="352">
        <v>40081</v>
      </c>
      <c r="B1147" s="353">
        <v>2.4624999999999998E-3</v>
      </c>
      <c r="C1147" s="353">
        <v>2.5438000000000001E-3</v>
      </c>
      <c r="D1147" s="353">
        <v>2.8249999999999998E-3</v>
      </c>
      <c r="E1147" s="353">
        <v>6.3625000000000001E-3</v>
      </c>
      <c r="F1147" s="354">
        <v>1.2375000000000001E-2</v>
      </c>
    </row>
    <row r="1148" spans="1:6" ht="12" thickBot="1">
      <c r="A1148" s="352">
        <v>40080</v>
      </c>
      <c r="B1148" s="353">
        <v>2.4624999999999998E-3</v>
      </c>
      <c r="C1148" s="353">
        <v>2.5374999999999998E-3</v>
      </c>
      <c r="D1148" s="353">
        <v>2.8313000000000001E-3</v>
      </c>
      <c r="E1148" s="353">
        <v>6.3937999999999998E-3</v>
      </c>
      <c r="F1148" s="354">
        <v>1.2312500000000001E-2</v>
      </c>
    </row>
    <row r="1149" spans="1:6" ht="12" thickBot="1">
      <c r="A1149" s="352">
        <v>40079</v>
      </c>
      <c r="B1149" s="353">
        <v>2.4624999999999998E-3</v>
      </c>
      <c r="C1149" s="353">
        <v>2.5625000000000001E-3</v>
      </c>
      <c r="D1149" s="353">
        <v>2.8500000000000001E-3</v>
      </c>
      <c r="E1149" s="353">
        <v>6.6062999999999998E-3</v>
      </c>
      <c r="F1149" s="354">
        <v>1.2625000000000001E-2</v>
      </c>
    </row>
    <row r="1150" spans="1:6" ht="12" thickBot="1">
      <c r="A1150" s="352">
        <v>40078</v>
      </c>
      <c r="B1150" s="353">
        <v>2.4624999999999998E-3</v>
      </c>
      <c r="C1150" s="353">
        <v>2.575E-3</v>
      </c>
      <c r="D1150" s="353">
        <v>2.8563E-3</v>
      </c>
      <c r="E1150" s="353">
        <v>6.6813000000000003E-3</v>
      </c>
      <c r="F1150" s="354">
        <v>1.2699999999999999E-2</v>
      </c>
    </row>
    <row r="1151" spans="1:6" ht="12" thickBot="1">
      <c r="A1151" s="352">
        <v>40077</v>
      </c>
      <c r="B1151" s="353">
        <v>2.4624999999999998E-3</v>
      </c>
      <c r="C1151" s="353">
        <v>2.575E-3</v>
      </c>
      <c r="D1151" s="353">
        <v>2.8938000000000002E-3</v>
      </c>
      <c r="E1151" s="353">
        <v>6.7625000000000003E-3</v>
      </c>
      <c r="F1151" s="354">
        <v>1.28188E-2</v>
      </c>
    </row>
    <row r="1152" spans="1:6" ht="12" thickBot="1">
      <c r="A1152" s="352">
        <v>40074</v>
      </c>
      <c r="B1152" s="353">
        <v>2.4624999999999998E-3</v>
      </c>
      <c r="C1152" s="353">
        <v>2.575E-3</v>
      </c>
      <c r="D1152" s="353">
        <v>2.8938000000000002E-3</v>
      </c>
      <c r="E1152" s="353">
        <v>6.7562999999999998E-3</v>
      </c>
      <c r="F1152" s="354">
        <v>1.2718800000000001E-2</v>
      </c>
    </row>
    <row r="1153" spans="1:6" ht="12" thickBot="1">
      <c r="A1153" s="352">
        <v>40073</v>
      </c>
      <c r="B1153" s="353">
        <v>2.4624999999999998E-3</v>
      </c>
      <c r="C1153" s="353">
        <v>2.575E-3</v>
      </c>
      <c r="D1153" s="353">
        <v>2.9188E-3</v>
      </c>
      <c r="E1153" s="353">
        <v>6.7938E-3</v>
      </c>
      <c r="F1153" s="354">
        <v>1.29125E-2</v>
      </c>
    </row>
    <row r="1154" spans="1:6" ht="12" thickBot="1">
      <c r="A1154" s="352">
        <v>40072</v>
      </c>
      <c r="B1154" s="353">
        <v>2.4375E-3</v>
      </c>
      <c r="C1154" s="353">
        <v>2.5500000000000002E-3</v>
      </c>
      <c r="D1154" s="353">
        <v>2.9188E-3</v>
      </c>
      <c r="E1154" s="353">
        <v>6.7625000000000003E-3</v>
      </c>
      <c r="F1154" s="354">
        <v>1.26938E-2</v>
      </c>
    </row>
    <row r="1155" spans="1:6" ht="12" thickBot="1">
      <c r="A1155" s="352">
        <v>40071</v>
      </c>
      <c r="B1155" s="353">
        <v>2.4250000000000001E-3</v>
      </c>
      <c r="C1155" s="353">
        <v>2.5438000000000001E-3</v>
      </c>
      <c r="D1155" s="353">
        <v>2.9337999999999999E-3</v>
      </c>
      <c r="E1155" s="353">
        <v>6.7499999999999999E-3</v>
      </c>
      <c r="F1155" s="354">
        <v>1.26E-2</v>
      </c>
    </row>
    <row r="1156" spans="1:6" ht="12" thickBot="1">
      <c r="A1156" s="352">
        <v>40070</v>
      </c>
      <c r="B1156" s="353">
        <v>2.4125000000000001E-3</v>
      </c>
      <c r="C1156" s="353">
        <v>2.5438000000000001E-3</v>
      </c>
      <c r="D1156" s="353">
        <v>2.9499999999999999E-3</v>
      </c>
      <c r="E1156" s="353">
        <v>6.7625000000000003E-3</v>
      </c>
      <c r="F1156" s="354">
        <v>1.25375E-2</v>
      </c>
    </row>
    <row r="1157" spans="1:6" ht="12" thickBot="1">
      <c r="A1157" s="352">
        <v>40067</v>
      </c>
      <c r="B1157" s="353">
        <v>2.4337999999999999E-3</v>
      </c>
      <c r="C1157" s="353">
        <v>2.5712999999999999E-3</v>
      </c>
      <c r="D1157" s="353">
        <v>2.99E-3</v>
      </c>
      <c r="E1157" s="353">
        <v>6.7749999999999998E-3</v>
      </c>
      <c r="F1157" s="354">
        <v>1.25375E-2</v>
      </c>
    </row>
    <row r="1158" spans="1:6" ht="12" thickBot="1">
      <c r="A1158" s="352">
        <v>40066</v>
      </c>
      <c r="B1158" s="353">
        <v>2.4375E-3</v>
      </c>
      <c r="C1158" s="353">
        <v>2.5812999999999999E-3</v>
      </c>
      <c r="D1158" s="353">
        <v>2.9968999999999998E-3</v>
      </c>
      <c r="E1158" s="353">
        <v>6.8250000000000003E-3</v>
      </c>
      <c r="F1158" s="354">
        <v>1.26125E-2</v>
      </c>
    </row>
    <row r="1159" spans="1:6" ht="12" thickBot="1">
      <c r="A1159" s="352">
        <v>40065</v>
      </c>
      <c r="B1159" s="353">
        <v>2.4588000000000001E-3</v>
      </c>
      <c r="C1159" s="353">
        <v>2.5837999999999998E-3</v>
      </c>
      <c r="D1159" s="353">
        <v>2.9868999999999998E-3</v>
      </c>
      <c r="E1159" s="353">
        <v>6.8875000000000004E-3</v>
      </c>
      <c r="F1159" s="354">
        <v>1.26625E-2</v>
      </c>
    </row>
    <row r="1160" spans="1:6" ht="12" thickBot="1">
      <c r="A1160" s="352">
        <v>40064</v>
      </c>
      <c r="B1160" s="353">
        <v>2.4938E-3</v>
      </c>
      <c r="C1160" s="353">
        <v>2.6063000000000002E-3</v>
      </c>
      <c r="D1160" s="353">
        <v>3.0187999999999999E-3</v>
      </c>
      <c r="E1160" s="353">
        <v>7.0000000000000001E-3</v>
      </c>
      <c r="F1160" s="354">
        <v>1.27875E-2</v>
      </c>
    </row>
    <row r="1161" spans="1:6" ht="12" thickBot="1">
      <c r="A1161" s="352">
        <v>40059</v>
      </c>
      <c r="B1161" s="353">
        <v>2.5313000000000002E-3</v>
      </c>
      <c r="C1161" s="353">
        <v>2.6874999999999998E-3</v>
      </c>
      <c r="D1161" s="353">
        <v>3.2188E-3</v>
      </c>
      <c r="E1161" s="353">
        <v>7.1938000000000002E-3</v>
      </c>
      <c r="F1161" s="354">
        <v>1.2906300000000001E-2</v>
      </c>
    </row>
    <row r="1162" spans="1:6" ht="12" thickBot="1">
      <c r="A1162" s="352">
        <v>40058</v>
      </c>
      <c r="B1162" s="353">
        <v>2.5438000000000001E-3</v>
      </c>
      <c r="C1162" s="353">
        <v>2.725E-3</v>
      </c>
      <c r="D1162" s="353">
        <v>3.3E-3</v>
      </c>
      <c r="E1162" s="353">
        <v>7.2624999999999999E-3</v>
      </c>
      <c r="F1162" s="354">
        <v>1.295E-2</v>
      </c>
    </row>
    <row r="1163" spans="1:6" ht="12" thickBot="1">
      <c r="A1163" s="352">
        <v>40057</v>
      </c>
      <c r="B1163" s="353">
        <v>2.5625000000000001E-3</v>
      </c>
      <c r="C1163" s="353">
        <v>2.7437999999999998E-3</v>
      </c>
      <c r="D1163" s="353">
        <v>3.3438000000000001E-3</v>
      </c>
      <c r="E1163" s="353">
        <v>7.2874999999999997E-3</v>
      </c>
      <c r="F1163" s="354">
        <v>1.2968800000000001E-2</v>
      </c>
    </row>
    <row r="1164" spans="1:6" ht="12" thickBot="1">
      <c r="A1164" s="352">
        <v>40056</v>
      </c>
      <c r="B1164" s="353">
        <v>2.5875E-3</v>
      </c>
      <c r="C1164" s="353">
        <v>2.8E-3</v>
      </c>
      <c r="D1164" s="353">
        <v>3.4749999999999998E-3</v>
      </c>
      <c r="E1164" s="353">
        <v>7.5500000000000003E-3</v>
      </c>
      <c r="F1164" s="354">
        <v>1.3299999999999999E-2</v>
      </c>
    </row>
    <row r="1165" spans="1:6" ht="12" thickBot="1">
      <c r="A1165" s="352">
        <v>40053</v>
      </c>
      <c r="B1165" s="353">
        <v>2.5875E-3</v>
      </c>
      <c r="C1165" s="353">
        <v>2.8E-3</v>
      </c>
      <c r="D1165" s="353">
        <v>3.4749999999999998E-3</v>
      </c>
      <c r="E1165" s="353">
        <v>7.5500000000000003E-3</v>
      </c>
      <c r="F1165" s="354">
        <v>1.3299999999999999E-2</v>
      </c>
    </row>
    <row r="1166" spans="1:6" ht="12" thickBot="1">
      <c r="A1166" s="352">
        <v>40052</v>
      </c>
      <c r="B1166" s="353">
        <v>2.6124999999999998E-3</v>
      </c>
      <c r="C1166" s="353">
        <v>2.8812999999999998E-3</v>
      </c>
      <c r="D1166" s="353">
        <v>3.6062999999999998E-3</v>
      </c>
      <c r="E1166" s="353">
        <v>7.7313E-3</v>
      </c>
      <c r="F1166" s="354">
        <v>1.3462500000000001E-2</v>
      </c>
    </row>
    <row r="1167" spans="1:6" ht="12" thickBot="1">
      <c r="A1167" s="352">
        <v>40051</v>
      </c>
      <c r="B1167" s="353">
        <v>2.6063000000000002E-3</v>
      </c>
      <c r="C1167" s="353">
        <v>2.9188E-3</v>
      </c>
      <c r="D1167" s="353">
        <v>3.7188E-3</v>
      </c>
      <c r="E1167" s="353">
        <v>7.8250000000000004E-3</v>
      </c>
      <c r="F1167" s="354">
        <v>1.355E-2</v>
      </c>
    </row>
    <row r="1168" spans="1:6" ht="12" thickBot="1">
      <c r="A1168" s="352">
        <v>40050</v>
      </c>
      <c r="B1168" s="353">
        <v>2.6281E-3</v>
      </c>
      <c r="C1168" s="353">
        <v>2.9437999999999999E-3</v>
      </c>
      <c r="D1168" s="353">
        <v>3.8E-3</v>
      </c>
      <c r="E1168" s="353">
        <v>7.8499999999999993E-3</v>
      </c>
      <c r="F1168" s="354">
        <v>1.355E-2</v>
      </c>
    </row>
    <row r="1169" spans="1:6" ht="12" thickBot="1">
      <c r="A1169" s="352">
        <v>40049</v>
      </c>
      <c r="B1169" s="353">
        <v>2.6438E-3</v>
      </c>
      <c r="C1169" s="353">
        <v>2.9688000000000002E-3</v>
      </c>
      <c r="D1169" s="353">
        <v>3.8687999999999999E-3</v>
      </c>
      <c r="E1169" s="353">
        <v>7.9625000000000008E-3</v>
      </c>
      <c r="F1169" s="354">
        <v>1.3837500000000001E-2</v>
      </c>
    </row>
    <row r="1170" spans="1:6" ht="12" thickBot="1">
      <c r="A1170" s="352">
        <v>40046</v>
      </c>
      <c r="B1170" s="353">
        <v>2.6562999999999999E-3</v>
      </c>
      <c r="C1170" s="353">
        <v>3.0000000000000001E-3</v>
      </c>
      <c r="D1170" s="353">
        <v>3.9313000000000004E-3</v>
      </c>
      <c r="E1170" s="353">
        <v>7.9625000000000008E-3</v>
      </c>
      <c r="F1170" s="354">
        <v>1.3487499999999999E-2</v>
      </c>
    </row>
    <row r="1171" spans="1:6" ht="12" thickBot="1">
      <c r="A1171" s="352">
        <v>40045</v>
      </c>
      <c r="B1171" s="353">
        <v>2.6749999999999999E-3</v>
      </c>
      <c r="C1171" s="353">
        <v>3.0312999999999998E-3</v>
      </c>
      <c r="D1171" s="353">
        <v>4.0688E-3</v>
      </c>
      <c r="E1171" s="353">
        <v>8.0874999999999992E-3</v>
      </c>
      <c r="F1171" s="354">
        <v>1.38125E-2</v>
      </c>
    </row>
    <row r="1172" spans="1:6" ht="12" thickBot="1">
      <c r="A1172" s="352">
        <v>40044</v>
      </c>
      <c r="B1172" s="353">
        <v>2.6874999999999998E-3</v>
      </c>
      <c r="C1172" s="353">
        <v>3.0500000000000002E-3</v>
      </c>
      <c r="D1172" s="353">
        <v>4.1875000000000002E-3</v>
      </c>
      <c r="E1172" s="353">
        <v>8.1375000000000006E-3</v>
      </c>
      <c r="F1172" s="354">
        <v>1.37E-2</v>
      </c>
    </row>
    <row r="1173" spans="1:6" ht="12" thickBot="1">
      <c r="A1173" s="352">
        <v>40043</v>
      </c>
      <c r="B1173" s="353">
        <v>2.725E-3</v>
      </c>
      <c r="C1173" s="353">
        <v>3.0688E-3</v>
      </c>
      <c r="D1173" s="353">
        <v>4.2500000000000003E-3</v>
      </c>
      <c r="E1173" s="353">
        <v>8.2500000000000004E-3</v>
      </c>
      <c r="F1173" s="354">
        <v>1.3899999999999999E-2</v>
      </c>
    </row>
    <row r="1174" spans="1:6" ht="12" thickBot="1">
      <c r="A1174" s="352">
        <v>40039</v>
      </c>
      <c r="B1174" s="353">
        <v>2.725E-3</v>
      </c>
      <c r="C1174" s="353">
        <v>3.0875E-3</v>
      </c>
      <c r="D1174" s="353">
        <v>4.2938000000000004E-3</v>
      </c>
      <c r="E1174" s="353">
        <v>8.3187999999999995E-3</v>
      </c>
      <c r="F1174" s="354">
        <v>1.3899999999999999E-2</v>
      </c>
    </row>
    <row r="1175" spans="1:6" ht="12" thickBot="1">
      <c r="A1175" s="352">
        <v>40038</v>
      </c>
      <c r="B1175" s="353">
        <v>2.7280999999999998E-3</v>
      </c>
      <c r="C1175" s="353">
        <v>3.15E-3</v>
      </c>
      <c r="D1175" s="353">
        <v>4.4000000000000003E-3</v>
      </c>
      <c r="E1175" s="353">
        <v>8.5124999999999992E-3</v>
      </c>
      <c r="F1175" s="354">
        <v>1.41875E-2</v>
      </c>
    </row>
    <row r="1176" spans="1:6" ht="12" thickBot="1">
      <c r="A1176" s="352">
        <v>40037</v>
      </c>
      <c r="B1176" s="353">
        <v>2.7406000000000002E-3</v>
      </c>
      <c r="C1176" s="353">
        <v>3.1938000000000001E-3</v>
      </c>
      <c r="D1176" s="353">
        <v>4.4968999999999999E-3</v>
      </c>
      <c r="E1176" s="353">
        <v>8.6875000000000008E-3</v>
      </c>
      <c r="F1176" s="354">
        <v>1.46E-2</v>
      </c>
    </row>
    <row r="1177" spans="1:6" ht="12" thickBot="1">
      <c r="A1177" s="352">
        <v>40036</v>
      </c>
      <c r="B1177" s="353">
        <v>2.745E-3</v>
      </c>
      <c r="C1177" s="353">
        <v>3.2063E-3</v>
      </c>
      <c r="D1177" s="353">
        <v>4.5437999999999997E-3</v>
      </c>
      <c r="E1177" s="353">
        <v>8.9125000000000003E-3</v>
      </c>
      <c r="F1177" s="354">
        <v>1.51063E-2</v>
      </c>
    </row>
    <row r="1178" spans="1:6" ht="12" thickBot="1">
      <c r="A1178" s="352">
        <v>40035</v>
      </c>
      <c r="B1178" s="353">
        <v>2.7499999999999998E-3</v>
      </c>
      <c r="C1178" s="353">
        <v>3.225E-3</v>
      </c>
      <c r="D1178" s="353">
        <v>4.5875000000000004E-3</v>
      </c>
      <c r="E1178" s="353">
        <v>9.0813000000000005E-3</v>
      </c>
      <c r="F1178" s="354">
        <v>1.54875E-2</v>
      </c>
    </row>
    <row r="1179" spans="1:6" ht="12" thickBot="1">
      <c r="A1179" s="352">
        <v>40031</v>
      </c>
      <c r="B1179" s="353">
        <v>2.7563000000000002E-3</v>
      </c>
      <c r="C1179" s="353">
        <v>3.225E-3</v>
      </c>
      <c r="D1179" s="353">
        <v>4.6438E-3</v>
      </c>
      <c r="E1179" s="353">
        <v>9.0875000000000001E-3</v>
      </c>
      <c r="F1179" s="354">
        <v>1.51063E-2</v>
      </c>
    </row>
    <row r="1180" spans="1:6" ht="12" thickBot="1">
      <c r="A1180" s="352">
        <v>40030</v>
      </c>
      <c r="B1180" s="353">
        <v>2.7563000000000002E-3</v>
      </c>
      <c r="C1180" s="353">
        <v>3.2437999999999998E-3</v>
      </c>
      <c r="D1180" s="353">
        <v>4.6813000000000002E-3</v>
      </c>
      <c r="E1180" s="353">
        <v>9.0938000000000008E-3</v>
      </c>
      <c r="F1180" s="354">
        <v>1.50063E-2</v>
      </c>
    </row>
    <row r="1181" spans="1:6" ht="12" thickBot="1">
      <c r="A1181" s="352">
        <v>40029</v>
      </c>
      <c r="B1181" s="353">
        <v>2.7563000000000002E-3</v>
      </c>
      <c r="C1181" s="353">
        <v>3.2625000000000002E-3</v>
      </c>
      <c r="D1181" s="353">
        <v>4.7063000000000001E-3</v>
      </c>
      <c r="E1181" s="353">
        <v>9.0875000000000001E-3</v>
      </c>
      <c r="F1181" s="354">
        <v>1.48813E-2</v>
      </c>
    </row>
    <row r="1182" spans="1:6" ht="12" thickBot="1">
      <c r="A1182" s="352">
        <v>40028</v>
      </c>
      <c r="B1182" s="353">
        <v>2.7563000000000002E-3</v>
      </c>
      <c r="C1182" s="353">
        <v>3.2625000000000002E-3</v>
      </c>
      <c r="D1182" s="353">
        <v>4.7188000000000004E-3</v>
      </c>
      <c r="E1182" s="353">
        <v>9.0375000000000004E-3</v>
      </c>
      <c r="F1182" s="354">
        <v>1.47563E-2</v>
      </c>
    </row>
    <row r="1183" spans="1:6" ht="12" thickBot="1">
      <c r="A1183" s="352">
        <v>40025</v>
      </c>
      <c r="B1183" s="353">
        <v>2.7937999999999999E-3</v>
      </c>
      <c r="C1183" s="353">
        <v>3.3E-3</v>
      </c>
      <c r="D1183" s="353">
        <v>4.7938E-3</v>
      </c>
      <c r="E1183" s="353">
        <v>9.2499999999999995E-3</v>
      </c>
      <c r="F1183" s="354">
        <v>1.4975E-2</v>
      </c>
    </row>
    <row r="1184" spans="1:6" ht="12" thickBot="1">
      <c r="A1184" s="352">
        <v>40024</v>
      </c>
      <c r="B1184" s="353">
        <v>2.8062999999999999E-3</v>
      </c>
      <c r="C1184" s="353">
        <v>3.3438000000000001E-3</v>
      </c>
      <c r="D1184" s="353">
        <v>4.8313000000000002E-3</v>
      </c>
      <c r="E1184" s="353">
        <v>9.2999999999999992E-3</v>
      </c>
      <c r="F1184" s="354">
        <v>1.5025E-2</v>
      </c>
    </row>
    <row r="1185" spans="1:6" ht="12" thickBot="1">
      <c r="A1185" s="352">
        <v>40023</v>
      </c>
      <c r="B1185" s="353">
        <v>2.8500000000000001E-3</v>
      </c>
      <c r="C1185" s="353">
        <v>3.3874999999999999E-3</v>
      </c>
      <c r="D1185" s="353">
        <v>4.875E-3</v>
      </c>
      <c r="E1185" s="353">
        <v>9.325E-3</v>
      </c>
      <c r="F1185" s="354">
        <v>1.485E-2</v>
      </c>
    </row>
    <row r="1186" spans="1:6" ht="12" thickBot="1">
      <c r="A1186" s="352">
        <v>40022</v>
      </c>
      <c r="B1186" s="353">
        <v>2.8500000000000001E-3</v>
      </c>
      <c r="C1186" s="353">
        <v>3.3999999999999998E-3</v>
      </c>
      <c r="D1186" s="353">
        <v>4.9125000000000002E-3</v>
      </c>
      <c r="E1186" s="353">
        <v>9.3624999999999993E-3</v>
      </c>
      <c r="F1186" s="354">
        <v>1.47875E-2</v>
      </c>
    </row>
    <row r="1187" spans="1:6" ht="12" thickBot="1">
      <c r="A1187" s="352">
        <v>40021</v>
      </c>
      <c r="B1187" s="353">
        <v>2.875E-3</v>
      </c>
      <c r="C1187" s="353">
        <v>3.4437999999999999E-3</v>
      </c>
      <c r="D1187" s="353">
        <v>4.9624999999999999E-3</v>
      </c>
      <c r="E1187" s="353">
        <v>9.4750000000000008E-3</v>
      </c>
      <c r="F1187" s="354">
        <v>1.4925000000000001E-2</v>
      </c>
    </row>
    <row r="1188" spans="1:6" ht="12" thickBot="1">
      <c r="A1188" s="352">
        <v>40018</v>
      </c>
      <c r="B1188" s="353">
        <v>2.8500000000000001E-3</v>
      </c>
      <c r="C1188" s="353">
        <v>3.4688000000000002E-3</v>
      </c>
      <c r="D1188" s="353">
        <v>5.0188000000000003E-3</v>
      </c>
      <c r="E1188" s="353">
        <v>9.5063000000000005E-3</v>
      </c>
      <c r="F1188" s="354">
        <v>1.48938E-2</v>
      </c>
    </row>
    <row r="1189" spans="1:6" ht="12" thickBot="1">
      <c r="A1189" s="352">
        <v>40017</v>
      </c>
      <c r="B1189" s="353">
        <v>2.8500000000000001E-3</v>
      </c>
      <c r="C1189" s="353">
        <v>3.4562999999999998E-3</v>
      </c>
      <c r="D1189" s="353">
        <v>5.0375000000000003E-3</v>
      </c>
      <c r="E1189" s="353">
        <v>9.4563000000000008E-3</v>
      </c>
      <c r="F1189" s="354">
        <v>1.4731299999999999E-2</v>
      </c>
    </row>
    <row r="1190" spans="1:6" ht="12" thickBot="1">
      <c r="A1190" s="352">
        <v>40016</v>
      </c>
      <c r="B1190" s="353">
        <v>2.8500000000000001E-3</v>
      </c>
      <c r="C1190" s="353">
        <v>3.4688000000000002E-3</v>
      </c>
      <c r="D1190" s="353">
        <v>5.0188000000000003E-3</v>
      </c>
      <c r="E1190" s="353">
        <v>9.5063000000000005E-3</v>
      </c>
      <c r="F1190" s="354">
        <v>1.47875E-2</v>
      </c>
    </row>
    <row r="1191" spans="1:6" ht="12" thickBot="1">
      <c r="A1191" s="352">
        <v>40015</v>
      </c>
      <c r="B1191" s="353">
        <v>2.8500000000000001E-3</v>
      </c>
      <c r="C1191" s="353">
        <v>3.4875000000000001E-3</v>
      </c>
      <c r="D1191" s="353">
        <v>5.0312999999999998E-3</v>
      </c>
      <c r="E1191" s="353">
        <v>9.6124999999999995E-3</v>
      </c>
      <c r="F1191" s="354">
        <v>1.49E-2</v>
      </c>
    </row>
    <row r="1192" spans="1:6" ht="12" thickBot="1">
      <c r="A1192" s="352">
        <v>40011</v>
      </c>
      <c r="B1192" s="353">
        <v>2.8625E-3</v>
      </c>
      <c r="C1192" s="353">
        <v>3.5000000000000001E-3</v>
      </c>
      <c r="D1192" s="353">
        <v>5.0375000000000003E-3</v>
      </c>
      <c r="E1192" s="353">
        <v>9.7125000000000006E-3</v>
      </c>
      <c r="F1192" s="354">
        <v>1.49125E-2</v>
      </c>
    </row>
    <row r="1193" spans="1:6" ht="12" thickBot="1">
      <c r="A1193" s="352">
        <v>40010</v>
      </c>
      <c r="B1193" s="353">
        <v>2.8874999999999999E-3</v>
      </c>
      <c r="C1193" s="353">
        <v>3.5312999999999998E-3</v>
      </c>
      <c r="D1193" s="353">
        <v>5.1000000000000004E-3</v>
      </c>
      <c r="E1193" s="353">
        <v>9.8499999999999994E-3</v>
      </c>
      <c r="F1193" s="354">
        <v>1.50875E-2</v>
      </c>
    </row>
    <row r="1194" spans="1:6" ht="12" thickBot="1">
      <c r="A1194" s="352">
        <v>40009</v>
      </c>
      <c r="B1194" s="353">
        <v>2.875E-3</v>
      </c>
      <c r="C1194" s="353">
        <v>3.5438000000000002E-3</v>
      </c>
      <c r="D1194" s="353">
        <v>5.1374999999999997E-3</v>
      </c>
      <c r="E1194" s="353">
        <v>9.8750000000000001E-3</v>
      </c>
      <c r="F1194" s="354">
        <v>1.5075E-2</v>
      </c>
    </row>
    <row r="1195" spans="1:6" ht="12" thickBot="1">
      <c r="A1195" s="352">
        <v>40008</v>
      </c>
      <c r="B1195" s="353">
        <v>2.875E-3</v>
      </c>
      <c r="C1195" s="353">
        <v>3.5688E-3</v>
      </c>
      <c r="D1195" s="353">
        <v>5.1313000000000001E-3</v>
      </c>
      <c r="E1195" s="353">
        <v>9.8375000000000008E-3</v>
      </c>
      <c r="F1195" s="354">
        <v>1.4937499999999999E-2</v>
      </c>
    </row>
    <row r="1196" spans="1:6" ht="12" thickBot="1">
      <c r="A1196" s="352">
        <v>40007</v>
      </c>
      <c r="B1196" s="353">
        <v>2.8812999999999998E-3</v>
      </c>
      <c r="C1196" s="353">
        <v>3.5688E-3</v>
      </c>
      <c r="D1196" s="353">
        <v>5.0937999999999999E-3</v>
      </c>
      <c r="E1196" s="353">
        <v>9.6500000000000006E-3</v>
      </c>
      <c r="F1196" s="354">
        <v>1.46125E-2</v>
      </c>
    </row>
    <row r="1197" spans="1:6" ht="12" thickBot="1">
      <c r="A1197" s="352">
        <v>40004</v>
      </c>
      <c r="B1197" s="353">
        <v>2.9250000000000001E-3</v>
      </c>
      <c r="C1197" s="353">
        <v>3.5750000000000001E-3</v>
      </c>
      <c r="D1197" s="353">
        <v>5.0499999999999998E-3</v>
      </c>
      <c r="E1197" s="353">
        <v>9.6749999999999996E-3</v>
      </c>
      <c r="F1197" s="354">
        <v>1.4562500000000001E-2</v>
      </c>
    </row>
    <row r="1198" spans="1:6" ht="12" thickBot="1">
      <c r="A1198" s="352">
        <v>40003</v>
      </c>
      <c r="B1198" s="353">
        <v>2.9624999999999999E-3</v>
      </c>
      <c r="C1198" s="353">
        <v>3.6749999999999999E-3</v>
      </c>
      <c r="D1198" s="353">
        <v>5.1000000000000004E-3</v>
      </c>
      <c r="E1198" s="353">
        <v>9.8563000000000001E-3</v>
      </c>
      <c r="F1198" s="354">
        <v>1.4749999999999999E-2</v>
      </c>
    </row>
    <row r="1199" spans="1:6" ht="12" thickBot="1">
      <c r="A1199" s="352">
        <v>40002</v>
      </c>
      <c r="B1199" s="353">
        <v>3.0000000000000001E-3</v>
      </c>
      <c r="C1199" s="353">
        <v>3.7624999999999998E-3</v>
      </c>
      <c r="D1199" s="353">
        <v>5.2500000000000003E-3</v>
      </c>
      <c r="E1199" s="353">
        <v>1.005E-2</v>
      </c>
      <c r="F1199" s="354">
        <v>1.4937499999999999E-2</v>
      </c>
    </row>
    <row r="1200" spans="1:6" ht="12" thickBot="1">
      <c r="A1200" s="352">
        <v>40001</v>
      </c>
      <c r="B1200" s="353">
        <v>3.0187999999999999E-3</v>
      </c>
      <c r="C1200" s="353">
        <v>3.8874999999999999E-3</v>
      </c>
      <c r="D1200" s="353">
        <v>5.3749999999999996E-3</v>
      </c>
      <c r="E1200" s="353">
        <v>1.0225E-2</v>
      </c>
      <c r="F1200" s="354">
        <v>1.5112499999999999E-2</v>
      </c>
    </row>
    <row r="1201" spans="1:6" ht="12" thickBot="1">
      <c r="A1201" s="352">
        <v>40000</v>
      </c>
      <c r="B1201" s="353">
        <v>3.0187999999999999E-3</v>
      </c>
      <c r="C1201" s="353">
        <v>3.9563000000000003E-3</v>
      </c>
      <c r="D1201" s="353">
        <v>5.4812999999999997E-3</v>
      </c>
      <c r="E1201" s="353">
        <v>1.03125E-2</v>
      </c>
      <c r="F1201" s="354">
        <v>1.51375E-2</v>
      </c>
    </row>
    <row r="1202" spans="1:6" ht="12" thickBot="1">
      <c r="A1202" s="352">
        <v>39997</v>
      </c>
      <c r="B1202" s="353">
        <v>3.0125E-3</v>
      </c>
      <c r="C1202" s="353">
        <v>3.9874999999999997E-3</v>
      </c>
      <c r="D1202" s="353">
        <v>5.5874999999999996E-3</v>
      </c>
      <c r="E1202" s="353">
        <v>1.0512499999999999E-2</v>
      </c>
      <c r="F1202" s="354">
        <v>1.53125E-2</v>
      </c>
    </row>
    <row r="1203" spans="1:6" ht="12" thickBot="1">
      <c r="A1203" s="352">
        <v>39996</v>
      </c>
      <c r="B1203" s="353">
        <v>3.0438000000000002E-3</v>
      </c>
      <c r="C1203" s="353">
        <v>4.0688E-3</v>
      </c>
      <c r="D1203" s="353">
        <v>5.7749999999999998E-3</v>
      </c>
      <c r="E1203" s="353">
        <v>1.07875E-2</v>
      </c>
      <c r="F1203" s="354">
        <v>1.5762499999999999E-2</v>
      </c>
    </row>
    <row r="1204" spans="1:6" ht="12" thickBot="1">
      <c r="A1204" s="352">
        <v>39995</v>
      </c>
      <c r="B1204" s="353">
        <v>3.0625000000000001E-3</v>
      </c>
      <c r="C1204" s="353">
        <v>4.0937999999999999E-3</v>
      </c>
      <c r="D1204" s="353">
        <v>5.875E-3</v>
      </c>
      <c r="E1204" s="353">
        <v>1.09125E-2</v>
      </c>
      <c r="F1204" s="354">
        <v>1.5900000000000001E-2</v>
      </c>
    </row>
    <row r="1205" spans="1:6" ht="12" thickBot="1">
      <c r="A1205" s="352">
        <v>39994</v>
      </c>
      <c r="B1205" s="353">
        <v>3.0875E-3</v>
      </c>
      <c r="C1205" s="353">
        <v>4.1437999999999996E-3</v>
      </c>
      <c r="D1205" s="353">
        <v>5.9500000000000004E-3</v>
      </c>
      <c r="E1205" s="353">
        <v>1.1112500000000001E-2</v>
      </c>
      <c r="F1205" s="354">
        <v>1.60625E-2</v>
      </c>
    </row>
    <row r="1206" spans="1:6" ht="12" thickBot="1">
      <c r="A1206" s="352">
        <v>39990</v>
      </c>
      <c r="B1206" s="353">
        <v>3.0999999999999999E-3</v>
      </c>
      <c r="C1206" s="353">
        <v>4.1999999999999997E-3</v>
      </c>
      <c r="D1206" s="353">
        <v>5.9750000000000003E-3</v>
      </c>
      <c r="E1206" s="353">
        <v>1.095E-2</v>
      </c>
      <c r="F1206" s="354">
        <v>1.59125E-2</v>
      </c>
    </row>
    <row r="1207" spans="1:6" ht="12" thickBot="1">
      <c r="A1207" s="352">
        <v>39989</v>
      </c>
      <c r="B1207" s="353">
        <v>3.075E-3</v>
      </c>
      <c r="C1207" s="353">
        <v>4.2750000000000002E-3</v>
      </c>
      <c r="D1207" s="353">
        <v>6.0124999999999996E-3</v>
      </c>
      <c r="E1207" s="353">
        <v>1.11375E-2</v>
      </c>
      <c r="F1207" s="354">
        <v>1.6449999999999999E-2</v>
      </c>
    </row>
    <row r="1208" spans="1:6" ht="12" thickBot="1">
      <c r="A1208" s="352">
        <v>39988</v>
      </c>
      <c r="B1208" s="353">
        <v>3.1124999999999998E-3</v>
      </c>
      <c r="C1208" s="353">
        <v>4.3375000000000002E-3</v>
      </c>
      <c r="D1208" s="353">
        <v>6.0438000000000002E-3</v>
      </c>
      <c r="E1208" s="353">
        <v>1.13125E-2</v>
      </c>
      <c r="F1208" s="354">
        <v>1.6400000000000001E-2</v>
      </c>
    </row>
    <row r="1209" spans="1:6" ht="12" thickBot="1">
      <c r="A1209" s="352">
        <v>39987</v>
      </c>
      <c r="B1209" s="353">
        <v>3.1375000000000001E-3</v>
      </c>
      <c r="C1209" s="353">
        <v>4.4124999999999998E-3</v>
      </c>
      <c r="D1209" s="353">
        <v>6.0749999999999997E-3</v>
      </c>
      <c r="E1209" s="353">
        <v>1.1487499999999999E-2</v>
      </c>
      <c r="F1209" s="354">
        <v>1.6775000000000002E-2</v>
      </c>
    </row>
    <row r="1210" spans="1:6" ht="12" thickBot="1">
      <c r="A1210" s="352">
        <v>39983</v>
      </c>
      <c r="B1210" s="353">
        <v>3.1687999999999998E-3</v>
      </c>
      <c r="C1210" s="353">
        <v>4.4625000000000003E-3</v>
      </c>
      <c r="D1210" s="353">
        <v>6.1187999999999998E-3</v>
      </c>
      <c r="E1210" s="353">
        <v>1.1825E-2</v>
      </c>
      <c r="F1210" s="354">
        <v>1.7399999999999999E-2</v>
      </c>
    </row>
    <row r="1211" spans="1:6" ht="12" thickBot="1">
      <c r="A1211" s="352">
        <v>39982</v>
      </c>
      <c r="B1211" s="353">
        <v>3.15E-3</v>
      </c>
      <c r="C1211" s="353">
        <v>4.4625000000000003E-3</v>
      </c>
      <c r="D1211" s="353">
        <v>6.0875E-3</v>
      </c>
      <c r="E1211" s="353">
        <v>1.16125E-2</v>
      </c>
      <c r="F1211" s="354">
        <v>1.68875E-2</v>
      </c>
    </row>
    <row r="1212" spans="1:6" ht="12" thickBot="1">
      <c r="A1212" s="352">
        <v>39981</v>
      </c>
      <c r="B1212" s="353">
        <v>3.1313000000000001E-3</v>
      </c>
      <c r="C1212" s="353">
        <v>4.4812999999999997E-3</v>
      </c>
      <c r="D1212" s="353">
        <v>6.1000000000000004E-3</v>
      </c>
      <c r="E1212" s="353">
        <v>1.1575E-2</v>
      </c>
      <c r="F1212" s="354">
        <v>1.6937500000000001E-2</v>
      </c>
    </row>
    <row r="1213" spans="1:6" ht="12" thickBot="1">
      <c r="A1213" s="352">
        <v>39980</v>
      </c>
      <c r="B1213" s="353">
        <v>3.1813000000000002E-3</v>
      </c>
      <c r="C1213" s="353">
        <v>4.5374999999999999E-3</v>
      </c>
      <c r="D1213" s="353">
        <v>6.1313000000000001E-3</v>
      </c>
      <c r="E1213" s="353">
        <v>1.16375E-2</v>
      </c>
      <c r="F1213" s="354">
        <v>1.6962499999999998E-2</v>
      </c>
    </row>
    <row r="1214" spans="1:6" ht="12" thickBot="1">
      <c r="A1214" s="352">
        <v>39976</v>
      </c>
      <c r="B1214" s="353">
        <v>3.1813000000000002E-3</v>
      </c>
      <c r="C1214" s="353">
        <v>4.6438E-3</v>
      </c>
      <c r="D1214" s="353">
        <v>6.2437999999999999E-3</v>
      </c>
      <c r="E1214" s="353">
        <v>1.1837500000000001E-2</v>
      </c>
      <c r="F1214" s="354">
        <v>1.7325E-2</v>
      </c>
    </row>
    <row r="1215" spans="1:6" ht="12" thickBot="1">
      <c r="A1215" s="352">
        <v>39975</v>
      </c>
      <c r="B1215" s="353">
        <v>3.1938000000000001E-3</v>
      </c>
      <c r="C1215" s="353">
        <v>4.7375000000000004E-3</v>
      </c>
      <c r="D1215" s="353">
        <v>6.2937999999999996E-3</v>
      </c>
      <c r="E1215" s="353">
        <v>1.2175E-2</v>
      </c>
      <c r="F1215" s="354">
        <v>1.7899999999999999E-2</v>
      </c>
    </row>
    <row r="1216" spans="1:6" ht="12" thickBot="1">
      <c r="A1216" s="352">
        <v>39973</v>
      </c>
      <c r="B1216" s="353">
        <v>3.2125000000000001E-3</v>
      </c>
      <c r="C1216" s="353">
        <v>4.8374999999999998E-3</v>
      </c>
      <c r="D1216" s="353">
        <v>6.4749999999999999E-3</v>
      </c>
      <c r="E1216" s="353">
        <v>1.26625E-2</v>
      </c>
      <c r="F1216" s="354">
        <v>1.8350000000000002E-2</v>
      </c>
    </row>
    <row r="1217" spans="1:6" ht="12" thickBot="1">
      <c r="A1217" s="352">
        <v>39972</v>
      </c>
      <c r="B1217" s="353">
        <v>3.2312999999999999E-3</v>
      </c>
      <c r="C1217" s="353">
        <v>4.8624999999999996E-3</v>
      </c>
      <c r="D1217" s="353">
        <v>6.4999999999999997E-3</v>
      </c>
      <c r="E1217" s="353">
        <v>1.2825E-2</v>
      </c>
      <c r="F1217" s="354">
        <v>1.8537499999999998E-2</v>
      </c>
    </row>
    <row r="1218" spans="1:6" ht="12" thickBot="1">
      <c r="A1218" s="352">
        <v>39969</v>
      </c>
      <c r="B1218" s="353">
        <v>3.2063E-3</v>
      </c>
      <c r="C1218" s="353">
        <v>4.7749999999999997E-3</v>
      </c>
      <c r="D1218" s="353">
        <v>6.3249999999999999E-3</v>
      </c>
      <c r="E1218" s="353">
        <v>1.20375E-2</v>
      </c>
      <c r="F1218" s="354">
        <v>1.5975E-2</v>
      </c>
    </row>
    <row r="1219" spans="1:6" ht="12" thickBot="1">
      <c r="A1219" s="352">
        <v>39968</v>
      </c>
      <c r="B1219" s="353">
        <v>3.1749999999999999E-3</v>
      </c>
      <c r="C1219" s="353">
        <v>4.7499999999999999E-3</v>
      </c>
      <c r="D1219" s="353">
        <v>6.2937999999999996E-3</v>
      </c>
      <c r="E1219" s="353">
        <v>1.18E-2</v>
      </c>
      <c r="F1219" s="354">
        <v>1.5474999999999999E-2</v>
      </c>
    </row>
    <row r="1220" spans="1:6" ht="12" thickBot="1">
      <c r="A1220" s="352">
        <v>39967</v>
      </c>
      <c r="B1220" s="353">
        <v>3.1874999999999998E-3</v>
      </c>
      <c r="C1220" s="353">
        <v>4.8500000000000001E-3</v>
      </c>
      <c r="D1220" s="353">
        <v>6.3688E-3</v>
      </c>
      <c r="E1220" s="353">
        <v>1.2075000000000001E-2</v>
      </c>
      <c r="F1220" s="354">
        <v>1.5837500000000001E-2</v>
      </c>
    </row>
    <row r="1221" spans="1:6" ht="12" thickBot="1">
      <c r="A1221" s="352">
        <v>39966</v>
      </c>
      <c r="B1221" s="353">
        <v>3.2000000000000002E-3</v>
      </c>
      <c r="C1221" s="353">
        <v>4.9500000000000004E-3</v>
      </c>
      <c r="D1221" s="353">
        <v>6.4625000000000004E-3</v>
      </c>
      <c r="E1221" s="353">
        <v>1.23375E-2</v>
      </c>
      <c r="F1221" s="354">
        <v>1.6074999999999999E-2</v>
      </c>
    </row>
    <row r="1222" spans="1:6" ht="12" thickBot="1">
      <c r="A1222" s="352">
        <v>39962</v>
      </c>
      <c r="B1222" s="353">
        <v>3.1624999999999999E-3</v>
      </c>
      <c r="C1222" s="353">
        <v>5.0937999999999999E-3</v>
      </c>
      <c r="D1222" s="353">
        <v>6.5624999999999998E-3</v>
      </c>
      <c r="E1222" s="353">
        <v>1.24E-2</v>
      </c>
      <c r="F1222" s="354">
        <v>1.6E-2</v>
      </c>
    </row>
    <row r="1223" spans="1:6" ht="12" thickBot="1">
      <c r="A1223" s="352">
        <v>39961</v>
      </c>
      <c r="B1223" s="353">
        <v>3.2000000000000002E-3</v>
      </c>
      <c r="C1223" s="353">
        <v>5.0625000000000002E-3</v>
      </c>
      <c r="D1223" s="353">
        <v>6.6750000000000004E-3</v>
      </c>
      <c r="E1223" s="353">
        <v>1.26E-2</v>
      </c>
      <c r="F1223" s="354">
        <v>1.6199999999999999E-2</v>
      </c>
    </row>
    <row r="1224" spans="1:6" ht="12" thickBot="1">
      <c r="A1224" s="352">
        <v>39960</v>
      </c>
      <c r="B1224" s="353">
        <v>3.1874999999999998E-3</v>
      </c>
      <c r="C1224" s="353">
        <v>5.0499999999999998E-3</v>
      </c>
      <c r="D1224" s="353">
        <v>6.7375000000000004E-3</v>
      </c>
      <c r="E1224" s="353">
        <v>1.2699999999999999E-2</v>
      </c>
      <c r="F1224" s="354">
        <v>1.62875E-2</v>
      </c>
    </row>
    <row r="1225" spans="1:6" ht="12" thickBot="1">
      <c r="A1225" s="352">
        <v>39959</v>
      </c>
      <c r="B1225" s="353">
        <v>3.1624999999999999E-3</v>
      </c>
      <c r="C1225" s="353">
        <v>5.0375000000000003E-3</v>
      </c>
      <c r="D1225" s="353">
        <v>6.6375000000000002E-3</v>
      </c>
      <c r="E1225" s="353">
        <v>1.2175E-2</v>
      </c>
      <c r="F1225" s="354">
        <v>1.5525000000000001E-2</v>
      </c>
    </row>
    <row r="1226" spans="1:6" ht="12" thickBot="1">
      <c r="A1226" s="352">
        <v>39955</v>
      </c>
      <c r="B1226" s="353">
        <v>3.1313000000000001E-3</v>
      </c>
      <c r="C1226" s="353">
        <v>5.0499999999999998E-3</v>
      </c>
      <c r="D1226" s="353">
        <v>6.6E-3</v>
      </c>
      <c r="E1226" s="353">
        <v>1.2012500000000001E-2</v>
      </c>
      <c r="F1226" s="354">
        <v>1.53125E-2</v>
      </c>
    </row>
    <row r="1227" spans="1:6" ht="12" thickBot="1">
      <c r="A1227" s="352">
        <v>39954</v>
      </c>
      <c r="B1227" s="353">
        <v>3.0875E-3</v>
      </c>
      <c r="C1227" s="353">
        <v>5.0875E-3</v>
      </c>
      <c r="D1227" s="353">
        <v>6.6125000000000003E-3</v>
      </c>
      <c r="E1227" s="353">
        <v>1.17E-2</v>
      </c>
      <c r="F1227" s="354">
        <v>1.4862500000000001E-2</v>
      </c>
    </row>
    <row r="1228" spans="1:6" ht="12" thickBot="1">
      <c r="A1228" s="352">
        <v>39953</v>
      </c>
      <c r="B1228" s="353">
        <v>3.0812999999999999E-3</v>
      </c>
      <c r="C1228" s="353">
        <v>5.5250000000000004E-3</v>
      </c>
      <c r="D1228" s="353">
        <v>7.1624999999999996E-3</v>
      </c>
      <c r="E1228" s="353">
        <v>1.24125E-2</v>
      </c>
      <c r="F1228" s="354">
        <v>1.54875E-2</v>
      </c>
    </row>
    <row r="1229" spans="1:6" ht="12" thickBot="1">
      <c r="A1229" s="352">
        <v>39952</v>
      </c>
      <c r="B1229" s="353">
        <v>3.0937999999999998E-3</v>
      </c>
      <c r="C1229" s="353">
        <v>5.8624999999999997E-3</v>
      </c>
      <c r="D1229" s="353">
        <v>7.5249999999999996E-3</v>
      </c>
      <c r="E1229" s="353">
        <v>1.2800000000000001E-2</v>
      </c>
      <c r="F1229" s="354">
        <v>1.5824999999999999E-2</v>
      </c>
    </row>
    <row r="1230" spans="1:6" ht="12" thickBot="1">
      <c r="A1230" s="352">
        <v>39951</v>
      </c>
      <c r="B1230" s="353">
        <v>3.1624999999999999E-3</v>
      </c>
      <c r="C1230" s="353">
        <v>6.1250000000000002E-3</v>
      </c>
      <c r="D1230" s="353">
        <v>7.8499999999999993E-3</v>
      </c>
      <c r="E1230" s="353">
        <v>1.3125E-2</v>
      </c>
      <c r="F1230" s="354">
        <v>1.6112499999999998E-2</v>
      </c>
    </row>
    <row r="1231" spans="1:6" ht="12" thickBot="1">
      <c r="A1231" s="352">
        <v>39948</v>
      </c>
      <c r="B1231" s="353">
        <v>3.2813E-3</v>
      </c>
      <c r="C1231" s="353">
        <v>6.4250000000000002E-3</v>
      </c>
      <c r="D1231" s="353">
        <v>8.2562999999999994E-3</v>
      </c>
      <c r="E1231" s="353">
        <v>1.35625E-2</v>
      </c>
      <c r="F1231" s="354">
        <v>1.6562500000000001E-2</v>
      </c>
    </row>
    <row r="1232" spans="1:6" ht="12" thickBot="1">
      <c r="A1232" s="352">
        <v>39947</v>
      </c>
      <c r="B1232" s="353">
        <v>3.3500000000000001E-3</v>
      </c>
      <c r="C1232" s="353">
        <v>6.6750000000000004E-3</v>
      </c>
      <c r="D1232" s="353">
        <v>8.5438000000000007E-3</v>
      </c>
      <c r="E1232" s="353">
        <v>1.3787499999999999E-2</v>
      </c>
      <c r="F1232" s="354">
        <v>1.6862499999999999E-2</v>
      </c>
    </row>
    <row r="1233" spans="1:6" ht="12" thickBot="1">
      <c r="A1233" s="352">
        <v>39946</v>
      </c>
      <c r="B1233" s="353">
        <v>3.4437999999999999E-3</v>
      </c>
      <c r="C1233" s="353">
        <v>6.9563000000000003E-3</v>
      </c>
      <c r="D1233" s="353">
        <v>8.8313000000000003E-3</v>
      </c>
      <c r="E1233" s="353">
        <v>1.4125E-2</v>
      </c>
      <c r="F1233" s="354">
        <v>1.7325E-2</v>
      </c>
    </row>
    <row r="1234" spans="1:6" ht="12" thickBot="1">
      <c r="A1234" s="352">
        <v>39945</v>
      </c>
      <c r="B1234" s="353">
        <v>3.4875000000000001E-3</v>
      </c>
      <c r="C1234" s="353">
        <v>7.1500000000000001E-3</v>
      </c>
      <c r="D1234" s="353">
        <v>9.0562999999999998E-3</v>
      </c>
      <c r="E1234" s="353">
        <v>1.43E-2</v>
      </c>
      <c r="F1234" s="354">
        <v>1.7475000000000001E-2</v>
      </c>
    </row>
    <row r="1235" spans="1:6" ht="12" thickBot="1">
      <c r="A1235" s="352">
        <v>39944</v>
      </c>
      <c r="B1235" s="353">
        <v>3.5374999999999998E-3</v>
      </c>
      <c r="C1235" s="353">
        <v>7.3499999999999998E-3</v>
      </c>
      <c r="D1235" s="353">
        <v>9.1999999999999998E-3</v>
      </c>
      <c r="E1235" s="353">
        <v>1.4387499999999999E-2</v>
      </c>
      <c r="F1235" s="354">
        <v>1.7575E-2</v>
      </c>
    </row>
    <row r="1236" spans="1:6" ht="12" thickBot="1">
      <c r="A1236" s="352">
        <v>39941</v>
      </c>
      <c r="B1236" s="353">
        <v>3.6749999999999999E-3</v>
      </c>
      <c r="C1236" s="353">
        <v>7.6125000000000003E-3</v>
      </c>
      <c r="D1236" s="353">
        <v>9.3749999999999997E-3</v>
      </c>
      <c r="E1236" s="353">
        <v>1.4625000000000001E-2</v>
      </c>
      <c r="F1236" s="354">
        <v>1.7812499999999998E-2</v>
      </c>
    </row>
    <row r="1237" spans="1:6" ht="12" thickBot="1">
      <c r="A1237" s="352">
        <v>39940</v>
      </c>
      <c r="B1237" s="353">
        <v>3.8187999999999998E-3</v>
      </c>
      <c r="C1237" s="353">
        <v>7.7749999999999998E-3</v>
      </c>
      <c r="D1237" s="353">
        <v>9.5624999999999998E-3</v>
      </c>
      <c r="E1237" s="353">
        <v>1.4937499999999999E-2</v>
      </c>
      <c r="F1237" s="354">
        <v>1.8075000000000001E-2</v>
      </c>
    </row>
    <row r="1238" spans="1:6" ht="12" thickBot="1">
      <c r="A1238" s="352">
        <v>39939</v>
      </c>
      <c r="B1238" s="353">
        <v>3.9500000000000004E-3</v>
      </c>
      <c r="C1238" s="353">
        <v>7.9500000000000005E-3</v>
      </c>
      <c r="D1238" s="353">
        <v>9.7374999999999996E-3</v>
      </c>
      <c r="E1238" s="353">
        <v>1.50625E-2</v>
      </c>
      <c r="F1238" s="354">
        <v>1.8200000000000001E-2</v>
      </c>
    </row>
    <row r="1239" spans="1:6" ht="12" thickBot="1">
      <c r="A1239" s="352">
        <v>39938</v>
      </c>
      <c r="B1239" s="353">
        <v>4.0124999999999996E-3</v>
      </c>
      <c r="C1239" s="353">
        <v>8.0625000000000002E-3</v>
      </c>
      <c r="D1239" s="353">
        <v>9.8624999999999997E-3</v>
      </c>
      <c r="E1239" s="353">
        <v>1.54E-2</v>
      </c>
      <c r="F1239" s="354">
        <v>1.8588799999999999E-2</v>
      </c>
    </row>
    <row r="1240" spans="1:6" ht="12" thickBot="1">
      <c r="A1240" s="352">
        <v>39937</v>
      </c>
      <c r="B1240" s="353">
        <v>4.1437999999999996E-3</v>
      </c>
      <c r="C1240" s="353">
        <v>8.2249999999999997E-3</v>
      </c>
      <c r="D1240" s="353">
        <v>1.0068799999999999E-2</v>
      </c>
      <c r="E1240" s="353">
        <v>1.54938E-2</v>
      </c>
      <c r="F1240" s="354">
        <v>1.8643799999999999E-2</v>
      </c>
    </row>
    <row r="1241" spans="1:6" ht="12" thickBot="1">
      <c r="A1241" s="352">
        <v>39933</v>
      </c>
      <c r="B1241" s="353">
        <v>4.1124999999999998E-3</v>
      </c>
      <c r="C1241" s="353">
        <v>8.3125000000000004E-3</v>
      </c>
      <c r="D1241" s="353">
        <v>1.01625E-2</v>
      </c>
      <c r="E1241" s="353">
        <v>1.5650000000000001E-2</v>
      </c>
      <c r="F1241" s="354">
        <v>1.8768799999999999E-2</v>
      </c>
    </row>
    <row r="1242" spans="1:6" ht="12" thickBot="1">
      <c r="A1242" s="352">
        <v>39932</v>
      </c>
      <c r="B1242" s="353">
        <v>4.1812999999999998E-3</v>
      </c>
      <c r="C1242" s="353">
        <v>8.3999999999999995E-3</v>
      </c>
      <c r="D1242" s="353">
        <v>1.0274999999999999E-2</v>
      </c>
      <c r="E1242" s="353">
        <v>1.5787499999999999E-2</v>
      </c>
      <c r="F1242" s="354">
        <v>1.8874999999999999E-2</v>
      </c>
    </row>
    <row r="1243" spans="1:6" ht="12" thickBot="1">
      <c r="A1243" s="352">
        <v>39931</v>
      </c>
      <c r="B1243" s="353">
        <v>4.2750000000000002E-3</v>
      </c>
      <c r="C1243" s="353">
        <v>8.4688000000000003E-3</v>
      </c>
      <c r="D1243" s="353">
        <v>1.03938E-2</v>
      </c>
      <c r="E1243" s="353">
        <v>1.575E-2</v>
      </c>
      <c r="F1243" s="354">
        <v>1.8775E-2</v>
      </c>
    </row>
    <row r="1244" spans="1:6" ht="12" thickBot="1">
      <c r="A1244" s="352">
        <v>39930</v>
      </c>
      <c r="B1244" s="353">
        <v>4.3249999999999999E-3</v>
      </c>
      <c r="C1244" s="353">
        <v>8.5249999999999996E-3</v>
      </c>
      <c r="D1244" s="353">
        <v>1.05375E-2</v>
      </c>
      <c r="E1244" s="353">
        <v>1.5900000000000001E-2</v>
      </c>
      <c r="F1244" s="354">
        <v>1.8987500000000001E-2</v>
      </c>
    </row>
    <row r="1245" spans="1:6" ht="12" thickBot="1">
      <c r="A1245" s="352">
        <v>39927</v>
      </c>
      <c r="B1245" s="353">
        <v>4.3499999999999997E-3</v>
      </c>
      <c r="C1245" s="353">
        <v>8.6187999999999994E-3</v>
      </c>
      <c r="D1245" s="353">
        <v>1.0725E-2</v>
      </c>
      <c r="E1245" s="353">
        <v>1.6212500000000001E-2</v>
      </c>
      <c r="F1245" s="354">
        <v>1.9306299999999998E-2</v>
      </c>
    </row>
    <row r="1246" spans="1:6" ht="12" thickBot="1">
      <c r="A1246" s="352">
        <v>39926</v>
      </c>
      <c r="B1246" s="353">
        <v>4.3750000000000004E-3</v>
      </c>
      <c r="C1246" s="353">
        <v>8.6999999999999994E-3</v>
      </c>
      <c r="D1246" s="353">
        <v>1.0918799999999999E-2</v>
      </c>
      <c r="E1246" s="353">
        <v>1.63938E-2</v>
      </c>
      <c r="F1246" s="354">
        <v>1.95E-2</v>
      </c>
    </row>
    <row r="1247" spans="1:6" ht="12" thickBot="1">
      <c r="A1247" s="352">
        <v>39925</v>
      </c>
      <c r="B1247" s="353">
        <v>4.4000000000000003E-3</v>
      </c>
      <c r="C1247" s="353">
        <v>8.7937999999999992E-3</v>
      </c>
      <c r="D1247" s="353">
        <v>1.09938E-2</v>
      </c>
      <c r="E1247" s="353">
        <v>1.6574999999999999E-2</v>
      </c>
      <c r="F1247" s="354">
        <v>1.9675000000000002E-2</v>
      </c>
    </row>
    <row r="1248" spans="1:6" ht="12" thickBot="1">
      <c r="A1248" s="352">
        <v>39924</v>
      </c>
      <c r="B1248" s="353">
        <v>4.4124999999999998E-3</v>
      </c>
      <c r="C1248" s="353">
        <v>8.8124999999999992E-3</v>
      </c>
      <c r="D1248" s="353">
        <v>1.0999999999999999E-2</v>
      </c>
      <c r="E1248" s="353">
        <v>1.6506300000000002E-2</v>
      </c>
      <c r="F1248" s="354">
        <v>1.9493799999999999E-2</v>
      </c>
    </row>
    <row r="1249" spans="1:6" ht="12" thickBot="1">
      <c r="A1249" s="352">
        <v>39923</v>
      </c>
      <c r="B1249" s="353">
        <v>4.4250000000000001E-3</v>
      </c>
      <c r="C1249" s="353">
        <v>8.8094000000000002E-3</v>
      </c>
      <c r="D1249" s="353">
        <v>1.10063E-2</v>
      </c>
      <c r="E1249" s="353">
        <v>1.6500000000000001E-2</v>
      </c>
      <c r="F1249" s="354">
        <v>1.9449999999999999E-2</v>
      </c>
    </row>
    <row r="1250" spans="1:6" ht="12" thickBot="1">
      <c r="A1250" s="352">
        <v>39920</v>
      </c>
      <c r="B1250" s="353">
        <v>4.4749999999999998E-3</v>
      </c>
      <c r="C1250" s="353">
        <v>8.8094000000000002E-3</v>
      </c>
      <c r="D1250" s="353">
        <v>1.10188E-2</v>
      </c>
      <c r="E1250" s="353">
        <v>1.6362499999999999E-2</v>
      </c>
      <c r="F1250" s="354">
        <v>1.915E-2</v>
      </c>
    </row>
    <row r="1251" spans="1:6" ht="12" thickBot="1">
      <c r="A1251" s="352">
        <v>39919</v>
      </c>
      <c r="B1251" s="353">
        <v>4.4688000000000002E-3</v>
      </c>
      <c r="C1251" s="353">
        <v>8.8187999999999999E-3</v>
      </c>
      <c r="D1251" s="353">
        <v>1.10688E-2</v>
      </c>
      <c r="E1251" s="353">
        <v>1.6406299999999999E-2</v>
      </c>
      <c r="F1251" s="354">
        <v>1.90625E-2</v>
      </c>
    </row>
    <row r="1252" spans="1:6" ht="12" thickBot="1">
      <c r="A1252" s="352">
        <v>39918</v>
      </c>
      <c r="B1252" s="353">
        <v>4.4812999999999997E-3</v>
      </c>
      <c r="C1252" s="353">
        <v>8.8500000000000002E-3</v>
      </c>
      <c r="D1252" s="353">
        <v>1.1124999999999999E-2</v>
      </c>
      <c r="E1252" s="353">
        <v>1.6468799999999999E-2</v>
      </c>
      <c r="F1252" s="354">
        <v>1.9125E-2</v>
      </c>
    </row>
    <row r="1253" spans="1:6" ht="12" thickBot="1">
      <c r="A1253" s="352">
        <v>39917</v>
      </c>
      <c r="B1253" s="353">
        <v>4.5250000000000004E-3</v>
      </c>
      <c r="C1253" s="353">
        <v>8.8999999999999999E-3</v>
      </c>
      <c r="D1253" s="353">
        <v>1.1218799999999999E-2</v>
      </c>
      <c r="E1253" s="353">
        <v>1.66E-2</v>
      </c>
      <c r="F1253" s="354">
        <v>1.92938E-2</v>
      </c>
    </row>
    <row r="1254" spans="1:6" ht="12" thickBot="1">
      <c r="A1254" s="352">
        <v>39916</v>
      </c>
      <c r="B1254" s="353">
        <v>4.5125E-3</v>
      </c>
      <c r="C1254" s="353">
        <v>8.9499999999999996E-3</v>
      </c>
      <c r="D1254" s="353">
        <v>1.13125E-2</v>
      </c>
      <c r="E1254" s="353">
        <v>1.67625E-2</v>
      </c>
      <c r="F1254" s="354">
        <v>1.9512499999999999E-2</v>
      </c>
    </row>
    <row r="1255" spans="1:6" ht="12" thickBot="1">
      <c r="A1255" s="352">
        <v>39911</v>
      </c>
      <c r="B1255" s="353">
        <v>4.5999999999999999E-3</v>
      </c>
      <c r="C1255" s="353">
        <v>9.0063000000000001E-3</v>
      </c>
      <c r="D1255" s="353">
        <v>1.13875E-2</v>
      </c>
      <c r="E1255" s="353">
        <v>1.6871899999999999E-2</v>
      </c>
      <c r="F1255" s="354">
        <v>1.9625E-2</v>
      </c>
    </row>
    <row r="1256" spans="1:6" ht="12" thickBot="1">
      <c r="A1256" s="352">
        <v>39910</v>
      </c>
      <c r="B1256" s="353">
        <v>4.6937999999999997E-3</v>
      </c>
      <c r="C1256" s="353">
        <v>9.0749999999999997E-3</v>
      </c>
      <c r="D1256" s="353">
        <v>1.14938E-2</v>
      </c>
      <c r="E1256" s="353">
        <v>1.7031299999999999E-2</v>
      </c>
      <c r="F1256" s="354">
        <v>1.97875E-2</v>
      </c>
    </row>
    <row r="1257" spans="1:6" ht="12" thickBot="1">
      <c r="A1257" s="352">
        <v>39909</v>
      </c>
      <c r="B1257" s="353">
        <v>4.7562999999999998E-3</v>
      </c>
      <c r="C1257" s="353">
        <v>9.1062999999999995E-3</v>
      </c>
      <c r="D1257" s="353">
        <v>1.1568800000000001E-2</v>
      </c>
      <c r="E1257" s="353">
        <v>1.7156299999999999E-2</v>
      </c>
      <c r="F1257" s="354">
        <v>1.9924999999999998E-2</v>
      </c>
    </row>
    <row r="1258" spans="1:6" ht="12" thickBot="1">
      <c r="A1258" s="352">
        <v>39906</v>
      </c>
      <c r="B1258" s="353">
        <v>4.7812999999999996E-3</v>
      </c>
      <c r="C1258" s="353">
        <v>9.1062999999999995E-3</v>
      </c>
      <c r="D1258" s="353">
        <v>1.1609400000000001E-2</v>
      </c>
      <c r="E1258" s="353">
        <v>1.7125000000000001E-2</v>
      </c>
      <c r="F1258" s="354">
        <v>1.9643799999999999E-2</v>
      </c>
    </row>
    <row r="1259" spans="1:6" ht="12" thickBot="1">
      <c r="A1259" s="352">
        <v>39905</v>
      </c>
      <c r="B1259" s="353">
        <v>4.8938000000000002E-3</v>
      </c>
      <c r="C1259" s="353">
        <v>9.1500000000000001E-3</v>
      </c>
      <c r="D1259" s="353">
        <v>1.16594E-2</v>
      </c>
      <c r="E1259" s="353">
        <v>1.7156299999999999E-2</v>
      </c>
      <c r="F1259" s="354">
        <v>1.9550000000000001E-2</v>
      </c>
    </row>
    <row r="1260" spans="1:6" ht="12" thickBot="1">
      <c r="A1260" s="352">
        <v>39904</v>
      </c>
      <c r="B1260" s="353">
        <v>4.9500000000000004E-3</v>
      </c>
      <c r="C1260" s="353">
        <v>9.2688000000000006E-3</v>
      </c>
      <c r="D1260" s="353">
        <v>1.1768799999999999E-2</v>
      </c>
      <c r="E1260" s="353">
        <v>1.7162500000000001E-2</v>
      </c>
      <c r="F1260" s="354">
        <v>1.9512499999999999E-2</v>
      </c>
    </row>
    <row r="1261" spans="1:6" ht="12" thickBot="1">
      <c r="A1261" s="352">
        <v>39903</v>
      </c>
      <c r="B1261" s="353">
        <v>5.0063E-3</v>
      </c>
      <c r="C1261" s="353">
        <v>9.3813000000000004E-3</v>
      </c>
      <c r="D1261" s="353">
        <v>1.19188E-2</v>
      </c>
      <c r="E1261" s="353">
        <v>1.7356300000000002E-2</v>
      </c>
      <c r="F1261" s="354">
        <v>1.9718800000000002E-2</v>
      </c>
    </row>
    <row r="1262" spans="1:6" ht="12" thickBot="1">
      <c r="A1262" s="352">
        <v>39902</v>
      </c>
      <c r="B1262" s="353">
        <v>5.0875E-3</v>
      </c>
      <c r="C1262" s="353">
        <v>9.4563000000000008E-3</v>
      </c>
      <c r="D1262" s="353">
        <v>1.2075000000000001E-2</v>
      </c>
      <c r="E1262" s="353">
        <v>1.745E-2</v>
      </c>
      <c r="F1262" s="354">
        <v>1.9837500000000001E-2</v>
      </c>
    </row>
    <row r="1263" spans="1:6" ht="12" thickBot="1">
      <c r="A1263" s="352">
        <v>39899</v>
      </c>
      <c r="B1263" s="353">
        <v>5.1812999999999998E-3</v>
      </c>
      <c r="C1263" s="353">
        <v>9.5624999999999998E-3</v>
      </c>
      <c r="D1263" s="353">
        <v>1.2200000000000001E-2</v>
      </c>
      <c r="E1263" s="353">
        <v>1.7624999999999998E-2</v>
      </c>
      <c r="F1263" s="354">
        <v>2.01E-2</v>
      </c>
    </row>
    <row r="1264" spans="1:6" ht="12" thickBot="1">
      <c r="A1264" s="352">
        <v>39898</v>
      </c>
      <c r="B1264" s="353">
        <v>5.2249999999999996E-3</v>
      </c>
      <c r="C1264" s="353">
        <v>9.6562999999999996E-3</v>
      </c>
      <c r="D1264" s="353">
        <v>1.23188E-2</v>
      </c>
      <c r="E1264" s="353">
        <v>1.7943799999999999E-2</v>
      </c>
      <c r="F1264" s="354">
        <v>2.0525000000000002E-2</v>
      </c>
    </row>
    <row r="1265" spans="1:6" ht="12" thickBot="1">
      <c r="A1265" s="352">
        <v>39897</v>
      </c>
      <c r="B1265" s="353">
        <v>5.1999999999999998E-3</v>
      </c>
      <c r="C1265" s="353">
        <v>9.6562999999999996E-3</v>
      </c>
      <c r="D1265" s="353">
        <v>1.2274999999999999E-2</v>
      </c>
      <c r="E1265" s="353">
        <v>1.7749999999999998E-2</v>
      </c>
      <c r="F1265" s="354">
        <v>2.02875E-2</v>
      </c>
    </row>
    <row r="1266" spans="1:6" ht="12" thickBot="1">
      <c r="A1266" s="352">
        <v>39896</v>
      </c>
      <c r="B1266" s="353">
        <v>5.2094000000000003E-3</v>
      </c>
      <c r="C1266" s="353">
        <v>9.6938000000000007E-3</v>
      </c>
      <c r="D1266" s="353">
        <v>1.2262500000000001E-2</v>
      </c>
      <c r="E1266" s="353">
        <v>1.77375E-2</v>
      </c>
      <c r="F1266" s="354">
        <v>2.0324999999999999E-2</v>
      </c>
    </row>
    <row r="1267" spans="1:6" ht="12" thickBot="1">
      <c r="A1267" s="352">
        <v>39892</v>
      </c>
      <c r="B1267" s="353">
        <v>5.2188E-3</v>
      </c>
      <c r="C1267" s="353">
        <v>9.7062999999999993E-3</v>
      </c>
      <c r="D1267" s="353">
        <v>1.22281E-2</v>
      </c>
      <c r="E1267" s="353">
        <v>1.75125E-2</v>
      </c>
      <c r="F1267" s="354">
        <v>2.0137499999999999E-2</v>
      </c>
    </row>
    <row r="1268" spans="1:6" ht="12" thickBot="1">
      <c r="A1268" s="352">
        <v>39891</v>
      </c>
      <c r="B1268" s="353">
        <v>5.2313000000000004E-3</v>
      </c>
      <c r="C1268" s="353">
        <v>9.7062999999999993E-3</v>
      </c>
      <c r="D1268" s="353">
        <v>1.22688E-2</v>
      </c>
      <c r="E1268" s="353">
        <v>1.7412500000000001E-2</v>
      </c>
      <c r="F1268" s="354">
        <v>2.00625E-2</v>
      </c>
    </row>
    <row r="1269" spans="1:6" ht="12" thickBot="1">
      <c r="A1269" s="352">
        <v>39890</v>
      </c>
      <c r="B1269" s="353">
        <v>5.45E-3</v>
      </c>
      <c r="C1269" s="353">
        <v>1.0006299999999999E-2</v>
      </c>
      <c r="D1269" s="353">
        <v>1.2874999999999999E-2</v>
      </c>
      <c r="E1269" s="353">
        <v>1.8637500000000001E-2</v>
      </c>
      <c r="F1269" s="354">
        <v>2.18E-2</v>
      </c>
    </row>
    <row r="1270" spans="1:6" ht="12" thickBot="1">
      <c r="A1270" s="352">
        <v>39889</v>
      </c>
      <c r="B1270" s="353">
        <v>5.5624999999999997E-3</v>
      </c>
      <c r="C1270" s="353">
        <v>1.00938E-2</v>
      </c>
      <c r="D1270" s="353">
        <v>1.29938E-2</v>
      </c>
      <c r="E1270" s="353">
        <v>1.88375E-2</v>
      </c>
      <c r="F1270" s="354">
        <v>2.2018800000000002E-2</v>
      </c>
    </row>
    <row r="1271" spans="1:6" ht="12" thickBot="1">
      <c r="A1271" s="352">
        <v>39888</v>
      </c>
      <c r="B1271" s="353">
        <v>5.5563000000000001E-3</v>
      </c>
      <c r="C1271" s="353">
        <v>1.01063E-2</v>
      </c>
      <c r="D1271" s="353">
        <v>1.30875E-2</v>
      </c>
      <c r="E1271" s="353">
        <v>1.8874999999999999E-2</v>
      </c>
      <c r="F1271" s="354">
        <v>2.205E-2</v>
      </c>
    </row>
    <row r="1272" spans="1:6" ht="12" thickBot="1">
      <c r="A1272" s="352">
        <v>39885</v>
      </c>
      <c r="B1272" s="353">
        <v>5.5563000000000001E-3</v>
      </c>
      <c r="C1272" s="353">
        <v>1.01125E-2</v>
      </c>
      <c r="D1272" s="353">
        <v>1.3156299999999999E-2</v>
      </c>
      <c r="E1272" s="353">
        <v>1.9018799999999999E-2</v>
      </c>
      <c r="F1272" s="354">
        <v>2.2268799999999998E-2</v>
      </c>
    </row>
    <row r="1273" spans="1:6" ht="12" thickBot="1">
      <c r="A1273" s="352">
        <v>39884</v>
      </c>
      <c r="B1273" s="353">
        <v>5.5624999999999997E-3</v>
      </c>
      <c r="C1273" s="353">
        <v>1.0149999999999999E-2</v>
      </c>
      <c r="D1273" s="353">
        <v>1.32E-2</v>
      </c>
      <c r="E1273" s="353">
        <v>1.9037499999999999E-2</v>
      </c>
      <c r="F1273" s="354">
        <v>2.23E-2</v>
      </c>
    </row>
    <row r="1274" spans="1:6" ht="12" thickBot="1">
      <c r="A1274" s="352">
        <v>39883</v>
      </c>
      <c r="B1274" s="353">
        <v>5.5687999999999996E-3</v>
      </c>
      <c r="C1274" s="353">
        <v>1.0171899999999999E-2</v>
      </c>
      <c r="D1274" s="353">
        <v>1.3259399999999999E-2</v>
      </c>
      <c r="E1274" s="353">
        <v>1.92938E-2</v>
      </c>
      <c r="F1274" s="354">
        <v>2.2581299999999999E-2</v>
      </c>
    </row>
    <row r="1275" spans="1:6" ht="12" thickBot="1">
      <c r="A1275" s="352">
        <v>39882</v>
      </c>
      <c r="B1275" s="353">
        <v>5.6438E-3</v>
      </c>
      <c r="C1275" s="353">
        <v>1.0193799999999999E-2</v>
      </c>
      <c r="D1275" s="353">
        <v>1.33125E-2</v>
      </c>
      <c r="E1275" s="353">
        <v>1.9618799999999999E-2</v>
      </c>
      <c r="F1275" s="354">
        <v>2.2974999999999999E-2</v>
      </c>
    </row>
    <row r="1276" spans="1:6" ht="12" thickBot="1">
      <c r="A1276" s="352">
        <v>39881</v>
      </c>
      <c r="B1276" s="353">
        <v>5.6438E-3</v>
      </c>
      <c r="C1276" s="353">
        <v>1.00375E-2</v>
      </c>
      <c r="D1276" s="353">
        <v>1.3125E-2</v>
      </c>
      <c r="E1276" s="353">
        <v>1.9162499999999999E-2</v>
      </c>
      <c r="F1276" s="354">
        <v>2.23625E-2</v>
      </c>
    </row>
    <row r="1277" spans="1:6" ht="12" thickBot="1">
      <c r="A1277" s="352">
        <v>39878</v>
      </c>
      <c r="B1277" s="353">
        <v>5.4625000000000003E-3</v>
      </c>
      <c r="C1277" s="353">
        <v>9.8937999999999995E-3</v>
      </c>
      <c r="D1277" s="353">
        <v>1.2925000000000001E-2</v>
      </c>
      <c r="E1277" s="353">
        <v>1.8537499999999998E-2</v>
      </c>
      <c r="F1277" s="354">
        <v>2.1537500000000001E-2</v>
      </c>
    </row>
    <row r="1278" spans="1:6" ht="12" thickBot="1">
      <c r="A1278" s="352">
        <v>39877</v>
      </c>
      <c r="B1278" s="353">
        <v>5.3312999999999998E-3</v>
      </c>
      <c r="C1278" s="353">
        <v>9.8375000000000008E-3</v>
      </c>
      <c r="D1278" s="353">
        <v>1.28375E-2</v>
      </c>
      <c r="E1278" s="353">
        <v>1.8325000000000001E-2</v>
      </c>
      <c r="F1278" s="354">
        <v>2.13625E-2</v>
      </c>
    </row>
    <row r="1279" spans="1:6" ht="12" thickBot="1">
      <c r="A1279" s="352">
        <v>39876</v>
      </c>
      <c r="B1279" s="353">
        <v>5.1812999999999998E-3</v>
      </c>
      <c r="C1279" s="353">
        <v>9.7938000000000001E-3</v>
      </c>
      <c r="D1279" s="353">
        <v>1.27663E-2</v>
      </c>
      <c r="E1279" s="353">
        <v>1.8168799999999999E-2</v>
      </c>
      <c r="F1279" s="354">
        <v>2.1149999999999999E-2</v>
      </c>
    </row>
    <row r="1280" spans="1:6" ht="12" thickBot="1">
      <c r="A1280" s="352">
        <v>39875</v>
      </c>
      <c r="B1280" s="353">
        <v>5.0749999999999997E-3</v>
      </c>
      <c r="C1280" s="353">
        <v>9.7313E-3</v>
      </c>
      <c r="D1280" s="353">
        <v>1.27125E-2</v>
      </c>
      <c r="E1280" s="353">
        <v>1.8100000000000002E-2</v>
      </c>
      <c r="F1280" s="354">
        <v>2.1087499999999999E-2</v>
      </c>
    </row>
    <row r="1281" spans="1:6" ht="12" thickBot="1">
      <c r="A1281" s="352">
        <v>39874</v>
      </c>
      <c r="B1281" s="353">
        <v>4.9750000000000003E-3</v>
      </c>
      <c r="C1281" s="353">
        <v>9.6688E-3</v>
      </c>
      <c r="D1281" s="353">
        <v>1.26625E-2</v>
      </c>
      <c r="E1281" s="353">
        <v>1.8037500000000001E-2</v>
      </c>
      <c r="F1281" s="354">
        <v>2.1106300000000001E-2</v>
      </c>
    </row>
    <row r="1282" spans="1:6" ht="12" thickBot="1">
      <c r="A1282" s="352">
        <v>39871</v>
      </c>
      <c r="B1282" s="353">
        <v>4.9624999999999999E-3</v>
      </c>
      <c r="C1282" s="353">
        <v>9.6313000000000006E-3</v>
      </c>
      <c r="D1282" s="353">
        <v>1.26438E-2</v>
      </c>
      <c r="E1282" s="353">
        <v>1.80313E-2</v>
      </c>
      <c r="F1282" s="354">
        <v>2.1193799999999999E-2</v>
      </c>
    </row>
    <row r="1283" spans="1:6" ht="12" thickBot="1">
      <c r="A1283" s="352">
        <v>39870</v>
      </c>
      <c r="B1283" s="353">
        <v>4.9687999999999998E-3</v>
      </c>
      <c r="C1283" s="353">
        <v>9.6375000000000002E-3</v>
      </c>
      <c r="D1283" s="353">
        <v>1.26125E-2</v>
      </c>
      <c r="E1283" s="353">
        <v>1.7975000000000001E-2</v>
      </c>
      <c r="F1283" s="354">
        <v>2.1149999999999999E-2</v>
      </c>
    </row>
    <row r="1284" spans="1:6" ht="12" thickBot="1">
      <c r="A1284" s="352">
        <v>39869</v>
      </c>
      <c r="B1284" s="353">
        <v>4.7875000000000001E-3</v>
      </c>
      <c r="C1284" s="353">
        <v>9.5563000000000002E-3</v>
      </c>
      <c r="D1284" s="353">
        <v>1.2562500000000001E-2</v>
      </c>
      <c r="E1284" s="353">
        <v>1.7725000000000001E-2</v>
      </c>
      <c r="F1284" s="354">
        <v>2.0737499999999999E-2</v>
      </c>
    </row>
    <row r="1285" spans="1:6" ht="12" thickBot="1">
      <c r="A1285" s="352">
        <v>39868</v>
      </c>
      <c r="B1285" s="353">
        <v>4.7688000000000001E-3</v>
      </c>
      <c r="C1285" s="353">
        <v>9.5063000000000005E-3</v>
      </c>
      <c r="D1285" s="353">
        <v>1.2500000000000001E-2</v>
      </c>
      <c r="E1285" s="353">
        <v>1.7475000000000001E-2</v>
      </c>
      <c r="F1285" s="354">
        <v>2.04125E-2</v>
      </c>
    </row>
    <row r="1286" spans="1:6" ht="12" thickBot="1">
      <c r="A1286" s="352">
        <v>39867</v>
      </c>
      <c r="B1286" s="353">
        <v>4.7375000000000004E-3</v>
      </c>
      <c r="C1286" s="353">
        <v>9.4938000000000002E-3</v>
      </c>
      <c r="D1286" s="353">
        <v>1.24875E-2</v>
      </c>
      <c r="E1286" s="353">
        <v>1.75125E-2</v>
      </c>
      <c r="F1286" s="354">
        <v>2.0612499999999999E-2</v>
      </c>
    </row>
    <row r="1287" spans="1:6" ht="12" thickBot="1">
      <c r="A1287" s="352">
        <v>39864</v>
      </c>
      <c r="B1287" s="353">
        <v>4.725E-3</v>
      </c>
      <c r="C1287" s="353">
        <v>9.4812999999999998E-3</v>
      </c>
      <c r="D1287" s="353">
        <v>1.24875E-2</v>
      </c>
      <c r="E1287" s="353">
        <v>1.76188E-2</v>
      </c>
      <c r="F1287" s="354">
        <v>2.0750000000000001E-2</v>
      </c>
    </row>
    <row r="1288" spans="1:6" ht="12" thickBot="1">
      <c r="A1288" s="352">
        <v>39863</v>
      </c>
      <c r="B1288" s="353">
        <v>4.7312999999999999E-3</v>
      </c>
      <c r="C1288" s="353">
        <v>9.4999999999999998E-3</v>
      </c>
      <c r="D1288" s="353">
        <v>1.25063E-2</v>
      </c>
      <c r="E1288" s="353">
        <v>1.7893800000000001E-2</v>
      </c>
      <c r="F1288" s="354">
        <v>2.10125E-2</v>
      </c>
    </row>
    <row r="1289" spans="1:6" ht="12" thickBot="1">
      <c r="A1289" s="352">
        <v>39862</v>
      </c>
      <c r="B1289" s="353">
        <v>4.7000000000000002E-3</v>
      </c>
      <c r="C1289" s="353">
        <v>9.4874999999999994E-3</v>
      </c>
      <c r="D1289" s="353">
        <v>1.2512499999999999E-2</v>
      </c>
      <c r="E1289" s="353">
        <v>1.78E-2</v>
      </c>
      <c r="F1289" s="354">
        <v>2.095E-2</v>
      </c>
    </row>
    <row r="1290" spans="1:6" ht="12" thickBot="1">
      <c r="A1290" s="352">
        <v>39861</v>
      </c>
      <c r="B1290" s="353">
        <v>4.6625E-3</v>
      </c>
      <c r="C1290" s="353">
        <v>9.4812999999999998E-3</v>
      </c>
      <c r="D1290" s="353">
        <v>1.24563E-2</v>
      </c>
      <c r="E1290" s="353">
        <v>1.76563E-2</v>
      </c>
      <c r="F1290" s="354">
        <v>2.085E-2</v>
      </c>
    </row>
    <row r="1291" spans="1:6" ht="12" thickBot="1">
      <c r="A1291" s="352">
        <v>39860</v>
      </c>
      <c r="B1291" s="353">
        <v>4.6499999999999996E-3</v>
      </c>
      <c r="C1291" s="353">
        <v>9.4812999999999998E-3</v>
      </c>
      <c r="D1291" s="353">
        <v>1.24563E-2</v>
      </c>
      <c r="E1291" s="353">
        <v>1.7643800000000001E-2</v>
      </c>
      <c r="F1291" s="354">
        <v>2.0893800000000001E-2</v>
      </c>
    </row>
    <row r="1292" spans="1:6" ht="12" thickBot="1">
      <c r="A1292" s="352">
        <v>39857</v>
      </c>
      <c r="B1292" s="353">
        <v>4.6125000000000003E-3</v>
      </c>
      <c r="C1292" s="353">
        <v>9.4438000000000005E-3</v>
      </c>
      <c r="D1292" s="353">
        <v>1.2375000000000001E-2</v>
      </c>
      <c r="E1292" s="353">
        <v>1.7350000000000001E-2</v>
      </c>
      <c r="F1292" s="354">
        <v>2.0343799999999999E-2</v>
      </c>
    </row>
    <row r="1293" spans="1:6" ht="12" thickBot="1">
      <c r="A1293" s="352">
        <v>39856</v>
      </c>
      <c r="B1293" s="353">
        <v>4.5500000000000002E-3</v>
      </c>
      <c r="C1293" s="353">
        <v>9.4187999999999997E-3</v>
      </c>
      <c r="D1293" s="353">
        <v>1.23438E-2</v>
      </c>
      <c r="E1293" s="353">
        <v>1.7237499999999999E-2</v>
      </c>
      <c r="F1293" s="354">
        <v>2.0187500000000001E-2</v>
      </c>
    </row>
    <row r="1294" spans="1:6" ht="12" thickBot="1">
      <c r="A1294" s="352">
        <v>39855</v>
      </c>
      <c r="B1294" s="353">
        <v>4.5250000000000004E-3</v>
      </c>
      <c r="C1294" s="353">
        <v>9.4438000000000005E-3</v>
      </c>
      <c r="D1294" s="353">
        <v>1.2312500000000001E-2</v>
      </c>
      <c r="E1294" s="353">
        <v>1.7250000000000001E-2</v>
      </c>
      <c r="F1294" s="354">
        <v>2.0231300000000001E-2</v>
      </c>
    </row>
    <row r="1295" spans="1:6" ht="12" thickBot="1">
      <c r="A1295" s="352">
        <v>39854</v>
      </c>
      <c r="B1295" s="353">
        <v>4.4688000000000002E-3</v>
      </c>
      <c r="C1295" s="353">
        <v>9.3688E-3</v>
      </c>
      <c r="D1295" s="353">
        <v>1.22188E-2</v>
      </c>
      <c r="E1295" s="353">
        <v>1.6862499999999999E-2</v>
      </c>
      <c r="F1295" s="354">
        <v>1.9868799999999999E-2</v>
      </c>
    </row>
    <row r="1296" spans="1:6" ht="12" thickBot="1">
      <c r="A1296" s="352">
        <v>39853</v>
      </c>
      <c r="B1296" s="353">
        <v>4.4688000000000002E-3</v>
      </c>
      <c r="C1296" s="353">
        <v>9.3938000000000008E-3</v>
      </c>
      <c r="D1296" s="353">
        <v>1.22813E-2</v>
      </c>
      <c r="E1296" s="353">
        <v>1.7043800000000001E-2</v>
      </c>
      <c r="F1296" s="354">
        <v>0.02</v>
      </c>
    </row>
    <row r="1297" spans="1:6" ht="12" thickBot="1">
      <c r="A1297" s="352">
        <v>39850</v>
      </c>
      <c r="B1297" s="353">
        <v>4.4875000000000002E-3</v>
      </c>
      <c r="C1297" s="353">
        <v>9.4999999999999998E-3</v>
      </c>
      <c r="D1297" s="353">
        <v>1.24125E-2</v>
      </c>
      <c r="E1297" s="353">
        <v>1.7475000000000001E-2</v>
      </c>
      <c r="F1297" s="354">
        <v>2.0362499999999999E-2</v>
      </c>
    </row>
    <row r="1298" spans="1:6" ht="12" thickBot="1">
      <c r="A1298" s="352">
        <v>39849</v>
      </c>
      <c r="B1298" s="353">
        <v>4.4749999999999998E-3</v>
      </c>
      <c r="C1298" s="353">
        <v>9.5125000000000001E-3</v>
      </c>
      <c r="D1298" s="353">
        <v>1.24125E-2</v>
      </c>
      <c r="E1298" s="353">
        <v>1.77375E-2</v>
      </c>
      <c r="F1298" s="354">
        <v>2.08875E-2</v>
      </c>
    </row>
    <row r="1299" spans="1:6" ht="12" thickBot="1">
      <c r="A1299" s="352">
        <v>39848</v>
      </c>
      <c r="B1299" s="353">
        <v>4.45E-3</v>
      </c>
      <c r="C1299" s="353">
        <v>9.5125000000000001E-3</v>
      </c>
      <c r="D1299" s="353">
        <v>1.2356300000000001E-2</v>
      </c>
      <c r="E1299" s="353">
        <v>1.77375E-2</v>
      </c>
      <c r="F1299" s="354">
        <v>2.08875E-2</v>
      </c>
    </row>
    <row r="1300" spans="1:6" ht="12" thickBot="1">
      <c r="A1300" s="352">
        <v>39847</v>
      </c>
      <c r="B1300" s="353">
        <v>4.45E-3</v>
      </c>
      <c r="C1300" s="353">
        <v>9.4874999999999994E-3</v>
      </c>
      <c r="D1300" s="353">
        <v>1.23375E-2</v>
      </c>
      <c r="E1300" s="353">
        <v>1.7762500000000001E-2</v>
      </c>
      <c r="F1300" s="354">
        <v>2.0837499999999998E-2</v>
      </c>
    </row>
    <row r="1301" spans="1:6" ht="12" thickBot="1">
      <c r="A1301" s="352">
        <v>39846</v>
      </c>
      <c r="B1301" s="353">
        <v>4.3750000000000004E-3</v>
      </c>
      <c r="C1301" s="353">
        <v>9.4374999999999997E-3</v>
      </c>
      <c r="D1301" s="353">
        <v>1.225E-2</v>
      </c>
      <c r="E1301" s="353">
        <v>1.7600000000000001E-2</v>
      </c>
      <c r="F1301" s="354">
        <v>2.07E-2</v>
      </c>
    </row>
    <row r="1302" spans="1:6" ht="12" thickBot="1">
      <c r="A1302" s="352">
        <v>39843</v>
      </c>
      <c r="B1302" s="353">
        <v>4.1938000000000001E-3</v>
      </c>
      <c r="C1302" s="353">
        <v>9.1313000000000002E-3</v>
      </c>
      <c r="D1302" s="353">
        <v>1.18438E-2</v>
      </c>
      <c r="E1302" s="353">
        <v>1.66E-2</v>
      </c>
      <c r="F1302" s="354">
        <v>1.975E-2</v>
      </c>
    </row>
    <row r="1303" spans="1:6" ht="12" thickBot="1">
      <c r="A1303" s="352">
        <v>39842</v>
      </c>
      <c r="B1303" s="353">
        <v>4.1250000000000002E-3</v>
      </c>
      <c r="C1303" s="353">
        <v>9.0500000000000008E-3</v>
      </c>
      <c r="D1303" s="353">
        <v>1.17E-2</v>
      </c>
      <c r="E1303" s="353">
        <v>1.6337500000000001E-2</v>
      </c>
      <c r="F1303" s="354">
        <v>1.9224999999999999E-2</v>
      </c>
    </row>
    <row r="1304" spans="1:6" ht="12" thickBot="1">
      <c r="A1304" s="352">
        <v>39841</v>
      </c>
      <c r="B1304" s="353">
        <v>4.0937999999999999E-3</v>
      </c>
      <c r="C1304" s="353">
        <v>9.0562999999999998E-3</v>
      </c>
      <c r="D1304" s="353">
        <v>1.17438E-2</v>
      </c>
      <c r="E1304" s="353">
        <v>1.6306299999999999E-2</v>
      </c>
      <c r="F1304" s="354">
        <v>1.9112500000000001E-2</v>
      </c>
    </row>
    <row r="1305" spans="1:6" ht="12" thickBot="1">
      <c r="A1305" s="352">
        <v>39840</v>
      </c>
      <c r="B1305" s="353">
        <v>4.1124999999999998E-3</v>
      </c>
      <c r="C1305" s="353">
        <v>9.1313000000000002E-3</v>
      </c>
      <c r="D1305" s="353">
        <v>1.18438E-2</v>
      </c>
      <c r="E1305" s="353">
        <v>1.6775000000000002E-2</v>
      </c>
      <c r="F1305" s="354">
        <v>1.97063E-2</v>
      </c>
    </row>
    <row r="1306" spans="1:6" ht="12" thickBot="1">
      <c r="A1306" s="352">
        <v>39839</v>
      </c>
      <c r="B1306" s="353">
        <v>4.0875E-3</v>
      </c>
      <c r="C1306" s="353">
        <v>9.1374999999999998E-3</v>
      </c>
      <c r="D1306" s="353">
        <v>1.1837500000000001E-2</v>
      </c>
      <c r="E1306" s="353">
        <v>1.6725E-2</v>
      </c>
      <c r="F1306" s="354">
        <v>1.9662499999999999E-2</v>
      </c>
    </row>
    <row r="1307" spans="1:6" ht="12" thickBot="1">
      <c r="A1307" s="352">
        <v>39836</v>
      </c>
      <c r="B1307" s="353">
        <v>4.0124999999999996E-3</v>
      </c>
      <c r="C1307" s="353">
        <v>9.0375000000000004E-3</v>
      </c>
      <c r="D1307" s="353">
        <v>1.1693800000000001E-2</v>
      </c>
      <c r="E1307" s="353">
        <v>1.6275000000000001E-2</v>
      </c>
      <c r="F1307" s="354">
        <v>1.915E-2</v>
      </c>
    </row>
    <row r="1308" spans="1:6" ht="12" thickBot="1">
      <c r="A1308" s="352">
        <v>39835</v>
      </c>
      <c r="B1308" s="353">
        <v>3.8938000000000002E-3</v>
      </c>
      <c r="C1308" s="353">
        <v>8.9750000000000003E-3</v>
      </c>
      <c r="D1308" s="353">
        <v>1.15938E-2</v>
      </c>
      <c r="E1308" s="353">
        <v>1.6174999999999998E-2</v>
      </c>
      <c r="F1308" s="354">
        <v>1.92125E-2</v>
      </c>
    </row>
    <row r="1309" spans="1:6" ht="12" thickBot="1">
      <c r="A1309" s="352">
        <v>39834</v>
      </c>
      <c r="B1309" s="353">
        <v>3.5625000000000001E-3</v>
      </c>
      <c r="C1309" s="353">
        <v>8.6625000000000001E-3</v>
      </c>
      <c r="D1309" s="353">
        <v>1.125E-2</v>
      </c>
      <c r="E1309" s="353">
        <v>1.5587500000000001E-2</v>
      </c>
      <c r="F1309" s="354">
        <v>1.84E-2</v>
      </c>
    </row>
    <row r="1310" spans="1:6" ht="12" thickBot="1">
      <c r="A1310" s="352">
        <v>39833</v>
      </c>
      <c r="B1310" s="353">
        <v>3.5249999999999999E-3</v>
      </c>
      <c r="C1310" s="353">
        <v>8.6125000000000004E-3</v>
      </c>
      <c r="D1310" s="353">
        <v>1.1225000000000001E-2</v>
      </c>
      <c r="E1310" s="353">
        <v>1.545E-2</v>
      </c>
      <c r="F1310" s="354">
        <v>1.83E-2</v>
      </c>
    </row>
    <row r="1311" spans="1:6" ht="12" thickBot="1">
      <c r="A1311" s="352">
        <v>39832</v>
      </c>
      <c r="B1311" s="353">
        <v>3.5500000000000002E-3</v>
      </c>
      <c r="C1311" s="353">
        <v>8.7375000000000005E-3</v>
      </c>
      <c r="D1311" s="353">
        <v>1.1325E-2</v>
      </c>
      <c r="E1311" s="353">
        <v>1.55625E-2</v>
      </c>
      <c r="F1311" s="354">
        <v>1.8512500000000001E-2</v>
      </c>
    </row>
    <row r="1312" spans="1:6" ht="12" thickBot="1">
      <c r="A1312" s="352">
        <v>39829</v>
      </c>
      <c r="B1312" s="353">
        <v>3.5937999999999999E-3</v>
      </c>
      <c r="C1312" s="353">
        <v>8.8249999999999995E-3</v>
      </c>
      <c r="D1312" s="353">
        <v>1.1424999999999999E-2</v>
      </c>
      <c r="E1312" s="353">
        <v>1.5887499999999999E-2</v>
      </c>
      <c r="F1312" s="354">
        <v>1.89E-2</v>
      </c>
    </row>
    <row r="1313" spans="1:6" ht="12" thickBot="1">
      <c r="A1313" s="352">
        <v>39828</v>
      </c>
      <c r="B1313" s="353">
        <v>3.3375000000000002E-3</v>
      </c>
      <c r="C1313" s="353">
        <v>8.4124999999999998E-3</v>
      </c>
      <c r="D1313" s="353">
        <v>1.0856299999999999E-2</v>
      </c>
      <c r="E1313" s="353">
        <v>1.50125E-2</v>
      </c>
      <c r="F1313" s="354">
        <v>1.7712499999999999E-2</v>
      </c>
    </row>
    <row r="1314" spans="1:6" ht="12" thickBot="1">
      <c r="A1314" s="352">
        <v>39827</v>
      </c>
      <c r="B1314" s="353">
        <v>3.2875000000000001E-3</v>
      </c>
      <c r="C1314" s="353">
        <v>8.3999999999999995E-3</v>
      </c>
      <c r="D1314" s="353">
        <v>1.0825E-2</v>
      </c>
      <c r="E1314" s="353">
        <v>1.47125E-2</v>
      </c>
      <c r="F1314" s="354">
        <v>1.7462499999999999E-2</v>
      </c>
    </row>
    <row r="1315" spans="1:6" ht="12" thickBot="1">
      <c r="A1315" s="352">
        <v>39826</v>
      </c>
      <c r="B1315" s="353">
        <v>3.3313000000000001E-3</v>
      </c>
      <c r="C1315" s="353">
        <v>8.4749999999999999E-3</v>
      </c>
      <c r="D1315" s="353">
        <v>1.09438E-2</v>
      </c>
      <c r="E1315" s="353">
        <v>1.465E-2</v>
      </c>
      <c r="F1315" s="354">
        <v>1.7375000000000002E-2</v>
      </c>
    </row>
    <row r="1316" spans="1:6" ht="12" thickBot="1">
      <c r="A1316" s="352">
        <v>39822</v>
      </c>
      <c r="B1316" s="353">
        <v>3.6625E-3</v>
      </c>
      <c r="C1316" s="353">
        <v>9.6624999999999992E-3</v>
      </c>
      <c r="D1316" s="353">
        <v>1.26E-2</v>
      </c>
      <c r="E1316" s="353">
        <v>1.6E-2</v>
      </c>
      <c r="F1316" s="354">
        <v>1.8550000000000001E-2</v>
      </c>
    </row>
    <row r="1317" spans="1:6" ht="12" thickBot="1">
      <c r="A1317" s="352">
        <v>39821</v>
      </c>
      <c r="B1317" s="353">
        <v>3.8625E-3</v>
      </c>
      <c r="C1317" s="353">
        <v>1.0375000000000001E-2</v>
      </c>
      <c r="D1317" s="353">
        <v>1.3537499999999999E-2</v>
      </c>
      <c r="E1317" s="353">
        <v>1.6862499999999999E-2</v>
      </c>
      <c r="F1317" s="354">
        <v>1.925E-2</v>
      </c>
    </row>
    <row r="1318" spans="1:6" ht="12" thickBot="1">
      <c r="A1318" s="352">
        <v>39820</v>
      </c>
      <c r="B1318" s="353">
        <v>4.0625000000000001E-3</v>
      </c>
      <c r="C1318" s="353">
        <v>1.0725E-2</v>
      </c>
      <c r="D1318" s="353">
        <v>1.3975E-2</v>
      </c>
      <c r="E1318" s="353">
        <v>1.7500000000000002E-2</v>
      </c>
      <c r="F1318" s="354">
        <v>1.9949999999999999E-2</v>
      </c>
    </row>
    <row r="1319" spans="1:6" ht="12" thickBot="1">
      <c r="A1319" s="352">
        <v>39819</v>
      </c>
      <c r="B1319" s="353">
        <v>4.2062999999999996E-3</v>
      </c>
      <c r="C1319" s="353">
        <v>1.09125E-2</v>
      </c>
      <c r="D1319" s="353">
        <v>1.41125E-2</v>
      </c>
      <c r="E1319" s="353">
        <v>1.77E-2</v>
      </c>
      <c r="F1319" s="354">
        <v>2.0462500000000002E-2</v>
      </c>
    </row>
    <row r="1320" spans="1:6" ht="12" thickBot="1">
      <c r="A1320" s="352">
        <v>39818</v>
      </c>
      <c r="B1320" s="353">
        <v>4.2874999999999996E-3</v>
      </c>
      <c r="C1320" s="353">
        <v>1.0975E-2</v>
      </c>
      <c r="D1320" s="353">
        <v>1.4212499999999999E-2</v>
      </c>
      <c r="E1320" s="353">
        <v>1.7937499999999999E-2</v>
      </c>
      <c r="F1320" s="354">
        <v>2.0924999999999999E-2</v>
      </c>
    </row>
    <row r="1321" spans="1:6" ht="12" thickBot="1">
      <c r="A1321" s="355">
        <v>39815</v>
      </c>
      <c r="B1321" s="356">
        <v>4.3E-3</v>
      </c>
      <c r="C1321" s="356">
        <v>1.0987500000000001E-2</v>
      </c>
      <c r="D1321" s="356">
        <v>1.4125E-2</v>
      </c>
      <c r="E1321" s="356">
        <v>1.7524999999999999E-2</v>
      </c>
      <c r="F1321" s="357">
        <v>2.0237499999999999E-2</v>
      </c>
    </row>
    <row r="1322" spans="1:6">
      <c r="A1322" s="346">
        <v>2008</v>
      </c>
      <c r="B1322" s="347"/>
      <c r="C1322" s="347"/>
      <c r="D1322" s="347"/>
      <c r="E1322" s="347"/>
      <c r="F1322" s="347"/>
    </row>
    <row r="1323" spans="1:6" ht="12" thickBot="1">
      <c r="A1323" s="348"/>
      <c r="B1323" s="610"/>
      <c r="C1323" s="611"/>
      <c r="D1323" s="611"/>
      <c r="E1323" s="611"/>
      <c r="F1323" s="612"/>
    </row>
    <row r="1324" spans="1:6" ht="12" thickBot="1">
      <c r="A1324" s="349" t="s">
        <v>1061</v>
      </c>
      <c r="B1324" s="350" t="s">
        <v>1062</v>
      </c>
      <c r="C1324" s="350" t="s">
        <v>1063</v>
      </c>
      <c r="D1324" s="350" t="s">
        <v>1064</v>
      </c>
      <c r="E1324" s="350" t="s">
        <v>1065</v>
      </c>
      <c r="F1324" s="351" t="s">
        <v>1066</v>
      </c>
    </row>
    <row r="1325" spans="1:6" ht="12" thickBot="1">
      <c r="A1325" s="352">
        <v>39813</v>
      </c>
      <c r="B1325" s="353">
        <v>4.3625000000000001E-3</v>
      </c>
      <c r="C1325" s="353">
        <v>1.10375E-2</v>
      </c>
      <c r="D1325" s="353">
        <v>1.4250000000000001E-2</v>
      </c>
      <c r="E1325" s="353">
        <v>1.7500000000000002E-2</v>
      </c>
      <c r="F1325" s="354">
        <v>2.00375E-2</v>
      </c>
    </row>
    <row r="1326" spans="1:6" ht="12" thickBot="1">
      <c r="A1326" s="352">
        <v>39812</v>
      </c>
      <c r="B1326" s="353">
        <v>4.4749999999999998E-3</v>
      </c>
      <c r="C1326" s="353">
        <v>1.115E-2</v>
      </c>
      <c r="D1326" s="353">
        <v>1.435E-2</v>
      </c>
      <c r="E1326" s="353">
        <v>1.7749999999999998E-2</v>
      </c>
      <c r="F1326" s="354">
        <v>2.0250000000000001E-2</v>
      </c>
    </row>
    <row r="1327" spans="1:6" ht="12" thickBot="1">
      <c r="A1327" s="352">
        <v>39811</v>
      </c>
      <c r="B1327" s="353">
        <v>4.6125000000000003E-3</v>
      </c>
      <c r="C1327" s="353">
        <v>1.13375E-2</v>
      </c>
      <c r="D1327" s="353">
        <v>1.45875E-2</v>
      </c>
      <c r="E1327" s="353">
        <v>1.81125E-2</v>
      </c>
      <c r="F1327" s="354">
        <v>2.0774999999999998E-2</v>
      </c>
    </row>
    <row r="1328" spans="1:6" ht="12" thickBot="1">
      <c r="A1328" s="352">
        <v>39808</v>
      </c>
      <c r="B1328" s="353">
        <v>4.7124999999999997E-3</v>
      </c>
      <c r="C1328" s="353">
        <v>1.1487499999999999E-2</v>
      </c>
      <c r="D1328" s="353">
        <v>1.4675000000000001E-2</v>
      </c>
      <c r="E1328" s="353">
        <v>1.83E-2</v>
      </c>
      <c r="F1328" s="354">
        <v>2.0912500000000001E-2</v>
      </c>
    </row>
    <row r="1329" spans="1:6" ht="12" thickBot="1">
      <c r="A1329" s="352">
        <v>39806</v>
      </c>
      <c r="B1329" s="353">
        <v>4.7124999999999997E-3</v>
      </c>
      <c r="C1329" s="353">
        <v>1.1487499999999999E-2</v>
      </c>
      <c r="D1329" s="353">
        <v>1.4675000000000001E-2</v>
      </c>
      <c r="E1329" s="353">
        <v>1.83E-2</v>
      </c>
      <c r="F1329" s="354">
        <v>2.0912500000000001E-2</v>
      </c>
    </row>
    <row r="1330" spans="1:6" ht="12" thickBot="1">
      <c r="A1330" s="352">
        <v>39805</v>
      </c>
      <c r="B1330" s="353">
        <v>4.7124999999999997E-3</v>
      </c>
      <c r="C1330" s="353">
        <v>1.1537499999999999E-2</v>
      </c>
      <c r="D1330" s="353">
        <v>1.46625E-2</v>
      </c>
      <c r="E1330" s="353">
        <v>1.8499999999999999E-2</v>
      </c>
      <c r="F1330" s="354">
        <v>2.1062500000000001E-2</v>
      </c>
    </row>
    <row r="1331" spans="1:6" ht="12" thickBot="1">
      <c r="A1331" s="352">
        <v>39804</v>
      </c>
      <c r="B1331" s="353">
        <v>4.6125000000000003E-3</v>
      </c>
      <c r="C1331" s="353">
        <v>1.1537499999999999E-2</v>
      </c>
      <c r="D1331" s="353">
        <v>1.46625E-2</v>
      </c>
      <c r="E1331" s="353">
        <v>1.8262500000000001E-2</v>
      </c>
      <c r="F1331" s="354">
        <v>2.07625E-2</v>
      </c>
    </row>
    <row r="1332" spans="1:6" ht="12" thickBot="1">
      <c r="A1332" s="352">
        <v>39801</v>
      </c>
      <c r="B1332" s="353">
        <v>4.7375000000000004E-3</v>
      </c>
      <c r="C1332" s="353">
        <v>1.175E-2</v>
      </c>
      <c r="D1332" s="353">
        <v>1.4975E-2</v>
      </c>
      <c r="E1332" s="353">
        <v>1.8450000000000001E-2</v>
      </c>
      <c r="F1332" s="354">
        <v>2.0924999999999999E-2</v>
      </c>
    </row>
    <row r="1333" spans="1:6" ht="12" thickBot="1">
      <c r="A1333" s="352">
        <v>39800</v>
      </c>
      <c r="B1333" s="353">
        <v>5.0749999999999997E-3</v>
      </c>
      <c r="C1333" s="353">
        <v>1.2149999999999999E-2</v>
      </c>
      <c r="D1333" s="353">
        <v>1.525E-2</v>
      </c>
      <c r="E1333" s="353">
        <v>1.8637500000000001E-2</v>
      </c>
      <c r="F1333" s="354">
        <v>2.0987499999999999E-2</v>
      </c>
    </row>
    <row r="1334" spans="1:6" ht="12" thickBot="1">
      <c r="A1334" s="352">
        <v>39799</v>
      </c>
      <c r="B1334" s="353">
        <v>5.8125E-3</v>
      </c>
      <c r="C1334" s="353">
        <v>1.2725E-2</v>
      </c>
      <c r="D1334" s="353">
        <v>1.5775000000000001E-2</v>
      </c>
      <c r="E1334" s="353">
        <v>1.8912499999999999E-2</v>
      </c>
      <c r="F1334" s="354">
        <v>2.0987499999999999E-2</v>
      </c>
    </row>
    <row r="1335" spans="1:6" ht="12" thickBot="1">
      <c r="A1335" s="352">
        <v>39798</v>
      </c>
      <c r="B1335" s="353">
        <v>8.8374999999999999E-3</v>
      </c>
      <c r="C1335" s="353">
        <v>1.5675000000000001E-2</v>
      </c>
      <c r="D1335" s="353">
        <v>1.8474999999999998E-2</v>
      </c>
      <c r="E1335" s="353">
        <v>2.1675E-2</v>
      </c>
      <c r="F1335" s="354">
        <v>2.3675000000000002E-2</v>
      </c>
    </row>
    <row r="1336" spans="1:6" ht="12" thickBot="1">
      <c r="A1336" s="352">
        <v>39797</v>
      </c>
      <c r="B1336" s="353">
        <v>9.6124999999999995E-3</v>
      </c>
      <c r="C1336" s="353">
        <v>1.6137499999999999E-2</v>
      </c>
      <c r="D1336" s="353">
        <v>1.87125E-2</v>
      </c>
      <c r="E1336" s="353">
        <v>2.2162500000000002E-2</v>
      </c>
      <c r="F1336" s="354">
        <v>2.4299999999999999E-2</v>
      </c>
    </row>
    <row r="1337" spans="1:6" ht="12" thickBot="1">
      <c r="A1337" s="352">
        <v>39794</v>
      </c>
      <c r="B1337" s="353">
        <v>1.04E-2</v>
      </c>
      <c r="C1337" s="353">
        <v>1.68063E-2</v>
      </c>
      <c r="D1337" s="353">
        <v>1.92125E-2</v>
      </c>
      <c r="E1337" s="353">
        <v>2.2200000000000001E-2</v>
      </c>
      <c r="F1337" s="354">
        <v>2.4187500000000001E-2</v>
      </c>
    </row>
    <row r="1338" spans="1:6" ht="12" thickBot="1">
      <c r="A1338" s="352">
        <v>39793</v>
      </c>
      <c r="B1338" s="353">
        <v>1.1950000000000001E-2</v>
      </c>
      <c r="C1338" s="353">
        <v>1.7675E-2</v>
      </c>
      <c r="D1338" s="353">
        <v>1.9962500000000001E-2</v>
      </c>
      <c r="E1338" s="353">
        <v>2.3224999999999999E-2</v>
      </c>
      <c r="F1338" s="354">
        <v>2.5287500000000001E-2</v>
      </c>
    </row>
    <row r="1339" spans="1:6" ht="12" thickBot="1">
      <c r="A1339" s="352">
        <v>39792</v>
      </c>
      <c r="B1339" s="353">
        <v>1.4387499999999999E-2</v>
      </c>
      <c r="C1339" s="353">
        <v>1.9037499999999999E-2</v>
      </c>
      <c r="D1339" s="353">
        <v>2.0987499999999999E-2</v>
      </c>
      <c r="E1339" s="353">
        <v>2.4375000000000001E-2</v>
      </c>
      <c r="F1339" s="354">
        <v>2.6224999999999998E-2</v>
      </c>
    </row>
    <row r="1340" spans="1:6" ht="12" thickBot="1">
      <c r="A1340" s="352">
        <v>39791</v>
      </c>
      <c r="B1340" s="353">
        <v>1.635E-2</v>
      </c>
      <c r="C1340" s="353">
        <v>1.9924999999999998E-2</v>
      </c>
      <c r="D1340" s="353">
        <v>2.16375E-2</v>
      </c>
      <c r="E1340" s="353">
        <v>2.5250000000000002E-2</v>
      </c>
      <c r="F1340" s="354">
        <v>2.7099999999999999E-2</v>
      </c>
    </row>
    <row r="1341" spans="1:6" ht="12" thickBot="1">
      <c r="A1341" s="352">
        <v>39787</v>
      </c>
      <c r="B1341" s="353">
        <v>1.8675000000000001E-2</v>
      </c>
      <c r="C1341" s="353">
        <v>2.0406299999999999E-2</v>
      </c>
      <c r="D1341" s="353">
        <v>2.1856299999999999E-2</v>
      </c>
      <c r="E1341" s="353">
        <v>2.55125E-2</v>
      </c>
      <c r="F1341" s="354">
        <v>2.6925000000000001E-2</v>
      </c>
    </row>
    <row r="1342" spans="1:6" ht="12" thickBot="1">
      <c r="A1342" s="352">
        <v>39786</v>
      </c>
      <c r="B1342" s="353">
        <v>1.8762500000000001E-2</v>
      </c>
      <c r="C1342" s="353">
        <v>2.0437500000000001E-2</v>
      </c>
      <c r="D1342" s="353">
        <v>2.1925E-2</v>
      </c>
      <c r="E1342" s="353">
        <v>2.52E-2</v>
      </c>
      <c r="F1342" s="354">
        <v>2.6487500000000001E-2</v>
      </c>
    </row>
    <row r="1343" spans="1:6" ht="12" thickBot="1">
      <c r="A1343" s="352">
        <v>39785</v>
      </c>
      <c r="B1343" s="353">
        <v>1.89E-2</v>
      </c>
      <c r="C1343" s="353">
        <v>2.0512499999999999E-2</v>
      </c>
      <c r="D1343" s="353">
        <v>2.2012500000000001E-2</v>
      </c>
      <c r="E1343" s="353">
        <v>2.5562499999999998E-2</v>
      </c>
      <c r="F1343" s="354">
        <v>2.7037499999999999E-2</v>
      </c>
    </row>
    <row r="1344" spans="1:6" ht="12" thickBot="1">
      <c r="A1344" s="352">
        <v>39784</v>
      </c>
      <c r="B1344" s="353">
        <v>1.8987500000000001E-2</v>
      </c>
      <c r="C1344" s="353">
        <v>2.0587500000000002E-2</v>
      </c>
      <c r="D1344" s="353">
        <v>2.2100000000000002E-2</v>
      </c>
      <c r="E1344" s="353">
        <v>2.5687499999999999E-2</v>
      </c>
      <c r="F1344" s="354">
        <v>2.7125E-2</v>
      </c>
    </row>
    <row r="1345" spans="1:6" ht="12" thickBot="1">
      <c r="A1345" s="352">
        <v>39783</v>
      </c>
      <c r="B1345" s="353">
        <v>1.9112500000000001E-2</v>
      </c>
      <c r="C1345" s="353">
        <v>2.06625E-2</v>
      </c>
      <c r="D1345" s="353">
        <v>2.2200000000000001E-2</v>
      </c>
      <c r="E1345" s="353">
        <v>2.6062499999999999E-2</v>
      </c>
      <c r="F1345" s="354">
        <v>2.7737499999999998E-2</v>
      </c>
    </row>
    <row r="1346" spans="1:6" ht="12" thickBot="1">
      <c r="A1346" s="352">
        <v>39780</v>
      </c>
      <c r="B1346" s="353">
        <v>1.9012500000000002E-2</v>
      </c>
      <c r="C1346" s="353">
        <v>2.06E-2</v>
      </c>
      <c r="D1346" s="353">
        <v>2.2168799999999999E-2</v>
      </c>
      <c r="E1346" s="353">
        <v>2.5912500000000002E-2</v>
      </c>
      <c r="F1346" s="354">
        <v>2.76625E-2</v>
      </c>
    </row>
    <row r="1347" spans="1:6" ht="12" thickBot="1">
      <c r="A1347" s="352">
        <v>39779</v>
      </c>
      <c r="B1347" s="353">
        <v>1.9E-2</v>
      </c>
      <c r="C1347" s="353">
        <v>2.0437500000000001E-2</v>
      </c>
      <c r="D1347" s="353">
        <v>2.2024999999999999E-2</v>
      </c>
      <c r="E1347" s="353">
        <v>2.5675E-2</v>
      </c>
      <c r="F1347" s="354">
        <v>2.7474999999999999E-2</v>
      </c>
    </row>
    <row r="1348" spans="1:6" ht="12" thickBot="1">
      <c r="A1348" s="352">
        <v>39778</v>
      </c>
      <c r="B1348" s="353">
        <v>1.4312500000000001E-2</v>
      </c>
      <c r="C1348" s="353">
        <v>2.0312500000000001E-2</v>
      </c>
      <c r="D1348" s="353">
        <v>2.1812499999999999E-2</v>
      </c>
      <c r="E1348" s="353">
        <v>2.5437499999999998E-2</v>
      </c>
      <c r="F1348" s="354">
        <v>2.7175000000000001E-2</v>
      </c>
    </row>
    <row r="1349" spans="1:6" ht="12" thickBot="1">
      <c r="A1349" s="352">
        <v>39777</v>
      </c>
      <c r="B1349" s="353">
        <v>1.43625E-2</v>
      </c>
      <c r="C1349" s="353">
        <v>2.0462500000000002E-2</v>
      </c>
      <c r="D1349" s="353">
        <v>2.1962499999999999E-2</v>
      </c>
      <c r="E1349" s="353">
        <v>2.62125E-2</v>
      </c>
      <c r="F1349" s="354">
        <v>2.8400000000000002E-2</v>
      </c>
    </row>
    <row r="1350" spans="1:6" ht="12" thickBot="1">
      <c r="A1350" s="352">
        <v>39776</v>
      </c>
      <c r="B1350" s="353">
        <v>1.41125E-2</v>
      </c>
      <c r="C1350" s="353">
        <v>2.0262499999999999E-2</v>
      </c>
      <c r="D1350" s="353">
        <v>2.1687499999999998E-2</v>
      </c>
      <c r="E1350" s="353">
        <v>2.5749999999999999E-2</v>
      </c>
      <c r="F1350" s="354">
        <v>2.7587500000000001E-2</v>
      </c>
    </row>
    <row r="1351" spans="1:6" ht="12" thickBot="1">
      <c r="A1351" s="352">
        <v>39773</v>
      </c>
      <c r="B1351" s="353">
        <v>1.3950000000000001E-2</v>
      </c>
      <c r="C1351" s="353">
        <v>2.0212500000000001E-2</v>
      </c>
      <c r="D1351" s="353">
        <v>2.1575E-2</v>
      </c>
      <c r="E1351" s="353">
        <v>2.5687499999999999E-2</v>
      </c>
      <c r="F1351" s="354">
        <v>2.7362500000000001E-2</v>
      </c>
    </row>
    <row r="1352" spans="1:6" ht="12" thickBot="1">
      <c r="A1352" s="352">
        <v>39772</v>
      </c>
      <c r="B1352" s="353">
        <v>1.39875E-2</v>
      </c>
      <c r="C1352" s="353">
        <v>2.02875E-2</v>
      </c>
      <c r="D1352" s="353">
        <v>2.15313E-2</v>
      </c>
      <c r="E1352" s="353">
        <v>2.5437499999999998E-2</v>
      </c>
      <c r="F1352" s="354">
        <v>2.7050000000000001E-2</v>
      </c>
    </row>
    <row r="1353" spans="1:6" ht="12" thickBot="1">
      <c r="A1353" s="352">
        <v>39771</v>
      </c>
      <c r="B1353" s="353">
        <v>1.4137500000000001E-2</v>
      </c>
      <c r="C1353" s="353">
        <v>2.04125E-2</v>
      </c>
      <c r="D1353" s="353">
        <v>2.1725000000000001E-2</v>
      </c>
      <c r="E1353" s="353">
        <v>2.5837499999999999E-2</v>
      </c>
      <c r="F1353" s="354">
        <v>2.7550000000000002E-2</v>
      </c>
    </row>
    <row r="1354" spans="1:6" ht="12" thickBot="1">
      <c r="A1354" s="352">
        <v>39770</v>
      </c>
      <c r="B1354" s="353">
        <v>1.4525E-2</v>
      </c>
      <c r="C1354" s="353">
        <v>2.0899999999999998E-2</v>
      </c>
      <c r="D1354" s="353">
        <v>2.2175E-2</v>
      </c>
      <c r="E1354" s="353">
        <v>2.6312499999999999E-2</v>
      </c>
      <c r="F1354" s="354">
        <v>2.7949999999999999E-2</v>
      </c>
    </row>
    <row r="1355" spans="1:6" ht="12" thickBot="1">
      <c r="A1355" s="352">
        <v>39766</v>
      </c>
      <c r="B1355" s="353">
        <v>1.4775E-2</v>
      </c>
      <c r="C1355" s="353">
        <v>2.1162500000000001E-2</v>
      </c>
      <c r="D1355" s="353">
        <v>2.23625E-2</v>
      </c>
      <c r="E1355" s="353">
        <v>2.7137499999999998E-2</v>
      </c>
      <c r="F1355" s="354">
        <v>2.9049999999999999E-2</v>
      </c>
    </row>
    <row r="1356" spans="1:6" ht="12" thickBot="1">
      <c r="A1356" s="352">
        <v>39765</v>
      </c>
      <c r="B1356" s="353">
        <v>1.4225E-2</v>
      </c>
      <c r="C1356" s="353">
        <v>2.04125E-2</v>
      </c>
      <c r="D1356" s="353">
        <v>2.14875E-2</v>
      </c>
      <c r="E1356" s="353">
        <v>2.5950000000000001E-2</v>
      </c>
      <c r="F1356" s="354">
        <v>2.7512499999999999E-2</v>
      </c>
    </row>
    <row r="1357" spans="1:6" ht="12" thickBot="1">
      <c r="A1357" s="352">
        <v>39764</v>
      </c>
      <c r="B1357" s="353">
        <v>1.4087499999999999E-2</v>
      </c>
      <c r="C1357" s="353">
        <v>2.01625E-2</v>
      </c>
      <c r="D1357" s="353">
        <v>2.1325E-2</v>
      </c>
      <c r="E1357" s="353">
        <v>2.5250000000000002E-2</v>
      </c>
      <c r="F1357" s="354">
        <v>2.6825000000000002E-2</v>
      </c>
    </row>
    <row r="1358" spans="1:6" ht="12" thickBot="1">
      <c r="A1358" s="352">
        <v>39763</v>
      </c>
      <c r="B1358" s="353">
        <v>1.4775E-2</v>
      </c>
      <c r="C1358" s="353">
        <v>2.0462500000000002E-2</v>
      </c>
      <c r="D1358" s="353">
        <v>2.1749999999999999E-2</v>
      </c>
      <c r="E1358" s="353">
        <v>2.545E-2</v>
      </c>
      <c r="F1358" s="354">
        <v>2.7074999999999998E-2</v>
      </c>
    </row>
    <row r="1359" spans="1:6" ht="12" thickBot="1">
      <c r="A1359" s="352">
        <v>39762</v>
      </c>
      <c r="B1359" s="353">
        <v>1.53875E-2</v>
      </c>
      <c r="C1359" s="353">
        <v>2.1037500000000001E-2</v>
      </c>
      <c r="D1359" s="353">
        <v>2.2349999999999998E-2</v>
      </c>
      <c r="E1359" s="353">
        <v>2.62125E-2</v>
      </c>
      <c r="F1359" s="354">
        <v>2.7924999999999998E-2</v>
      </c>
    </row>
    <row r="1360" spans="1:6" ht="12" thickBot="1">
      <c r="A1360" s="352">
        <v>39759</v>
      </c>
      <c r="B1360" s="353">
        <v>1.6225E-2</v>
      </c>
      <c r="C1360" s="353">
        <v>2.1587499999999999E-2</v>
      </c>
      <c r="D1360" s="353">
        <v>2.29E-2</v>
      </c>
      <c r="E1360" s="353">
        <v>2.6387500000000001E-2</v>
      </c>
      <c r="F1360" s="354">
        <v>2.8000000000000001E-2</v>
      </c>
    </row>
    <row r="1361" spans="1:6" ht="12" thickBot="1">
      <c r="A1361" s="352">
        <v>39758</v>
      </c>
      <c r="B1361" s="353">
        <v>1.7675E-2</v>
      </c>
      <c r="C1361" s="353">
        <v>2.2487500000000001E-2</v>
      </c>
      <c r="D1361" s="353">
        <v>2.3875E-2</v>
      </c>
      <c r="E1361" s="353">
        <v>2.6987500000000001E-2</v>
      </c>
      <c r="F1361" s="354">
        <v>2.84125E-2</v>
      </c>
    </row>
    <row r="1362" spans="1:6" ht="12" thickBot="1">
      <c r="A1362" s="352">
        <v>39757</v>
      </c>
      <c r="B1362" s="353">
        <v>1.95625E-2</v>
      </c>
      <c r="C1362" s="353">
        <v>2.4125000000000001E-2</v>
      </c>
      <c r="D1362" s="353">
        <v>2.5062500000000001E-2</v>
      </c>
      <c r="E1362" s="353">
        <v>2.8237499999999999E-2</v>
      </c>
      <c r="F1362" s="354">
        <v>2.9687499999999999E-2</v>
      </c>
    </row>
    <row r="1363" spans="1:6" ht="12" thickBot="1">
      <c r="A1363" s="352">
        <v>39756</v>
      </c>
      <c r="B1363" s="353">
        <v>2.1774999999999999E-2</v>
      </c>
      <c r="C1363" s="353">
        <v>2.6062499999999999E-2</v>
      </c>
      <c r="D1363" s="353">
        <v>2.70625E-2</v>
      </c>
      <c r="E1363" s="353">
        <v>2.9687499999999999E-2</v>
      </c>
      <c r="F1363" s="354">
        <v>3.1050000000000001E-2</v>
      </c>
    </row>
    <row r="1364" spans="1:6" ht="12" thickBot="1">
      <c r="A1364" s="352">
        <v>39752</v>
      </c>
      <c r="B1364" s="353">
        <v>2.5812499999999999E-2</v>
      </c>
      <c r="C1364" s="353">
        <v>2.9662500000000001E-2</v>
      </c>
      <c r="D1364" s="353">
        <v>3.0262500000000001E-2</v>
      </c>
      <c r="E1364" s="353">
        <v>3.1212500000000001E-2</v>
      </c>
      <c r="F1364" s="354">
        <v>3.1737500000000002E-2</v>
      </c>
    </row>
    <row r="1365" spans="1:6" ht="12" thickBot="1">
      <c r="A1365" s="352">
        <v>39749</v>
      </c>
      <c r="B1365" s="353">
        <v>3.1712499999999998E-2</v>
      </c>
      <c r="C1365" s="353">
        <v>3.3212499999999999E-2</v>
      </c>
      <c r="D1365" s="353">
        <v>3.465E-2</v>
      </c>
      <c r="E1365" s="353">
        <v>3.4799999999999998E-2</v>
      </c>
      <c r="F1365" s="354">
        <v>3.49E-2</v>
      </c>
    </row>
    <row r="1366" spans="1:6" ht="12" thickBot="1">
      <c r="A1366" s="352">
        <v>39748</v>
      </c>
      <c r="B1366" s="353">
        <v>3.2187500000000001E-2</v>
      </c>
      <c r="C1366" s="353">
        <v>3.3649999999999999E-2</v>
      </c>
      <c r="D1366" s="353">
        <v>3.5075000000000002E-2</v>
      </c>
      <c r="E1366" s="353">
        <v>3.5125000000000003E-2</v>
      </c>
      <c r="F1366" s="354">
        <v>3.4974999999999999E-2</v>
      </c>
    </row>
    <row r="1367" spans="1:6" ht="12" thickBot="1">
      <c r="A1367" s="352">
        <v>39745</v>
      </c>
      <c r="B1367" s="353">
        <v>3.2399999999999998E-2</v>
      </c>
      <c r="C1367" s="353">
        <v>3.3787499999999998E-2</v>
      </c>
      <c r="D1367" s="353">
        <v>3.5162499999999999E-2</v>
      </c>
      <c r="E1367" s="353">
        <v>3.5275000000000001E-2</v>
      </c>
      <c r="F1367" s="354">
        <v>3.5087500000000001E-2</v>
      </c>
    </row>
    <row r="1368" spans="1:6" ht="12" thickBot="1">
      <c r="A1368" s="352">
        <v>39744</v>
      </c>
      <c r="B1368" s="353">
        <v>3.2587499999999998E-2</v>
      </c>
      <c r="C1368" s="353">
        <v>3.3862499999999997E-2</v>
      </c>
      <c r="D1368" s="353">
        <v>3.5349999999999999E-2</v>
      </c>
      <c r="E1368" s="353">
        <v>3.5299999999999998E-2</v>
      </c>
      <c r="F1368" s="354">
        <v>3.5025000000000001E-2</v>
      </c>
    </row>
    <row r="1369" spans="1:6" ht="12" thickBot="1">
      <c r="A1369" s="352">
        <v>39743</v>
      </c>
      <c r="B1369" s="353">
        <v>3.2750000000000001E-2</v>
      </c>
      <c r="C1369" s="353">
        <v>3.38375E-2</v>
      </c>
      <c r="D1369" s="353">
        <v>3.54125E-2</v>
      </c>
      <c r="E1369" s="353">
        <v>3.4825000000000002E-2</v>
      </c>
      <c r="F1369" s="354">
        <v>3.4237499999999997E-2</v>
      </c>
    </row>
    <row r="1370" spans="1:6" ht="12" thickBot="1">
      <c r="A1370" s="352">
        <v>39742</v>
      </c>
      <c r="B1370" s="353">
        <v>3.5275000000000001E-2</v>
      </c>
      <c r="C1370" s="353">
        <v>3.6975000000000001E-2</v>
      </c>
      <c r="D1370" s="353">
        <v>3.8337499999999997E-2</v>
      </c>
      <c r="E1370" s="353">
        <v>3.6999999999999998E-2</v>
      </c>
      <c r="F1370" s="354">
        <v>3.6018799999999997E-2</v>
      </c>
    </row>
    <row r="1371" spans="1:6" ht="12" thickBot="1">
      <c r="A1371" s="352">
        <v>39741</v>
      </c>
      <c r="B1371" s="353">
        <v>3.7512499999999997E-2</v>
      </c>
      <c r="C1371" s="353">
        <v>3.9337499999999997E-2</v>
      </c>
      <c r="D1371" s="353">
        <v>4.0587499999999999E-2</v>
      </c>
      <c r="E1371" s="353">
        <v>3.8287500000000002E-2</v>
      </c>
      <c r="F1371" s="354">
        <v>3.7124999999999998E-2</v>
      </c>
    </row>
    <row r="1372" spans="1:6" ht="12" thickBot="1">
      <c r="A1372" s="352">
        <v>39738</v>
      </c>
      <c r="B1372" s="353">
        <v>4.1812500000000002E-2</v>
      </c>
      <c r="C1372" s="353">
        <v>4.3062499999999997E-2</v>
      </c>
      <c r="D1372" s="353">
        <v>4.4187499999999998E-2</v>
      </c>
      <c r="E1372" s="353">
        <v>4.1300000000000003E-2</v>
      </c>
      <c r="F1372" s="354">
        <v>3.9725000000000003E-2</v>
      </c>
    </row>
    <row r="1373" spans="1:6" ht="12" thickBot="1">
      <c r="A1373" s="352">
        <v>39737</v>
      </c>
      <c r="B1373" s="353">
        <v>4.2775000000000001E-2</v>
      </c>
      <c r="C1373" s="353">
        <v>4.3999999999999997E-2</v>
      </c>
      <c r="D1373" s="353">
        <v>4.5025000000000003E-2</v>
      </c>
      <c r="E1373" s="353">
        <v>4.1787499999999998E-2</v>
      </c>
      <c r="F1373" s="354">
        <v>3.9787500000000003E-2</v>
      </c>
    </row>
    <row r="1374" spans="1:6" ht="12" thickBot="1">
      <c r="A1374" s="352">
        <v>39736</v>
      </c>
      <c r="B1374" s="353">
        <v>4.3587500000000001E-2</v>
      </c>
      <c r="C1374" s="353">
        <v>4.4650000000000002E-2</v>
      </c>
      <c r="D1374" s="353">
        <v>4.5499999999999999E-2</v>
      </c>
      <c r="E1374" s="353">
        <v>4.22125E-2</v>
      </c>
      <c r="F1374" s="354">
        <v>4.0337499999999998E-2</v>
      </c>
    </row>
    <row r="1375" spans="1:6" ht="12" thickBot="1">
      <c r="A1375" s="352">
        <v>39735</v>
      </c>
      <c r="B1375" s="353">
        <v>4.4687499999999998E-2</v>
      </c>
      <c r="C1375" s="353">
        <v>4.5562499999999999E-2</v>
      </c>
      <c r="D1375" s="353">
        <v>4.6350000000000002E-2</v>
      </c>
      <c r="E1375" s="353">
        <v>4.2549999999999998E-2</v>
      </c>
      <c r="F1375" s="354">
        <v>4.0599999999999997E-2</v>
      </c>
    </row>
    <row r="1376" spans="1:6" ht="12" thickBot="1">
      <c r="A1376" s="352">
        <v>39731</v>
      </c>
      <c r="B1376" s="353">
        <v>4.5874999999999999E-2</v>
      </c>
      <c r="C1376" s="353">
        <v>4.6824999999999999E-2</v>
      </c>
      <c r="D1376" s="353">
        <v>4.8187500000000001E-2</v>
      </c>
      <c r="E1376" s="353">
        <v>4.3937499999999997E-2</v>
      </c>
      <c r="F1376" s="354">
        <v>4.1687500000000002E-2</v>
      </c>
    </row>
    <row r="1377" spans="1:6" ht="12" thickBot="1">
      <c r="A1377" s="352">
        <v>39730</v>
      </c>
      <c r="B1377" s="353">
        <v>4.5124999999999998E-2</v>
      </c>
      <c r="C1377" s="353">
        <v>4.5850000000000002E-2</v>
      </c>
      <c r="D1377" s="353">
        <v>4.7500000000000001E-2</v>
      </c>
      <c r="E1377" s="353">
        <v>4.3749999999999997E-2</v>
      </c>
      <c r="F1377" s="354">
        <v>4.23375E-2</v>
      </c>
    </row>
    <row r="1378" spans="1:6" ht="12" thickBot="1">
      <c r="A1378" s="352">
        <v>39729</v>
      </c>
      <c r="B1378" s="353">
        <v>4.2937500000000003E-2</v>
      </c>
      <c r="C1378" s="353">
        <v>4.3812499999999997E-2</v>
      </c>
      <c r="D1378" s="353">
        <v>4.52375E-2</v>
      </c>
      <c r="E1378" s="353">
        <v>4.1075E-2</v>
      </c>
      <c r="F1378" s="354">
        <v>3.9937500000000001E-2</v>
      </c>
    </row>
    <row r="1379" spans="1:6" ht="12" thickBot="1">
      <c r="A1379" s="352">
        <v>39728</v>
      </c>
      <c r="B1379" s="353">
        <v>4.1399999999999999E-2</v>
      </c>
      <c r="C1379" s="353">
        <v>4.2012500000000001E-2</v>
      </c>
      <c r="D1379" s="353">
        <v>4.3200000000000002E-2</v>
      </c>
      <c r="E1379" s="353">
        <v>4.0162499999999997E-2</v>
      </c>
      <c r="F1379" s="354">
        <v>3.9E-2</v>
      </c>
    </row>
    <row r="1380" spans="1:6" ht="12" thickBot="1">
      <c r="A1380" s="352">
        <v>39727</v>
      </c>
      <c r="B1380" s="353">
        <v>4.0925000000000003E-2</v>
      </c>
      <c r="C1380" s="353">
        <v>4.1737499999999997E-2</v>
      </c>
      <c r="D1380" s="353">
        <v>4.2887500000000002E-2</v>
      </c>
      <c r="E1380" s="353">
        <v>4.0524999999999999E-2</v>
      </c>
      <c r="F1380" s="354">
        <v>3.9524999999999998E-2</v>
      </c>
    </row>
    <row r="1381" spans="1:6" ht="12" thickBot="1">
      <c r="A1381" s="352">
        <v>39724</v>
      </c>
      <c r="B1381" s="353">
        <v>4.1099999999999998E-2</v>
      </c>
      <c r="C1381" s="353">
        <v>4.2062500000000003E-2</v>
      </c>
      <c r="D1381" s="353">
        <v>4.3337500000000001E-2</v>
      </c>
      <c r="E1381" s="353">
        <v>4.1312500000000002E-2</v>
      </c>
      <c r="F1381" s="354">
        <v>4.0575E-2</v>
      </c>
    </row>
    <row r="1382" spans="1:6" ht="12" thickBot="1">
      <c r="A1382" s="352">
        <v>39723</v>
      </c>
      <c r="B1382" s="353">
        <v>4.045E-2</v>
      </c>
      <c r="C1382" s="353">
        <v>4.1062500000000002E-2</v>
      </c>
      <c r="D1382" s="353">
        <v>4.2075000000000001E-2</v>
      </c>
      <c r="E1382" s="353">
        <v>4.0524999999999999E-2</v>
      </c>
      <c r="F1382" s="354">
        <v>4.0224999999999997E-2</v>
      </c>
    </row>
    <row r="1383" spans="1:6" ht="12" thickBot="1">
      <c r="A1383" s="352">
        <v>39722</v>
      </c>
      <c r="B1383" s="353">
        <v>4.0024999999999998E-2</v>
      </c>
      <c r="C1383" s="353">
        <v>4.0537499999999997E-2</v>
      </c>
      <c r="D1383" s="353">
        <v>4.1500000000000002E-2</v>
      </c>
      <c r="E1383" s="353">
        <v>4.0375000000000001E-2</v>
      </c>
      <c r="F1383" s="354">
        <v>4.0349999999999997E-2</v>
      </c>
    </row>
    <row r="1384" spans="1:6" ht="12" thickBot="1">
      <c r="A1384" s="352">
        <v>39721</v>
      </c>
      <c r="B1384" s="353">
        <v>3.9262499999999999E-2</v>
      </c>
      <c r="C1384" s="353">
        <v>3.9662500000000003E-2</v>
      </c>
      <c r="D1384" s="353">
        <v>4.0524999999999999E-2</v>
      </c>
      <c r="E1384" s="353">
        <v>3.9812500000000001E-2</v>
      </c>
      <c r="F1384" s="354">
        <v>3.9625E-2</v>
      </c>
    </row>
    <row r="1385" spans="1:6" ht="12" thickBot="1">
      <c r="A1385" s="352">
        <v>39720</v>
      </c>
      <c r="B1385" s="353">
        <v>3.7199999999999997E-2</v>
      </c>
      <c r="C1385" s="353">
        <v>3.7499999999999999E-2</v>
      </c>
      <c r="D1385" s="353">
        <v>3.8824999999999998E-2</v>
      </c>
      <c r="E1385" s="353">
        <v>3.8337499999999997E-2</v>
      </c>
      <c r="F1385" s="354">
        <v>3.8350000000000002E-2</v>
      </c>
    </row>
    <row r="1386" spans="1:6" ht="12" thickBot="1">
      <c r="A1386" s="352">
        <v>39717</v>
      </c>
      <c r="B1386" s="353">
        <v>3.7037500000000001E-2</v>
      </c>
      <c r="C1386" s="353">
        <v>3.7225000000000001E-2</v>
      </c>
      <c r="D1386" s="353">
        <v>3.7618800000000001E-2</v>
      </c>
      <c r="E1386" s="353">
        <v>3.8762499999999998E-2</v>
      </c>
      <c r="F1386" s="354">
        <v>3.8912500000000003E-2</v>
      </c>
    </row>
    <row r="1387" spans="1:6" ht="12" thickBot="1">
      <c r="A1387" s="352">
        <v>39716</v>
      </c>
      <c r="B1387" s="353">
        <v>3.7087500000000002E-2</v>
      </c>
      <c r="C1387" s="353">
        <v>3.7312499999999998E-2</v>
      </c>
      <c r="D1387" s="353">
        <v>3.7687499999999999E-2</v>
      </c>
      <c r="E1387" s="353">
        <v>3.9750000000000001E-2</v>
      </c>
      <c r="F1387" s="354">
        <v>3.9824999999999999E-2</v>
      </c>
    </row>
    <row r="1388" spans="1:6" ht="12" thickBot="1">
      <c r="A1388" s="352">
        <v>39715</v>
      </c>
      <c r="B1388" s="353">
        <v>3.4287499999999999E-2</v>
      </c>
      <c r="C1388" s="353">
        <v>3.4612499999999997E-2</v>
      </c>
      <c r="D1388" s="353">
        <v>3.4762500000000002E-2</v>
      </c>
      <c r="E1388" s="353">
        <v>3.7012499999999997E-2</v>
      </c>
      <c r="F1388" s="354">
        <v>3.7574999999999997E-2</v>
      </c>
    </row>
    <row r="1389" spans="1:6" ht="12" thickBot="1">
      <c r="A1389" s="352">
        <v>39714</v>
      </c>
      <c r="B1389" s="353">
        <v>3.2068800000000001E-2</v>
      </c>
      <c r="C1389" s="353">
        <v>3.2031299999999999E-2</v>
      </c>
      <c r="D1389" s="353">
        <v>3.2112500000000002E-2</v>
      </c>
      <c r="E1389" s="353">
        <v>3.465E-2</v>
      </c>
      <c r="F1389" s="354">
        <v>3.5368799999999999E-2</v>
      </c>
    </row>
    <row r="1390" spans="1:6" ht="12" thickBot="1">
      <c r="A1390" s="352">
        <v>39713</v>
      </c>
      <c r="B1390" s="353">
        <v>3.1762499999999999E-2</v>
      </c>
      <c r="C1390" s="353">
        <v>3.175E-2</v>
      </c>
      <c r="D1390" s="353">
        <v>3.1975000000000003E-2</v>
      </c>
      <c r="E1390" s="353">
        <v>3.4287499999999999E-2</v>
      </c>
      <c r="F1390" s="354">
        <v>3.5125000000000003E-2</v>
      </c>
    </row>
    <row r="1391" spans="1:6" ht="12" thickBot="1">
      <c r="A1391" s="352">
        <v>39710</v>
      </c>
      <c r="B1391" s="353">
        <v>3.1899999999999998E-2</v>
      </c>
      <c r="C1391" s="353">
        <v>3.2024999999999998E-2</v>
      </c>
      <c r="D1391" s="353">
        <v>3.2099999999999997E-2</v>
      </c>
      <c r="E1391" s="353">
        <v>3.4575000000000002E-2</v>
      </c>
      <c r="F1391" s="354">
        <v>3.45875E-2</v>
      </c>
    </row>
    <row r="1392" spans="1:6" ht="12" thickBot="1">
      <c r="A1392" s="352">
        <v>39709</v>
      </c>
      <c r="B1392" s="353">
        <v>3.1875000000000001E-2</v>
      </c>
      <c r="C1392" s="353">
        <v>3.1925000000000002E-2</v>
      </c>
      <c r="D1392" s="353">
        <v>3.2037499999999997E-2</v>
      </c>
      <c r="E1392" s="353">
        <v>3.3849999999999998E-2</v>
      </c>
      <c r="F1392" s="354">
        <v>3.3512500000000001E-2</v>
      </c>
    </row>
    <row r="1393" spans="1:6" ht="12" thickBot="1">
      <c r="A1393" s="352">
        <v>39708</v>
      </c>
      <c r="B1393" s="353">
        <v>3.0300000000000001E-2</v>
      </c>
      <c r="C1393" s="353">
        <v>3.0487500000000001E-2</v>
      </c>
      <c r="D1393" s="353">
        <v>3.0624999999999999E-2</v>
      </c>
      <c r="E1393" s="353">
        <v>3.2524999999999998E-2</v>
      </c>
      <c r="F1393" s="354">
        <v>3.2250000000000001E-2</v>
      </c>
    </row>
    <row r="1394" spans="1:6" ht="12" thickBot="1">
      <c r="A1394" s="352">
        <v>39707</v>
      </c>
      <c r="B1394" s="353">
        <v>2.7474999999999999E-2</v>
      </c>
      <c r="C1394" s="353">
        <v>2.80375E-2</v>
      </c>
      <c r="D1394" s="353">
        <v>2.87625E-2</v>
      </c>
      <c r="E1394" s="353">
        <v>3.0162499999999998E-2</v>
      </c>
      <c r="F1394" s="354">
        <v>2.9524999999999999E-2</v>
      </c>
    </row>
    <row r="1395" spans="1:6" ht="12" thickBot="1">
      <c r="A1395" s="352">
        <v>39706</v>
      </c>
      <c r="B1395" s="353">
        <v>2.4968799999999999E-2</v>
      </c>
      <c r="C1395" s="353">
        <v>2.6862500000000001E-2</v>
      </c>
      <c r="D1395" s="353">
        <v>2.81625E-2</v>
      </c>
      <c r="E1395" s="353">
        <v>3.0012500000000001E-2</v>
      </c>
      <c r="F1395" s="354">
        <v>2.9874999999999999E-2</v>
      </c>
    </row>
    <row r="1396" spans="1:6" ht="12" thickBot="1">
      <c r="A1396" s="352">
        <v>39703</v>
      </c>
      <c r="B1396" s="353">
        <v>2.4881299999999999E-2</v>
      </c>
      <c r="C1396" s="353">
        <v>2.68563E-2</v>
      </c>
      <c r="D1396" s="353">
        <v>2.8187500000000001E-2</v>
      </c>
      <c r="E1396" s="353">
        <v>3.0893799999999999E-2</v>
      </c>
      <c r="F1396" s="354">
        <v>3.1274999999999997E-2</v>
      </c>
    </row>
    <row r="1397" spans="1:6" ht="12" thickBot="1">
      <c r="A1397" s="352">
        <v>39702</v>
      </c>
      <c r="B1397" s="353">
        <v>2.4875000000000001E-2</v>
      </c>
      <c r="C1397" s="353">
        <v>2.6868800000000002E-2</v>
      </c>
      <c r="D1397" s="353">
        <v>2.8187500000000001E-2</v>
      </c>
      <c r="E1397" s="353">
        <v>3.0843800000000001E-2</v>
      </c>
      <c r="F1397" s="354">
        <v>3.1306300000000002E-2</v>
      </c>
    </row>
    <row r="1398" spans="1:6" ht="12" thickBot="1">
      <c r="A1398" s="352">
        <v>39701</v>
      </c>
      <c r="B1398" s="353">
        <v>2.48688E-2</v>
      </c>
      <c r="C1398" s="353">
        <v>2.6868800000000002E-2</v>
      </c>
      <c r="D1398" s="353">
        <v>2.8187500000000001E-2</v>
      </c>
      <c r="E1398" s="353">
        <v>3.0875E-2</v>
      </c>
      <c r="F1398" s="354">
        <v>3.14375E-2</v>
      </c>
    </row>
    <row r="1399" spans="1:6" ht="12" thickBot="1">
      <c r="A1399" s="352">
        <v>39700</v>
      </c>
      <c r="B1399" s="353">
        <v>2.48875E-2</v>
      </c>
      <c r="C1399" s="353">
        <v>2.6893799999999999E-2</v>
      </c>
      <c r="D1399" s="353">
        <v>2.8181299999999999E-2</v>
      </c>
      <c r="E1399" s="353">
        <v>3.0968800000000001E-2</v>
      </c>
      <c r="F1399" s="354">
        <v>3.1662500000000003E-2</v>
      </c>
    </row>
    <row r="1400" spans="1:6" ht="12" thickBot="1">
      <c r="A1400" s="352">
        <v>39699</v>
      </c>
      <c r="B1400" s="353">
        <v>2.4881299999999999E-2</v>
      </c>
      <c r="C1400" s="353">
        <v>2.68813E-2</v>
      </c>
      <c r="D1400" s="353">
        <v>2.8168800000000001E-2</v>
      </c>
      <c r="E1400" s="353">
        <v>3.1224999999999999E-2</v>
      </c>
      <c r="F1400" s="354">
        <v>3.23875E-2</v>
      </c>
    </row>
    <row r="1401" spans="1:6" ht="12" thickBot="1">
      <c r="A1401" s="352">
        <v>39696</v>
      </c>
      <c r="B1401" s="353">
        <v>2.48688E-2</v>
      </c>
      <c r="C1401" s="353">
        <v>2.6843800000000001E-2</v>
      </c>
      <c r="D1401" s="353">
        <v>2.81438E-2</v>
      </c>
      <c r="E1401" s="353">
        <v>3.1025E-2</v>
      </c>
      <c r="F1401" s="354">
        <v>3.1293799999999997E-2</v>
      </c>
    </row>
    <row r="1402" spans="1:6" ht="12" thickBot="1">
      <c r="A1402" s="352">
        <v>39695</v>
      </c>
      <c r="B1402" s="353">
        <v>2.48688E-2</v>
      </c>
      <c r="C1402" s="353">
        <v>2.6843800000000001E-2</v>
      </c>
      <c r="D1402" s="353">
        <v>2.8150000000000001E-2</v>
      </c>
      <c r="E1402" s="353">
        <v>3.1131300000000001E-2</v>
      </c>
      <c r="F1402" s="354">
        <v>3.18125E-2</v>
      </c>
    </row>
    <row r="1403" spans="1:6" ht="12" thickBot="1">
      <c r="A1403" s="352">
        <v>39694</v>
      </c>
      <c r="B1403" s="353">
        <v>2.4875000000000001E-2</v>
      </c>
      <c r="C1403" s="353">
        <v>2.6849999999999999E-2</v>
      </c>
      <c r="D1403" s="353">
        <v>2.8137499999999999E-2</v>
      </c>
      <c r="E1403" s="353">
        <v>3.1087500000000001E-2</v>
      </c>
      <c r="F1403" s="354">
        <v>3.1787500000000003E-2</v>
      </c>
    </row>
    <row r="1404" spans="1:6" ht="12" thickBot="1">
      <c r="A1404" s="352">
        <v>39693</v>
      </c>
      <c r="B1404" s="353">
        <v>2.4856300000000001E-2</v>
      </c>
      <c r="C1404" s="353">
        <v>2.6831299999999999E-2</v>
      </c>
      <c r="D1404" s="353">
        <v>2.8131300000000001E-2</v>
      </c>
      <c r="E1404" s="353">
        <v>3.1193800000000001E-2</v>
      </c>
      <c r="F1404" s="354">
        <v>3.21438E-2</v>
      </c>
    </row>
    <row r="1405" spans="1:6" ht="12" thickBot="1">
      <c r="A1405" s="352">
        <v>39692</v>
      </c>
      <c r="B1405" s="353">
        <v>2.4856300000000001E-2</v>
      </c>
      <c r="C1405" s="353">
        <v>2.6806300000000002E-2</v>
      </c>
      <c r="D1405" s="353">
        <v>2.81E-2</v>
      </c>
      <c r="E1405" s="353">
        <v>3.1125E-2</v>
      </c>
      <c r="F1405" s="354">
        <v>3.1949999999999999E-2</v>
      </c>
    </row>
    <row r="1406" spans="1:6" ht="12" thickBot="1">
      <c r="A1406" s="352">
        <v>39689</v>
      </c>
      <c r="B1406" s="353">
        <v>2.4856300000000001E-2</v>
      </c>
      <c r="C1406" s="353">
        <v>2.6806300000000002E-2</v>
      </c>
      <c r="D1406" s="353">
        <v>2.8106300000000001E-2</v>
      </c>
      <c r="E1406" s="353">
        <v>3.1175000000000001E-2</v>
      </c>
      <c r="F1406" s="354">
        <v>3.2068800000000001E-2</v>
      </c>
    </row>
    <row r="1407" spans="1:6" ht="12" thickBot="1">
      <c r="A1407" s="352">
        <v>39688</v>
      </c>
      <c r="B1407" s="353">
        <v>2.4862499999999999E-2</v>
      </c>
      <c r="C1407" s="353">
        <v>2.6806300000000002E-2</v>
      </c>
      <c r="D1407" s="353">
        <v>2.81E-2</v>
      </c>
      <c r="E1407" s="353">
        <v>3.1150000000000001E-2</v>
      </c>
      <c r="F1407" s="354">
        <v>3.2068800000000001E-2</v>
      </c>
    </row>
    <row r="1408" spans="1:6" ht="12" thickBot="1">
      <c r="A1408" s="352">
        <v>39687</v>
      </c>
      <c r="B1408" s="353">
        <v>2.4687500000000001E-2</v>
      </c>
      <c r="C1408" s="353">
        <v>2.6800000000000001E-2</v>
      </c>
      <c r="D1408" s="353">
        <v>2.81E-2</v>
      </c>
      <c r="E1408" s="353">
        <v>3.1175000000000001E-2</v>
      </c>
      <c r="F1408" s="354">
        <v>3.2306300000000003E-2</v>
      </c>
    </row>
    <row r="1409" spans="1:6" ht="12" thickBot="1">
      <c r="A1409" s="352">
        <v>39686</v>
      </c>
      <c r="B1409" s="353">
        <v>2.47E-2</v>
      </c>
      <c r="C1409" s="353">
        <v>2.6800000000000001E-2</v>
      </c>
      <c r="D1409" s="353">
        <v>2.8093799999999999E-2</v>
      </c>
      <c r="E1409" s="353">
        <v>3.1162499999999999E-2</v>
      </c>
      <c r="F1409" s="354">
        <v>3.2199999999999999E-2</v>
      </c>
    </row>
    <row r="1410" spans="1:6" ht="12" thickBot="1">
      <c r="A1410" s="352">
        <v>39685</v>
      </c>
      <c r="B1410" s="353">
        <v>2.4718799999999999E-2</v>
      </c>
      <c r="C1410" s="353">
        <v>2.68188E-2</v>
      </c>
      <c r="D1410" s="353">
        <v>2.81E-2</v>
      </c>
      <c r="E1410" s="353">
        <v>3.1137499999999999E-2</v>
      </c>
      <c r="F1410" s="354">
        <v>3.2125000000000001E-2</v>
      </c>
    </row>
    <row r="1411" spans="1:6" ht="12" thickBot="1">
      <c r="A1411" s="352">
        <v>39682</v>
      </c>
      <c r="B1411" s="353">
        <v>2.4718799999999999E-2</v>
      </c>
      <c r="C1411" s="353">
        <v>2.68188E-2</v>
      </c>
      <c r="D1411" s="353">
        <v>2.81E-2</v>
      </c>
      <c r="E1411" s="353">
        <v>3.1137499999999999E-2</v>
      </c>
      <c r="F1411" s="354">
        <v>3.2125000000000001E-2</v>
      </c>
    </row>
    <row r="1412" spans="1:6" ht="12" thickBot="1">
      <c r="A1412" s="352">
        <v>39681</v>
      </c>
      <c r="B1412" s="353">
        <v>2.4718799999999999E-2</v>
      </c>
      <c r="C1412" s="353">
        <v>2.6825000000000002E-2</v>
      </c>
      <c r="D1412" s="353">
        <v>2.8106300000000001E-2</v>
      </c>
      <c r="E1412" s="353">
        <v>3.1025E-2</v>
      </c>
      <c r="F1412" s="354">
        <v>3.1718799999999998E-2</v>
      </c>
    </row>
    <row r="1413" spans="1:6" ht="12" thickBot="1">
      <c r="A1413" s="352">
        <v>39680</v>
      </c>
      <c r="B1413" s="353">
        <v>2.4718799999999999E-2</v>
      </c>
      <c r="C1413" s="353">
        <v>2.68125E-2</v>
      </c>
      <c r="D1413" s="353">
        <v>2.8118799999999999E-2</v>
      </c>
      <c r="E1413" s="353">
        <v>3.1237500000000001E-2</v>
      </c>
      <c r="F1413" s="354">
        <v>3.2343799999999999E-2</v>
      </c>
    </row>
    <row r="1414" spans="1:6" ht="12" thickBot="1">
      <c r="A1414" s="352">
        <v>39679</v>
      </c>
      <c r="B1414" s="353">
        <v>2.4712499999999998E-2</v>
      </c>
      <c r="C1414" s="353">
        <v>2.6806300000000002E-2</v>
      </c>
      <c r="D1414" s="353">
        <v>2.8112499999999999E-2</v>
      </c>
      <c r="E1414" s="353">
        <v>3.1337499999999997E-2</v>
      </c>
      <c r="F1414" s="354">
        <v>3.2437500000000001E-2</v>
      </c>
    </row>
    <row r="1415" spans="1:6" ht="12" thickBot="1">
      <c r="A1415" s="352">
        <v>39675</v>
      </c>
      <c r="B1415" s="353">
        <v>2.4656299999999999E-2</v>
      </c>
      <c r="C1415" s="353">
        <v>2.6768799999999999E-2</v>
      </c>
      <c r="D1415" s="353">
        <v>2.8087500000000001E-2</v>
      </c>
      <c r="E1415" s="353">
        <v>3.1181299999999999E-2</v>
      </c>
      <c r="F1415" s="354">
        <v>3.2550000000000003E-2</v>
      </c>
    </row>
    <row r="1416" spans="1:6" ht="12" thickBot="1">
      <c r="A1416" s="352">
        <v>39674</v>
      </c>
      <c r="B1416" s="353">
        <v>2.4656299999999999E-2</v>
      </c>
      <c r="C1416" s="353">
        <v>2.67563E-2</v>
      </c>
      <c r="D1416" s="353">
        <v>2.8068800000000001E-2</v>
      </c>
      <c r="E1416" s="353">
        <v>3.1037499999999999E-2</v>
      </c>
      <c r="F1416" s="354">
        <v>3.23313E-2</v>
      </c>
    </row>
    <row r="1417" spans="1:6" ht="12" thickBot="1">
      <c r="A1417" s="352">
        <v>39673</v>
      </c>
      <c r="B1417" s="353">
        <v>2.4668800000000001E-2</v>
      </c>
      <c r="C1417" s="353">
        <v>2.67313E-2</v>
      </c>
      <c r="D1417" s="353">
        <v>2.8043800000000001E-2</v>
      </c>
      <c r="E1417" s="353">
        <v>3.0949999999999998E-2</v>
      </c>
      <c r="F1417" s="354">
        <v>3.2181300000000003E-2</v>
      </c>
    </row>
    <row r="1418" spans="1:6" ht="12" thickBot="1">
      <c r="A1418" s="352">
        <v>39672</v>
      </c>
      <c r="B1418" s="353">
        <v>2.46375E-2</v>
      </c>
      <c r="C1418" s="353">
        <v>2.6737500000000001E-2</v>
      </c>
      <c r="D1418" s="353">
        <v>2.8043800000000001E-2</v>
      </c>
      <c r="E1418" s="353">
        <v>3.1031300000000001E-2</v>
      </c>
      <c r="F1418" s="354">
        <v>3.2706300000000001E-2</v>
      </c>
    </row>
    <row r="1419" spans="1:6" ht="12" thickBot="1">
      <c r="A1419" s="352">
        <v>39671</v>
      </c>
      <c r="B1419" s="353">
        <v>2.46375E-2</v>
      </c>
      <c r="C1419" s="353">
        <v>2.67125E-2</v>
      </c>
      <c r="D1419" s="353">
        <v>2.80375E-2</v>
      </c>
      <c r="E1419" s="353">
        <v>3.09375E-2</v>
      </c>
      <c r="F1419" s="354">
        <v>3.2406299999999999E-2</v>
      </c>
    </row>
    <row r="1420" spans="1:6" ht="12" thickBot="1">
      <c r="A1420" s="352">
        <v>39668</v>
      </c>
      <c r="B1420" s="353">
        <v>2.4606300000000001E-2</v>
      </c>
      <c r="C1420" s="353">
        <v>2.66938E-2</v>
      </c>
      <c r="D1420" s="353">
        <v>2.80375E-2</v>
      </c>
      <c r="E1420" s="353">
        <v>3.0912499999999999E-2</v>
      </c>
      <c r="F1420" s="354">
        <v>3.2306300000000003E-2</v>
      </c>
    </row>
    <row r="1421" spans="1:6" ht="12" thickBot="1">
      <c r="A1421" s="352">
        <v>39666</v>
      </c>
      <c r="B1421" s="353">
        <v>2.46188E-2</v>
      </c>
      <c r="C1421" s="353">
        <v>2.6687499999999999E-2</v>
      </c>
      <c r="D1421" s="353">
        <v>2.8025000000000001E-2</v>
      </c>
      <c r="E1421" s="353">
        <v>3.1012499999999998E-2</v>
      </c>
      <c r="F1421" s="354">
        <v>3.2668799999999998E-2</v>
      </c>
    </row>
    <row r="1422" spans="1:6" ht="12" thickBot="1">
      <c r="A1422" s="352">
        <v>39665</v>
      </c>
      <c r="B1422" s="353">
        <v>2.4625000000000001E-2</v>
      </c>
      <c r="C1422" s="353">
        <v>2.6681300000000002E-2</v>
      </c>
      <c r="D1422" s="353">
        <v>2.80188E-2</v>
      </c>
      <c r="E1422" s="353">
        <v>3.1137499999999999E-2</v>
      </c>
      <c r="F1422" s="354">
        <v>3.2812500000000001E-2</v>
      </c>
    </row>
    <row r="1423" spans="1:6" ht="12" thickBot="1">
      <c r="A1423" s="352">
        <v>39664</v>
      </c>
      <c r="B1423" s="353">
        <v>2.4612499999999999E-2</v>
      </c>
      <c r="C1423" s="353">
        <v>2.6643799999999999E-2</v>
      </c>
      <c r="D1423" s="353">
        <v>2.7981300000000001E-2</v>
      </c>
      <c r="E1423" s="353">
        <v>3.0906300000000001E-2</v>
      </c>
      <c r="F1423" s="354">
        <v>3.2418799999999998E-2</v>
      </c>
    </row>
    <row r="1424" spans="1:6" ht="12" thickBot="1">
      <c r="A1424" s="352">
        <v>39661</v>
      </c>
      <c r="B1424" s="353">
        <v>2.46E-2</v>
      </c>
      <c r="C1424" s="353">
        <v>2.6618800000000001E-2</v>
      </c>
      <c r="D1424" s="353">
        <v>2.7943800000000001E-2</v>
      </c>
      <c r="E1424" s="353">
        <v>3.075E-2</v>
      </c>
      <c r="F1424" s="354">
        <v>3.2224999999999997E-2</v>
      </c>
    </row>
    <row r="1425" spans="1:6" ht="12" thickBot="1">
      <c r="A1425" s="352">
        <v>39660</v>
      </c>
      <c r="B1425" s="353">
        <v>2.4612499999999999E-2</v>
      </c>
      <c r="C1425" s="353">
        <v>2.6624999999999999E-2</v>
      </c>
      <c r="D1425" s="353">
        <v>2.79125E-2</v>
      </c>
      <c r="E1425" s="353">
        <v>3.08375E-2</v>
      </c>
      <c r="F1425" s="354">
        <v>3.2524999999999998E-2</v>
      </c>
    </row>
    <row r="1426" spans="1:6" ht="12" thickBot="1">
      <c r="A1426" s="352">
        <v>39659</v>
      </c>
      <c r="B1426" s="353">
        <v>2.46375E-2</v>
      </c>
      <c r="C1426" s="353">
        <v>2.66763E-2</v>
      </c>
      <c r="D1426" s="353">
        <v>2.8006300000000001E-2</v>
      </c>
      <c r="E1426" s="353">
        <v>3.125E-2</v>
      </c>
      <c r="F1426" s="354">
        <v>3.2875000000000001E-2</v>
      </c>
    </row>
    <row r="1427" spans="1:6" ht="12" thickBot="1">
      <c r="A1427" s="352">
        <v>39658</v>
      </c>
      <c r="B1427" s="353">
        <v>2.4631299999999998E-2</v>
      </c>
      <c r="C1427" s="353">
        <v>2.6656300000000001E-2</v>
      </c>
      <c r="D1427" s="353">
        <v>2.7987499999999998E-2</v>
      </c>
      <c r="E1427" s="353">
        <v>3.1162499999999999E-2</v>
      </c>
      <c r="F1427" s="354">
        <v>3.2806299999999997E-2</v>
      </c>
    </row>
    <row r="1428" spans="1:6" ht="12" thickBot="1">
      <c r="A1428" s="352">
        <v>39657</v>
      </c>
      <c r="B1428" s="353">
        <v>2.4625000000000001E-2</v>
      </c>
      <c r="C1428" s="353">
        <v>2.6637500000000001E-2</v>
      </c>
      <c r="D1428" s="353">
        <v>2.7962500000000001E-2</v>
      </c>
      <c r="E1428" s="353">
        <v>3.1350000000000003E-2</v>
      </c>
      <c r="F1428" s="354">
        <v>3.31375E-2</v>
      </c>
    </row>
    <row r="1429" spans="1:6" ht="12" thickBot="1">
      <c r="A1429" s="352">
        <v>39654</v>
      </c>
      <c r="B1429" s="353">
        <v>2.4575E-2</v>
      </c>
      <c r="C1429" s="353">
        <v>2.6618800000000001E-2</v>
      </c>
      <c r="D1429" s="353">
        <v>2.7931299999999999E-2</v>
      </c>
      <c r="E1429" s="353">
        <v>3.1118799999999999E-2</v>
      </c>
      <c r="F1429" s="354">
        <v>3.2718799999999999E-2</v>
      </c>
    </row>
    <row r="1430" spans="1:6" ht="12" thickBot="1">
      <c r="A1430" s="352">
        <v>39653</v>
      </c>
      <c r="B1430" s="353">
        <v>2.46E-2</v>
      </c>
      <c r="C1430" s="353">
        <v>2.6668799999999999E-2</v>
      </c>
      <c r="D1430" s="353">
        <v>2.7949999999999999E-2</v>
      </c>
      <c r="E1430" s="353">
        <v>3.1568800000000001E-2</v>
      </c>
      <c r="F1430" s="354">
        <v>3.3806299999999997E-2</v>
      </c>
    </row>
    <row r="1431" spans="1:6" ht="12" thickBot="1">
      <c r="A1431" s="352">
        <v>39652</v>
      </c>
      <c r="B1431" s="353">
        <v>2.4612499999999999E-2</v>
      </c>
      <c r="C1431" s="353">
        <v>2.66938E-2</v>
      </c>
      <c r="D1431" s="353">
        <v>2.8000000000000001E-2</v>
      </c>
      <c r="E1431" s="353">
        <v>3.1712499999999998E-2</v>
      </c>
      <c r="F1431" s="354">
        <v>3.4125000000000003E-2</v>
      </c>
    </row>
    <row r="1432" spans="1:6" ht="12" thickBot="1">
      <c r="A1432" s="352">
        <v>39651</v>
      </c>
      <c r="B1432" s="353">
        <v>2.46188E-2</v>
      </c>
      <c r="C1432" s="353">
        <v>2.6668799999999999E-2</v>
      </c>
      <c r="D1432" s="353">
        <v>2.7962500000000001E-2</v>
      </c>
      <c r="E1432" s="353">
        <v>3.1393799999999999E-2</v>
      </c>
      <c r="F1432" s="354">
        <v>3.3381300000000003E-2</v>
      </c>
    </row>
    <row r="1433" spans="1:6" ht="12" thickBot="1">
      <c r="A1433" s="352">
        <v>39650</v>
      </c>
      <c r="B1433" s="353">
        <v>2.4606300000000001E-2</v>
      </c>
      <c r="C1433" s="353">
        <v>2.6681300000000002E-2</v>
      </c>
      <c r="D1433" s="353">
        <v>2.7993799999999999E-2</v>
      </c>
      <c r="E1433" s="353">
        <v>3.1481299999999997E-2</v>
      </c>
      <c r="F1433" s="354">
        <v>3.3562500000000002E-2</v>
      </c>
    </row>
    <row r="1434" spans="1:6" ht="12" thickBot="1">
      <c r="A1434" s="352">
        <v>39647</v>
      </c>
      <c r="B1434" s="353">
        <v>2.4593799999999999E-2</v>
      </c>
      <c r="C1434" s="353">
        <v>2.6612500000000001E-2</v>
      </c>
      <c r="D1434" s="353">
        <v>2.7906299999999998E-2</v>
      </c>
      <c r="E1434" s="353">
        <v>3.1E-2</v>
      </c>
      <c r="F1434" s="354">
        <v>3.2568800000000002E-2</v>
      </c>
    </row>
    <row r="1435" spans="1:6" ht="12" thickBot="1">
      <c r="A1435" s="352">
        <v>39646</v>
      </c>
      <c r="B1435" s="353">
        <v>2.45813E-2</v>
      </c>
      <c r="C1435" s="353">
        <v>2.6612500000000001E-2</v>
      </c>
      <c r="D1435" s="353">
        <v>2.7862499999999998E-2</v>
      </c>
      <c r="E1435" s="353">
        <v>3.0843800000000001E-2</v>
      </c>
      <c r="F1435" s="354">
        <v>3.2118800000000003E-2</v>
      </c>
    </row>
    <row r="1436" spans="1:6" ht="12" thickBot="1">
      <c r="A1436" s="352">
        <v>39645</v>
      </c>
      <c r="B1436" s="353">
        <v>2.4562500000000001E-2</v>
      </c>
      <c r="C1436" s="353">
        <v>2.6606299999999999E-2</v>
      </c>
      <c r="D1436" s="353">
        <v>2.785E-2</v>
      </c>
      <c r="E1436" s="353">
        <v>3.07125E-2</v>
      </c>
      <c r="F1436" s="354">
        <v>3.1506300000000001E-2</v>
      </c>
    </row>
    <row r="1437" spans="1:6" ht="12" thickBot="1">
      <c r="A1437" s="352">
        <v>39644</v>
      </c>
      <c r="B1437" s="353">
        <v>2.45813E-2</v>
      </c>
      <c r="C1437" s="353">
        <v>2.6624999999999999E-2</v>
      </c>
      <c r="D1437" s="353">
        <v>2.78938E-2</v>
      </c>
      <c r="E1437" s="353">
        <v>3.0925000000000001E-2</v>
      </c>
      <c r="F1437" s="354">
        <v>3.1993800000000003E-2</v>
      </c>
    </row>
    <row r="1438" spans="1:6" ht="12" thickBot="1">
      <c r="A1438" s="352">
        <v>39643</v>
      </c>
      <c r="B1438" s="353">
        <v>2.46E-2</v>
      </c>
      <c r="C1438" s="353">
        <v>2.6606299999999999E-2</v>
      </c>
      <c r="D1438" s="353">
        <v>2.7906299999999998E-2</v>
      </c>
      <c r="E1438" s="353">
        <v>3.1224999999999999E-2</v>
      </c>
      <c r="F1438" s="354">
        <v>3.2750000000000001E-2</v>
      </c>
    </row>
    <row r="1439" spans="1:6" ht="12" thickBot="1">
      <c r="A1439" s="352">
        <v>39640</v>
      </c>
      <c r="B1439" s="353">
        <v>2.4575E-2</v>
      </c>
      <c r="C1439" s="353">
        <v>2.6606299999999999E-2</v>
      </c>
      <c r="D1439" s="353">
        <v>2.7906299999999998E-2</v>
      </c>
      <c r="E1439" s="353">
        <v>3.1212500000000001E-2</v>
      </c>
      <c r="F1439" s="354">
        <v>3.2562500000000001E-2</v>
      </c>
    </row>
    <row r="1440" spans="1:6" ht="12" thickBot="1">
      <c r="A1440" s="352">
        <v>39639</v>
      </c>
      <c r="B1440" s="353">
        <v>2.4562500000000001E-2</v>
      </c>
      <c r="C1440" s="353">
        <v>2.6599999999999999E-2</v>
      </c>
      <c r="D1440" s="353">
        <v>2.7881300000000001E-2</v>
      </c>
      <c r="E1440" s="353">
        <v>3.09375E-2</v>
      </c>
      <c r="F1440" s="354">
        <v>3.2050000000000002E-2</v>
      </c>
    </row>
    <row r="1441" spans="1:6" ht="12" thickBot="1">
      <c r="A1441" s="352">
        <v>39638</v>
      </c>
      <c r="B1441" s="353">
        <v>2.4587500000000002E-2</v>
      </c>
      <c r="C1441" s="353">
        <v>2.6612500000000001E-2</v>
      </c>
      <c r="D1441" s="353">
        <v>2.7918800000000001E-2</v>
      </c>
      <c r="E1441" s="353">
        <v>3.1131300000000001E-2</v>
      </c>
      <c r="F1441" s="354">
        <v>3.2487500000000002E-2</v>
      </c>
    </row>
    <row r="1442" spans="1:6" ht="12" thickBot="1">
      <c r="A1442" s="352">
        <v>39637</v>
      </c>
      <c r="B1442" s="353">
        <v>2.4587500000000002E-2</v>
      </c>
      <c r="C1442" s="353">
        <v>2.6612500000000001E-2</v>
      </c>
      <c r="D1442" s="353">
        <v>2.7900000000000001E-2</v>
      </c>
      <c r="E1442" s="353">
        <v>3.0974999999999999E-2</v>
      </c>
      <c r="F1442" s="354">
        <v>3.2224999999999997E-2</v>
      </c>
    </row>
    <row r="1443" spans="1:6" ht="12" thickBot="1">
      <c r="A1443" s="352">
        <v>39636</v>
      </c>
      <c r="B1443" s="353">
        <v>2.4612499999999999E-2</v>
      </c>
      <c r="C1443" s="353">
        <v>2.6606299999999999E-2</v>
      </c>
      <c r="D1443" s="353">
        <v>2.79125E-2</v>
      </c>
      <c r="E1443" s="353">
        <v>3.1156300000000001E-2</v>
      </c>
      <c r="F1443" s="354">
        <v>3.295E-2</v>
      </c>
    </row>
    <row r="1444" spans="1:6" ht="12" thickBot="1">
      <c r="A1444" s="352">
        <v>39633</v>
      </c>
      <c r="B1444" s="353">
        <v>2.4612499999999999E-2</v>
      </c>
      <c r="C1444" s="353">
        <v>2.6599999999999999E-2</v>
      </c>
      <c r="D1444" s="353">
        <v>2.78938E-2</v>
      </c>
      <c r="E1444" s="353">
        <v>3.1131300000000001E-2</v>
      </c>
      <c r="F1444" s="354">
        <v>3.2937500000000001E-2</v>
      </c>
    </row>
    <row r="1445" spans="1:6" ht="12" thickBot="1">
      <c r="A1445" s="352">
        <v>39632</v>
      </c>
      <c r="B1445" s="353">
        <v>2.46E-2</v>
      </c>
      <c r="C1445" s="353">
        <v>2.6599999999999999E-2</v>
      </c>
      <c r="D1445" s="353">
        <v>2.79125E-2</v>
      </c>
      <c r="E1445" s="353">
        <v>3.1300000000000001E-2</v>
      </c>
      <c r="F1445" s="354">
        <v>3.3250000000000002E-2</v>
      </c>
    </row>
    <row r="1446" spans="1:6" ht="12" thickBot="1">
      <c r="A1446" s="352">
        <v>39631</v>
      </c>
      <c r="B1446" s="353">
        <v>2.4625000000000001E-2</v>
      </c>
      <c r="C1446" s="353">
        <v>2.65875E-2</v>
      </c>
      <c r="D1446" s="353">
        <v>2.79125E-2</v>
      </c>
      <c r="E1446" s="353">
        <v>3.1337499999999997E-2</v>
      </c>
      <c r="F1446" s="354">
        <v>3.3450000000000001E-2</v>
      </c>
    </row>
    <row r="1447" spans="1:6" ht="12" thickBot="1">
      <c r="A1447" s="352">
        <v>39630</v>
      </c>
      <c r="B1447" s="353">
        <v>2.4612499999999999E-2</v>
      </c>
      <c r="C1447" s="353">
        <v>2.6543799999999999E-2</v>
      </c>
      <c r="D1447" s="353">
        <v>2.7875E-2</v>
      </c>
      <c r="E1447" s="353">
        <v>3.1224999999999999E-2</v>
      </c>
      <c r="F1447" s="354">
        <v>3.3237500000000003E-2</v>
      </c>
    </row>
    <row r="1448" spans="1:6" ht="12" thickBot="1">
      <c r="A1448" s="352">
        <v>39626</v>
      </c>
      <c r="B1448" s="353">
        <v>2.47063E-2</v>
      </c>
      <c r="C1448" s="353">
        <v>2.6624999999999999E-2</v>
      </c>
      <c r="D1448" s="353">
        <v>2.79125E-2</v>
      </c>
      <c r="E1448" s="353">
        <v>3.1537500000000003E-2</v>
      </c>
      <c r="F1448" s="354">
        <v>3.3793799999999999E-2</v>
      </c>
    </row>
    <row r="1449" spans="1:6" ht="12" thickBot="1">
      <c r="A1449" s="352">
        <v>39625</v>
      </c>
      <c r="B1449" s="353">
        <v>2.4825E-2</v>
      </c>
      <c r="C1449" s="353">
        <v>2.6681300000000002E-2</v>
      </c>
      <c r="D1449" s="353">
        <v>2.8006300000000001E-2</v>
      </c>
      <c r="E1449" s="353">
        <v>3.1337499999999997E-2</v>
      </c>
      <c r="F1449" s="354">
        <v>3.4412499999999999E-2</v>
      </c>
    </row>
    <row r="1450" spans="1:6" ht="12" thickBot="1">
      <c r="A1450" s="352">
        <v>39624</v>
      </c>
      <c r="B1450" s="353">
        <v>2.4825E-2</v>
      </c>
      <c r="C1450" s="353">
        <v>2.6737500000000001E-2</v>
      </c>
      <c r="D1450" s="353">
        <v>2.80813E-2</v>
      </c>
      <c r="E1450" s="353">
        <v>3.1712499999999998E-2</v>
      </c>
      <c r="F1450" s="354">
        <v>3.5075000000000002E-2</v>
      </c>
    </row>
    <row r="1451" spans="1:6" ht="12" thickBot="1">
      <c r="A1451" s="352">
        <v>39623</v>
      </c>
      <c r="B1451" s="353">
        <v>2.4818799999999999E-2</v>
      </c>
      <c r="C1451" s="353">
        <v>2.6762500000000002E-2</v>
      </c>
      <c r="D1451" s="353">
        <v>2.8093799999999999E-2</v>
      </c>
      <c r="E1451" s="353">
        <v>3.1856299999999997E-2</v>
      </c>
      <c r="F1451" s="354">
        <v>3.5562499999999997E-2</v>
      </c>
    </row>
    <row r="1452" spans="1:6" ht="12" thickBot="1">
      <c r="A1452" s="352">
        <v>39622</v>
      </c>
      <c r="B1452" s="353">
        <v>2.4825E-2</v>
      </c>
      <c r="C1452" s="353">
        <v>2.67313E-2</v>
      </c>
      <c r="D1452" s="353">
        <v>2.8043800000000001E-2</v>
      </c>
      <c r="E1452" s="353">
        <v>3.1800000000000002E-2</v>
      </c>
      <c r="F1452" s="354">
        <v>3.53563E-2</v>
      </c>
    </row>
    <row r="1453" spans="1:6" ht="12" thickBot="1">
      <c r="A1453" s="352">
        <v>39619</v>
      </c>
      <c r="B1453" s="353">
        <v>2.4812500000000001E-2</v>
      </c>
      <c r="C1453" s="353">
        <v>2.6718800000000001E-2</v>
      </c>
      <c r="D1453" s="353">
        <v>2.80188E-2</v>
      </c>
      <c r="E1453" s="353">
        <v>3.1800000000000002E-2</v>
      </c>
      <c r="F1453" s="354">
        <v>3.5450000000000002E-2</v>
      </c>
    </row>
    <row r="1454" spans="1:6" ht="12" thickBot="1">
      <c r="A1454" s="352">
        <v>39618</v>
      </c>
      <c r="B1454" s="353">
        <v>2.4812500000000001E-2</v>
      </c>
      <c r="C1454" s="353">
        <v>2.67125E-2</v>
      </c>
      <c r="D1454" s="353">
        <v>2.8012499999999999E-2</v>
      </c>
      <c r="E1454" s="353">
        <v>3.1818800000000001E-2</v>
      </c>
      <c r="F1454" s="354">
        <v>3.5512500000000002E-2</v>
      </c>
    </row>
    <row r="1455" spans="1:6" ht="12" thickBot="1">
      <c r="A1455" s="352">
        <v>39617</v>
      </c>
      <c r="B1455" s="353">
        <v>2.4818799999999999E-2</v>
      </c>
      <c r="C1455" s="353">
        <v>2.67125E-2</v>
      </c>
      <c r="D1455" s="353">
        <v>2.8025000000000001E-2</v>
      </c>
      <c r="E1455" s="353">
        <v>3.1937500000000001E-2</v>
      </c>
      <c r="F1455" s="354">
        <v>3.5775000000000001E-2</v>
      </c>
    </row>
    <row r="1456" spans="1:6" ht="12" thickBot="1">
      <c r="A1456" s="352">
        <v>39616</v>
      </c>
      <c r="B1456" s="353">
        <v>2.4825E-2</v>
      </c>
      <c r="C1456" s="353">
        <v>2.6749999999999999E-2</v>
      </c>
      <c r="D1456" s="353">
        <v>2.8087500000000001E-2</v>
      </c>
      <c r="E1456" s="353">
        <v>3.2149999999999998E-2</v>
      </c>
      <c r="F1456" s="354">
        <v>3.5937499999999997E-2</v>
      </c>
    </row>
    <row r="1457" spans="1:6" ht="12" thickBot="1">
      <c r="A1457" s="352">
        <v>39615</v>
      </c>
      <c r="B1457" s="353">
        <v>2.4812500000000001E-2</v>
      </c>
      <c r="C1457" s="353">
        <v>2.6762500000000002E-2</v>
      </c>
      <c r="D1457" s="353">
        <v>2.8125000000000001E-2</v>
      </c>
      <c r="E1457" s="353">
        <v>3.2406299999999999E-2</v>
      </c>
      <c r="F1457" s="354">
        <v>3.6637500000000003E-2</v>
      </c>
    </row>
    <row r="1458" spans="1:6" ht="12" thickBot="1">
      <c r="A1458" s="352">
        <v>39612</v>
      </c>
      <c r="B1458" s="353">
        <v>2.4818799999999999E-2</v>
      </c>
      <c r="C1458" s="353">
        <v>2.67563E-2</v>
      </c>
      <c r="D1458" s="353">
        <v>2.8137499999999999E-2</v>
      </c>
      <c r="E1458" s="353">
        <v>3.2550000000000003E-2</v>
      </c>
      <c r="F1458" s="354">
        <v>3.6812499999999998E-2</v>
      </c>
    </row>
    <row r="1459" spans="1:6" ht="12" thickBot="1">
      <c r="A1459" s="352">
        <v>39611</v>
      </c>
      <c r="B1459" s="353">
        <v>2.4712499999999998E-2</v>
      </c>
      <c r="C1459" s="353">
        <v>2.6518799999999999E-2</v>
      </c>
      <c r="D1459" s="353">
        <v>2.7762499999999999E-2</v>
      </c>
      <c r="E1459" s="353">
        <v>3.1331299999999999E-2</v>
      </c>
      <c r="F1459" s="354">
        <v>3.5031300000000001E-2</v>
      </c>
    </row>
    <row r="1460" spans="1:6" ht="12" thickBot="1">
      <c r="A1460" s="352">
        <v>39610</v>
      </c>
      <c r="B1460" s="353">
        <v>2.4768800000000001E-2</v>
      </c>
      <c r="C1460" s="353">
        <v>2.6550000000000001E-2</v>
      </c>
      <c r="D1460" s="353">
        <v>2.7881300000000001E-2</v>
      </c>
      <c r="E1460" s="353">
        <v>3.1537500000000003E-2</v>
      </c>
      <c r="F1460" s="354">
        <v>3.5200000000000002E-2</v>
      </c>
    </row>
    <row r="1461" spans="1:6" ht="12" thickBot="1">
      <c r="A1461" s="352">
        <v>39609</v>
      </c>
      <c r="B1461" s="353">
        <v>2.4750000000000001E-2</v>
      </c>
      <c r="C1461" s="353">
        <v>2.6543799999999999E-2</v>
      </c>
      <c r="D1461" s="353">
        <v>2.7862499999999998E-2</v>
      </c>
      <c r="E1461" s="353">
        <v>3.1699999999999999E-2</v>
      </c>
      <c r="F1461" s="354">
        <v>3.54188E-2</v>
      </c>
    </row>
    <row r="1462" spans="1:6" ht="12" thickBot="1">
      <c r="A1462" s="352">
        <v>39608</v>
      </c>
      <c r="B1462" s="353">
        <v>2.4481300000000001E-2</v>
      </c>
      <c r="C1462" s="353">
        <v>2.57375E-2</v>
      </c>
      <c r="D1462" s="353">
        <v>2.6912499999999999E-2</v>
      </c>
      <c r="E1462" s="353">
        <v>2.9575000000000001E-2</v>
      </c>
      <c r="F1462" s="354">
        <v>3.1875000000000001E-2</v>
      </c>
    </row>
    <row r="1463" spans="1:6" ht="12" thickBot="1">
      <c r="A1463" s="352">
        <v>39605</v>
      </c>
      <c r="B1463" s="353">
        <v>2.44938E-2</v>
      </c>
      <c r="C1463" s="353">
        <v>2.5793799999999999E-2</v>
      </c>
      <c r="D1463" s="353">
        <v>2.6956299999999999E-2</v>
      </c>
      <c r="E1463" s="353">
        <v>2.9693799999999999E-2</v>
      </c>
      <c r="F1463" s="354">
        <v>3.2106299999999997E-2</v>
      </c>
    </row>
    <row r="1464" spans="1:6" ht="12" thickBot="1">
      <c r="A1464" s="352">
        <v>39604</v>
      </c>
      <c r="B1464" s="353">
        <v>2.4481300000000001E-2</v>
      </c>
      <c r="C1464" s="353">
        <v>2.5712499999999999E-2</v>
      </c>
      <c r="D1464" s="353">
        <v>2.6768799999999999E-2</v>
      </c>
      <c r="E1464" s="353">
        <v>2.9187500000000002E-2</v>
      </c>
      <c r="F1464" s="354">
        <v>3.1300000000000001E-2</v>
      </c>
    </row>
    <row r="1465" spans="1:6" ht="12" thickBot="1">
      <c r="A1465" s="352">
        <v>39603</v>
      </c>
      <c r="B1465" s="353">
        <v>2.4500000000000001E-2</v>
      </c>
      <c r="C1465" s="353">
        <v>2.5693799999999999E-2</v>
      </c>
      <c r="D1465" s="353">
        <v>2.6718800000000001E-2</v>
      </c>
      <c r="E1465" s="353">
        <v>2.8912500000000001E-2</v>
      </c>
      <c r="F1465" s="354">
        <v>3.0974999999999999E-2</v>
      </c>
    </row>
    <row r="1466" spans="1:6" ht="12" thickBot="1">
      <c r="A1466" s="352">
        <v>39602</v>
      </c>
      <c r="B1466" s="353">
        <v>2.45125E-2</v>
      </c>
      <c r="C1466" s="353">
        <v>2.5700000000000001E-2</v>
      </c>
      <c r="D1466" s="353">
        <v>2.67313E-2</v>
      </c>
      <c r="E1466" s="353">
        <v>2.8837499999999999E-2</v>
      </c>
      <c r="F1466" s="354">
        <v>3.09625E-2</v>
      </c>
    </row>
    <row r="1467" spans="1:6" ht="12" thickBot="1">
      <c r="A1467" s="352">
        <v>39598</v>
      </c>
      <c r="B1467" s="353">
        <v>2.4575E-2</v>
      </c>
      <c r="C1467" s="353">
        <v>2.5787500000000001E-2</v>
      </c>
      <c r="D1467" s="353">
        <v>2.6806300000000002E-2</v>
      </c>
      <c r="E1467" s="353">
        <v>2.9106300000000002E-2</v>
      </c>
      <c r="F1467" s="354">
        <v>3.1637499999999999E-2</v>
      </c>
    </row>
    <row r="1468" spans="1:6" ht="12" thickBot="1">
      <c r="A1468" s="352">
        <v>39597</v>
      </c>
      <c r="B1468" s="353">
        <v>2.4593799999999999E-2</v>
      </c>
      <c r="C1468" s="353">
        <v>2.5768800000000001E-2</v>
      </c>
      <c r="D1468" s="353">
        <v>2.68188E-2</v>
      </c>
      <c r="E1468" s="353">
        <v>2.9274999999999999E-2</v>
      </c>
      <c r="F1468" s="354">
        <v>3.2050000000000002E-2</v>
      </c>
    </row>
    <row r="1469" spans="1:6" ht="12" thickBot="1">
      <c r="A1469" s="352">
        <v>39596</v>
      </c>
      <c r="B1469" s="353">
        <v>2.38125E-2</v>
      </c>
      <c r="C1469" s="353">
        <v>2.5399999999999999E-2</v>
      </c>
      <c r="D1469" s="353">
        <v>2.6493800000000001E-2</v>
      </c>
      <c r="E1469" s="353">
        <v>2.8587499999999998E-2</v>
      </c>
      <c r="F1469" s="354">
        <v>3.0862500000000001E-2</v>
      </c>
    </row>
    <row r="1470" spans="1:6" ht="12" thickBot="1">
      <c r="A1470" s="352">
        <v>39595</v>
      </c>
      <c r="B1470" s="353">
        <v>2.37875E-2</v>
      </c>
      <c r="C1470" s="353">
        <v>2.53688E-2</v>
      </c>
      <c r="D1470" s="353">
        <v>2.64438E-2</v>
      </c>
      <c r="E1470" s="353">
        <v>2.84938E-2</v>
      </c>
      <c r="F1470" s="354">
        <v>3.0675000000000001E-2</v>
      </c>
    </row>
    <row r="1471" spans="1:6" ht="12" thickBot="1">
      <c r="A1471" s="352">
        <v>39591</v>
      </c>
      <c r="B1471" s="353">
        <v>2.3824999999999999E-2</v>
      </c>
      <c r="C1471" s="353">
        <v>2.5399999999999999E-2</v>
      </c>
      <c r="D1471" s="353">
        <v>2.6456299999999999E-2</v>
      </c>
      <c r="E1471" s="353">
        <v>2.8487499999999999E-2</v>
      </c>
      <c r="F1471" s="354">
        <v>3.06688E-2</v>
      </c>
    </row>
    <row r="1472" spans="1:6" ht="12" thickBot="1">
      <c r="A1472" s="352">
        <v>39590</v>
      </c>
      <c r="B1472" s="353">
        <v>2.3924999999999998E-2</v>
      </c>
      <c r="C1472" s="353">
        <v>2.5381299999999999E-2</v>
      </c>
      <c r="D1472" s="353">
        <v>2.63813E-2</v>
      </c>
      <c r="E1472" s="353">
        <v>2.8087500000000001E-2</v>
      </c>
      <c r="F1472" s="354">
        <v>2.9975000000000002E-2</v>
      </c>
    </row>
    <row r="1473" spans="1:6" ht="12" thickBot="1">
      <c r="A1473" s="352">
        <v>39589</v>
      </c>
      <c r="B1473" s="353">
        <v>2.4043800000000001E-2</v>
      </c>
      <c r="C1473" s="353">
        <v>2.54313E-2</v>
      </c>
      <c r="D1473" s="353">
        <v>2.63813E-2</v>
      </c>
      <c r="E1473" s="353">
        <v>2.7837500000000001E-2</v>
      </c>
      <c r="F1473" s="354">
        <v>2.9512500000000001E-2</v>
      </c>
    </row>
    <row r="1474" spans="1:6" ht="12" thickBot="1">
      <c r="A1474" s="352">
        <v>39588</v>
      </c>
      <c r="B1474" s="353">
        <v>2.4299999999999999E-2</v>
      </c>
      <c r="C1474" s="353">
        <v>2.5687499999999999E-2</v>
      </c>
      <c r="D1474" s="353">
        <v>2.6575000000000001E-2</v>
      </c>
      <c r="E1474" s="353">
        <v>2.8006300000000001E-2</v>
      </c>
      <c r="F1474" s="354">
        <v>2.9762500000000001E-2</v>
      </c>
    </row>
    <row r="1475" spans="1:6" ht="12" thickBot="1">
      <c r="A1475" s="352">
        <v>39587</v>
      </c>
      <c r="B1475" s="353">
        <v>2.45125E-2</v>
      </c>
      <c r="C1475" s="353">
        <v>2.5887500000000001E-2</v>
      </c>
      <c r="D1475" s="353">
        <v>2.6775E-2</v>
      </c>
      <c r="E1475" s="353">
        <v>2.845E-2</v>
      </c>
      <c r="F1475" s="354">
        <v>3.0262500000000001E-2</v>
      </c>
    </row>
    <row r="1476" spans="1:6" ht="12" thickBot="1">
      <c r="A1476" s="352">
        <v>39584</v>
      </c>
      <c r="B1476" s="353">
        <v>2.4787500000000001E-2</v>
      </c>
      <c r="C1476" s="353">
        <v>2.6081300000000002E-2</v>
      </c>
      <c r="D1476" s="353">
        <v>2.6950000000000002E-2</v>
      </c>
      <c r="E1476" s="353">
        <v>2.8862499999999999E-2</v>
      </c>
      <c r="F1476" s="354">
        <v>3.08125E-2</v>
      </c>
    </row>
    <row r="1477" spans="1:6" ht="12" thickBot="1">
      <c r="A1477" s="352">
        <v>39583</v>
      </c>
      <c r="B1477" s="353">
        <v>2.4975000000000001E-2</v>
      </c>
      <c r="C1477" s="353">
        <v>2.63E-2</v>
      </c>
      <c r="D1477" s="353">
        <v>2.71875E-2</v>
      </c>
      <c r="E1477" s="353">
        <v>2.9412500000000001E-2</v>
      </c>
      <c r="F1477" s="354">
        <v>3.1762499999999999E-2</v>
      </c>
    </row>
    <row r="1478" spans="1:6" ht="12" thickBot="1">
      <c r="A1478" s="352">
        <v>39582</v>
      </c>
      <c r="B1478" s="353">
        <v>2.5049999999999999E-2</v>
      </c>
      <c r="C1478" s="353">
        <v>2.6343800000000001E-2</v>
      </c>
      <c r="D1478" s="353">
        <v>2.7199999999999998E-2</v>
      </c>
      <c r="E1478" s="353">
        <v>2.93875E-2</v>
      </c>
      <c r="F1478" s="354">
        <v>3.1681300000000003E-2</v>
      </c>
    </row>
    <row r="1479" spans="1:6" ht="12" thickBot="1">
      <c r="A1479" s="352">
        <v>39581</v>
      </c>
      <c r="B1479" s="353">
        <v>2.5143800000000001E-2</v>
      </c>
      <c r="C1479" s="353">
        <v>2.6200000000000001E-2</v>
      </c>
      <c r="D1479" s="353">
        <v>2.67563E-2</v>
      </c>
      <c r="E1479" s="353">
        <v>2.8275000000000002E-2</v>
      </c>
      <c r="F1479" s="354">
        <v>2.9624999999999999E-2</v>
      </c>
    </row>
    <row r="1480" spans="1:6" ht="12" thickBot="1">
      <c r="A1480" s="352">
        <v>39580</v>
      </c>
      <c r="B1480" s="353">
        <v>2.5293800000000002E-2</v>
      </c>
      <c r="C1480" s="353">
        <v>2.62563E-2</v>
      </c>
      <c r="D1480" s="353">
        <v>2.6781300000000001E-2</v>
      </c>
      <c r="E1480" s="353">
        <v>2.8043800000000001E-2</v>
      </c>
      <c r="F1480" s="354">
        <v>2.92188E-2</v>
      </c>
    </row>
    <row r="1481" spans="1:6" ht="12" thickBot="1">
      <c r="A1481" s="352">
        <v>39577</v>
      </c>
      <c r="B1481" s="353">
        <v>2.5499999999999998E-2</v>
      </c>
      <c r="C1481" s="353">
        <v>2.6356299999999999E-2</v>
      </c>
      <c r="D1481" s="353">
        <v>2.6849999999999999E-2</v>
      </c>
      <c r="E1481" s="353">
        <v>2.7799999999999998E-2</v>
      </c>
      <c r="F1481" s="354">
        <v>2.8725000000000001E-2</v>
      </c>
    </row>
    <row r="1482" spans="1:6" ht="12" thickBot="1">
      <c r="A1482" s="352">
        <v>39576</v>
      </c>
      <c r="B1482" s="353">
        <v>2.5899999999999999E-2</v>
      </c>
      <c r="C1482" s="353">
        <v>2.6643799999999999E-2</v>
      </c>
      <c r="D1482" s="353">
        <v>2.7156300000000001E-2</v>
      </c>
      <c r="E1482" s="353">
        <v>2.8199999999999999E-2</v>
      </c>
      <c r="F1482" s="354">
        <v>2.9437499999999998E-2</v>
      </c>
    </row>
    <row r="1483" spans="1:6" ht="12" thickBot="1">
      <c r="A1483" s="352">
        <v>39575</v>
      </c>
      <c r="B1483" s="353">
        <v>2.62125E-2</v>
      </c>
      <c r="C1483" s="353">
        <v>2.69E-2</v>
      </c>
      <c r="D1483" s="353">
        <v>2.7343800000000001E-2</v>
      </c>
      <c r="E1483" s="353">
        <v>2.8487499999999999E-2</v>
      </c>
      <c r="F1483" s="354">
        <v>2.9981299999999999E-2</v>
      </c>
    </row>
    <row r="1484" spans="1:6" ht="12" thickBot="1">
      <c r="A1484" s="352">
        <v>39574</v>
      </c>
      <c r="B1484" s="353">
        <v>2.6737500000000001E-2</v>
      </c>
      <c r="C1484" s="353">
        <v>2.7237500000000001E-2</v>
      </c>
      <c r="D1484" s="353">
        <v>2.7574999999999999E-2</v>
      </c>
      <c r="E1484" s="353">
        <v>2.87625E-2</v>
      </c>
      <c r="F1484" s="354">
        <v>3.015E-2</v>
      </c>
    </row>
    <row r="1485" spans="1:6" ht="12" thickBot="1">
      <c r="A1485" s="352">
        <v>39570</v>
      </c>
      <c r="B1485" s="353">
        <v>2.6974999999999999E-2</v>
      </c>
      <c r="C1485" s="353">
        <v>2.7375E-2</v>
      </c>
      <c r="D1485" s="353">
        <v>2.7699999999999999E-2</v>
      </c>
      <c r="E1485" s="353">
        <v>2.8737499999999999E-2</v>
      </c>
      <c r="F1485" s="354">
        <v>2.9937499999999999E-2</v>
      </c>
    </row>
    <row r="1486" spans="1:6" ht="12" thickBot="1">
      <c r="A1486" s="352">
        <v>39568</v>
      </c>
      <c r="B1486" s="353">
        <v>2.8025000000000001E-2</v>
      </c>
      <c r="C1486" s="353">
        <v>2.8299999999999999E-2</v>
      </c>
      <c r="D1486" s="353">
        <v>2.8500000000000001E-2</v>
      </c>
      <c r="E1486" s="353">
        <v>2.9649999999999999E-2</v>
      </c>
      <c r="F1486" s="354">
        <v>3.0787499999999999E-2</v>
      </c>
    </row>
    <row r="1487" spans="1:6" ht="12" thickBot="1">
      <c r="A1487" s="352">
        <v>39567</v>
      </c>
      <c r="B1487" s="353">
        <v>2.8275000000000002E-2</v>
      </c>
      <c r="C1487" s="353">
        <v>2.8531299999999999E-2</v>
      </c>
      <c r="D1487" s="353">
        <v>2.8728099999999999E-2</v>
      </c>
      <c r="E1487" s="353">
        <v>2.98625E-2</v>
      </c>
      <c r="F1487" s="354">
        <v>3.1074999999999998E-2</v>
      </c>
    </row>
    <row r="1488" spans="1:6" ht="12" thickBot="1">
      <c r="A1488" s="352">
        <v>39566</v>
      </c>
      <c r="B1488" s="353">
        <v>2.86E-2</v>
      </c>
      <c r="C1488" s="353">
        <v>2.8799999999999999E-2</v>
      </c>
      <c r="D1488" s="353">
        <v>2.9000000000000001E-2</v>
      </c>
      <c r="E1488" s="353">
        <v>3.04E-2</v>
      </c>
      <c r="F1488" s="354">
        <v>3.1800000000000002E-2</v>
      </c>
    </row>
    <row r="1489" spans="1:6" ht="12" thickBot="1">
      <c r="A1489" s="352">
        <v>39563</v>
      </c>
      <c r="B1489" s="353">
        <v>2.8812500000000001E-2</v>
      </c>
      <c r="C1489" s="353">
        <v>2.8981300000000002E-2</v>
      </c>
      <c r="D1489" s="353">
        <v>2.9125000000000002E-2</v>
      </c>
      <c r="E1489" s="353">
        <v>3.0800000000000001E-2</v>
      </c>
      <c r="F1489" s="354">
        <v>3.2349999999999997E-2</v>
      </c>
    </row>
    <row r="1490" spans="1:6" ht="12" thickBot="1">
      <c r="A1490" s="352">
        <v>39562</v>
      </c>
      <c r="B1490" s="353">
        <v>2.8862499999999999E-2</v>
      </c>
      <c r="C1490" s="353">
        <v>2.8962499999999999E-2</v>
      </c>
      <c r="D1490" s="353">
        <v>2.9068799999999999E-2</v>
      </c>
      <c r="E1490" s="353">
        <v>3.0281300000000001E-2</v>
      </c>
      <c r="F1490" s="354">
        <v>3.0775E-2</v>
      </c>
    </row>
    <row r="1491" spans="1:6" ht="12" thickBot="1">
      <c r="A1491" s="352">
        <v>39561</v>
      </c>
      <c r="B1491" s="353">
        <v>2.895E-2</v>
      </c>
      <c r="C1491" s="353">
        <v>2.9062500000000002E-2</v>
      </c>
      <c r="D1491" s="353">
        <v>2.92E-2</v>
      </c>
      <c r="E1491" s="353">
        <v>3.04625E-2</v>
      </c>
      <c r="F1491" s="354">
        <v>3.1112500000000001E-2</v>
      </c>
    </row>
    <row r="1492" spans="1:6" ht="12" thickBot="1">
      <c r="A1492" s="352">
        <v>39560</v>
      </c>
      <c r="B1492" s="353">
        <v>2.895E-2</v>
      </c>
      <c r="C1492" s="353">
        <v>2.9075E-2</v>
      </c>
      <c r="D1492" s="353">
        <v>2.92E-2</v>
      </c>
      <c r="E1492" s="353">
        <v>3.0374999999999999E-2</v>
      </c>
      <c r="F1492" s="354">
        <v>3.0931299999999998E-2</v>
      </c>
    </row>
    <row r="1493" spans="1:6" ht="12" thickBot="1">
      <c r="A1493" s="352">
        <v>39559</v>
      </c>
      <c r="B1493" s="353">
        <v>2.8975000000000001E-2</v>
      </c>
      <c r="C1493" s="353">
        <v>2.9075E-2</v>
      </c>
      <c r="D1493" s="353">
        <v>2.92E-2</v>
      </c>
      <c r="E1493" s="353">
        <v>3.02125E-2</v>
      </c>
      <c r="F1493" s="354">
        <v>3.0599999999999999E-2</v>
      </c>
    </row>
    <row r="1494" spans="1:6" ht="12" thickBot="1">
      <c r="A1494" s="352">
        <v>39556</v>
      </c>
      <c r="B1494" s="353">
        <v>2.8737499999999999E-2</v>
      </c>
      <c r="C1494" s="353">
        <v>2.8899999999999999E-2</v>
      </c>
      <c r="D1494" s="353">
        <v>2.9075E-2</v>
      </c>
      <c r="E1494" s="353">
        <v>3.0187499999999999E-2</v>
      </c>
      <c r="F1494" s="354">
        <v>3.0675000000000001E-2</v>
      </c>
    </row>
    <row r="1495" spans="1:6" ht="12" thickBot="1">
      <c r="A1495" s="352">
        <v>39555</v>
      </c>
      <c r="B1495" s="353">
        <v>2.8000000000000001E-2</v>
      </c>
      <c r="C1495" s="353">
        <v>2.80813E-2</v>
      </c>
      <c r="D1495" s="353">
        <v>2.8174999999999999E-2</v>
      </c>
      <c r="E1495" s="353">
        <v>2.8818799999999999E-2</v>
      </c>
      <c r="F1495" s="354">
        <v>2.9112499999999999E-2</v>
      </c>
    </row>
    <row r="1496" spans="1:6" ht="12" thickBot="1">
      <c r="A1496" s="352">
        <v>39554</v>
      </c>
      <c r="B1496" s="353">
        <v>2.73219E-2</v>
      </c>
      <c r="C1496" s="353">
        <v>2.7324999999999999E-2</v>
      </c>
      <c r="D1496" s="353">
        <v>2.7337500000000001E-2</v>
      </c>
      <c r="E1496" s="353">
        <v>2.7587500000000001E-2</v>
      </c>
      <c r="F1496" s="354">
        <v>2.7375E-2</v>
      </c>
    </row>
    <row r="1497" spans="1:6" ht="12" thickBot="1">
      <c r="A1497" s="352">
        <v>39553</v>
      </c>
      <c r="B1497" s="353">
        <v>2.7162499999999999E-2</v>
      </c>
      <c r="C1497" s="353">
        <v>2.71594E-2</v>
      </c>
      <c r="D1497" s="353">
        <v>2.71594E-2</v>
      </c>
      <c r="E1497" s="353">
        <v>2.71688E-2</v>
      </c>
      <c r="F1497" s="354">
        <v>2.63E-2</v>
      </c>
    </row>
    <row r="1498" spans="1:6" ht="12" thickBot="1">
      <c r="A1498" s="352">
        <v>39552</v>
      </c>
      <c r="B1498" s="353">
        <v>2.7131300000000001E-2</v>
      </c>
      <c r="C1498" s="353">
        <v>2.7074999999999998E-2</v>
      </c>
      <c r="D1498" s="353">
        <v>2.70875E-2</v>
      </c>
      <c r="E1498" s="353">
        <v>2.6868800000000002E-2</v>
      </c>
      <c r="F1498" s="354">
        <v>2.57375E-2</v>
      </c>
    </row>
    <row r="1499" spans="1:6" ht="12" thickBot="1">
      <c r="A1499" s="352">
        <v>39549</v>
      </c>
      <c r="B1499" s="353">
        <v>2.71594E-2</v>
      </c>
      <c r="C1499" s="353">
        <v>2.7137499999999998E-2</v>
      </c>
      <c r="D1499" s="353">
        <v>2.7131300000000001E-2</v>
      </c>
      <c r="E1499" s="353">
        <v>2.7112500000000001E-2</v>
      </c>
      <c r="F1499" s="354">
        <v>2.6368800000000001E-2</v>
      </c>
    </row>
    <row r="1500" spans="1:6" ht="12" thickBot="1">
      <c r="A1500" s="352">
        <v>39548</v>
      </c>
      <c r="B1500" s="353">
        <v>2.7175000000000001E-2</v>
      </c>
      <c r="C1500" s="353">
        <v>2.7131300000000001E-2</v>
      </c>
      <c r="D1500" s="353">
        <v>2.7099999999999999E-2</v>
      </c>
      <c r="E1500" s="353">
        <v>2.68375E-2</v>
      </c>
      <c r="F1500" s="354">
        <v>2.57375E-2</v>
      </c>
    </row>
    <row r="1501" spans="1:6" ht="12" thickBot="1">
      <c r="A1501" s="352">
        <v>39547</v>
      </c>
      <c r="B1501" s="353">
        <v>2.7268799999999999E-2</v>
      </c>
      <c r="C1501" s="353">
        <v>2.7212500000000001E-2</v>
      </c>
      <c r="D1501" s="353">
        <v>2.7156300000000001E-2</v>
      </c>
      <c r="E1501" s="353">
        <v>2.6987500000000001E-2</v>
      </c>
      <c r="F1501" s="354">
        <v>2.6181300000000001E-2</v>
      </c>
    </row>
    <row r="1502" spans="1:6" ht="12" thickBot="1">
      <c r="A1502" s="352">
        <v>39546</v>
      </c>
      <c r="B1502" s="353">
        <v>2.72156E-2</v>
      </c>
      <c r="C1502" s="353">
        <v>2.71688E-2</v>
      </c>
      <c r="D1502" s="353">
        <v>2.7099999999999999E-2</v>
      </c>
      <c r="E1502" s="353">
        <v>2.6800000000000001E-2</v>
      </c>
      <c r="F1502" s="354">
        <v>2.6018800000000002E-2</v>
      </c>
    </row>
    <row r="1503" spans="1:6" ht="12" thickBot="1">
      <c r="A1503" s="352">
        <v>39545</v>
      </c>
      <c r="B1503" s="353">
        <v>2.7243799999999999E-2</v>
      </c>
      <c r="C1503" s="353">
        <v>2.7175000000000001E-2</v>
      </c>
      <c r="D1503" s="353">
        <v>2.7099999999999999E-2</v>
      </c>
      <c r="E1503" s="353">
        <v>2.6800000000000001E-2</v>
      </c>
      <c r="F1503" s="354">
        <v>2.5931300000000001E-2</v>
      </c>
    </row>
    <row r="1504" spans="1:6" ht="12" thickBot="1">
      <c r="A1504" s="352">
        <v>39542</v>
      </c>
      <c r="B1504" s="353">
        <v>2.7387499999999999E-2</v>
      </c>
      <c r="C1504" s="353">
        <v>2.7287499999999999E-2</v>
      </c>
      <c r="D1504" s="353">
        <v>2.7275000000000001E-2</v>
      </c>
      <c r="E1504" s="353">
        <v>2.7199999999999998E-2</v>
      </c>
      <c r="F1504" s="354">
        <v>2.6637500000000001E-2</v>
      </c>
    </row>
    <row r="1505" spans="1:6" ht="12" thickBot="1">
      <c r="A1505" s="352">
        <v>39541</v>
      </c>
      <c r="B1505" s="353">
        <v>2.7412499999999999E-2</v>
      </c>
      <c r="C1505" s="353">
        <v>2.7324999999999999E-2</v>
      </c>
      <c r="D1505" s="353">
        <v>2.7275000000000001E-2</v>
      </c>
      <c r="E1505" s="353">
        <v>2.7199999999999998E-2</v>
      </c>
      <c r="F1505" s="354">
        <v>2.6537499999999999E-2</v>
      </c>
    </row>
    <row r="1506" spans="1:6" ht="12" thickBot="1">
      <c r="A1506" s="352">
        <v>39540</v>
      </c>
      <c r="B1506" s="353">
        <v>2.7099999999999999E-2</v>
      </c>
      <c r="C1506" s="353">
        <v>2.7037499999999999E-2</v>
      </c>
      <c r="D1506" s="353">
        <v>2.7E-2</v>
      </c>
      <c r="E1506" s="353">
        <v>2.6700000000000002E-2</v>
      </c>
      <c r="F1506" s="354">
        <v>2.56125E-2</v>
      </c>
    </row>
    <row r="1507" spans="1:6" ht="12" thickBot="1">
      <c r="A1507" s="352">
        <v>39539</v>
      </c>
      <c r="B1507" s="353">
        <v>2.7E-2</v>
      </c>
      <c r="C1507" s="353">
        <v>2.6925000000000001E-2</v>
      </c>
      <c r="D1507" s="353">
        <v>2.68375E-2</v>
      </c>
      <c r="E1507" s="353">
        <v>2.6162500000000002E-2</v>
      </c>
      <c r="F1507" s="354">
        <v>2.47E-2</v>
      </c>
    </row>
    <row r="1508" spans="1:6" ht="12" thickBot="1">
      <c r="A1508" s="352">
        <v>39538</v>
      </c>
      <c r="B1508" s="353">
        <v>2.7031300000000001E-2</v>
      </c>
      <c r="C1508" s="353">
        <v>2.6950000000000002E-2</v>
      </c>
      <c r="D1508" s="353">
        <v>2.68813E-2</v>
      </c>
      <c r="E1508" s="353">
        <v>2.6143799999999998E-2</v>
      </c>
      <c r="F1508" s="354">
        <v>2.4862499999999999E-2</v>
      </c>
    </row>
    <row r="1509" spans="1:6" ht="12" thickBot="1">
      <c r="A1509" s="352">
        <v>39535</v>
      </c>
      <c r="B1509" s="353">
        <v>2.70875E-2</v>
      </c>
      <c r="C1509" s="353">
        <v>2.7037499999999999E-2</v>
      </c>
      <c r="D1509" s="353">
        <v>2.6974999999999999E-2</v>
      </c>
      <c r="E1509" s="353">
        <v>2.6325000000000001E-2</v>
      </c>
      <c r="F1509" s="354">
        <v>2.5174999999999999E-2</v>
      </c>
    </row>
    <row r="1510" spans="1:6" ht="12" thickBot="1">
      <c r="A1510" s="352">
        <v>39534</v>
      </c>
      <c r="B1510" s="353">
        <v>2.7037499999999999E-2</v>
      </c>
      <c r="C1510" s="353">
        <v>2.7E-2</v>
      </c>
      <c r="D1510" s="353">
        <v>2.69625E-2</v>
      </c>
      <c r="E1510" s="353">
        <v>2.63E-2</v>
      </c>
      <c r="F1510" s="354">
        <v>2.50563E-2</v>
      </c>
    </row>
    <row r="1511" spans="1:6" ht="12" thickBot="1">
      <c r="A1511" s="352">
        <v>39533</v>
      </c>
      <c r="B1511" s="353">
        <v>2.6775E-2</v>
      </c>
      <c r="C1511" s="353">
        <v>2.6737500000000001E-2</v>
      </c>
      <c r="D1511" s="353">
        <v>2.67125E-2</v>
      </c>
      <c r="E1511" s="353">
        <v>2.63188E-2</v>
      </c>
      <c r="F1511" s="354">
        <v>2.5274999999999999E-2</v>
      </c>
    </row>
    <row r="1512" spans="1:6" ht="12" thickBot="1">
      <c r="A1512" s="352">
        <v>39532</v>
      </c>
      <c r="B1512" s="353">
        <v>2.6537499999999999E-2</v>
      </c>
      <c r="C1512" s="353">
        <v>2.6537499999999999E-2</v>
      </c>
      <c r="D1512" s="353">
        <v>2.6550000000000001E-2</v>
      </c>
      <c r="E1512" s="353">
        <v>2.63375E-2</v>
      </c>
      <c r="F1512" s="354">
        <v>2.54875E-2</v>
      </c>
    </row>
    <row r="1513" spans="1:6" ht="12" thickBot="1">
      <c r="A1513" s="352">
        <v>39526</v>
      </c>
      <c r="B1513" s="353">
        <v>2.59875E-2</v>
      </c>
      <c r="C1513" s="353">
        <v>2.5975000000000002E-2</v>
      </c>
      <c r="D1513" s="353">
        <v>2.59875E-2</v>
      </c>
      <c r="E1513" s="353">
        <v>2.4975000000000001E-2</v>
      </c>
      <c r="F1513" s="354">
        <v>2.3387499999999999E-2</v>
      </c>
    </row>
    <row r="1514" spans="1:6" ht="12" thickBot="1">
      <c r="A1514" s="352">
        <v>39525</v>
      </c>
      <c r="B1514" s="353">
        <v>2.5356299999999998E-2</v>
      </c>
      <c r="C1514" s="353">
        <v>2.53688E-2</v>
      </c>
      <c r="D1514" s="353">
        <v>2.5418799999999998E-2</v>
      </c>
      <c r="E1514" s="353">
        <v>2.3824999999999999E-2</v>
      </c>
      <c r="F1514" s="354">
        <v>2.2100000000000002E-2</v>
      </c>
    </row>
    <row r="1515" spans="1:6" ht="12" thickBot="1">
      <c r="A1515" s="352">
        <v>39524</v>
      </c>
      <c r="B1515" s="353">
        <v>2.5587499999999999E-2</v>
      </c>
      <c r="C1515" s="353">
        <v>2.5649999999999999E-2</v>
      </c>
      <c r="D1515" s="353">
        <v>2.5787500000000001E-2</v>
      </c>
      <c r="E1515" s="353">
        <v>2.36625E-2</v>
      </c>
      <c r="F1515" s="354">
        <v>2.17813E-2</v>
      </c>
    </row>
    <row r="1516" spans="1:6" ht="12" thickBot="1">
      <c r="A1516" s="352">
        <v>39521</v>
      </c>
      <c r="B1516" s="353">
        <v>2.775E-2</v>
      </c>
      <c r="C1516" s="353">
        <v>2.77063E-2</v>
      </c>
      <c r="D1516" s="353">
        <v>2.7637499999999999E-2</v>
      </c>
      <c r="E1516" s="353">
        <v>2.67125E-2</v>
      </c>
      <c r="F1516" s="354">
        <v>2.5125000000000001E-2</v>
      </c>
    </row>
    <row r="1517" spans="1:6" ht="12" thickBot="1">
      <c r="A1517" s="352">
        <v>39520</v>
      </c>
      <c r="B1517" s="353">
        <v>2.8174999999999999E-2</v>
      </c>
      <c r="C1517" s="353">
        <v>2.80188E-2</v>
      </c>
      <c r="D1517" s="353">
        <v>2.8000000000000001E-2</v>
      </c>
      <c r="E1517" s="353">
        <v>2.6993799999999998E-2</v>
      </c>
      <c r="F1517" s="354">
        <v>2.5168800000000002E-2</v>
      </c>
    </row>
    <row r="1518" spans="1:6" ht="12" thickBot="1">
      <c r="A1518" s="352">
        <v>39519</v>
      </c>
      <c r="B1518" s="353">
        <v>2.8612499999999999E-2</v>
      </c>
      <c r="C1518" s="353">
        <v>2.8587499999999998E-2</v>
      </c>
      <c r="D1518" s="353">
        <v>2.8500000000000001E-2</v>
      </c>
      <c r="E1518" s="353">
        <v>2.7875E-2</v>
      </c>
      <c r="F1518" s="354">
        <v>2.6468800000000001E-2</v>
      </c>
    </row>
    <row r="1519" spans="1:6" ht="12" thickBot="1">
      <c r="A1519" s="352">
        <v>39518</v>
      </c>
      <c r="B1519" s="353">
        <v>2.8899999999999999E-2</v>
      </c>
      <c r="C1519" s="353">
        <v>2.8799999999999999E-2</v>
      </c>
      <c r="D1519" s="353">
        <v>2.8674999999999999E-2</v>
      </c>
      <c r="E1519" s="353">
        <v>2.7400000000000001E-2</v>
      </c>
      <c r="F1519" s="354">
        <v>2.5700000000000001E-2</v>
      </c>
    </row>
    <row r="1520" spans="1:6" ht="12" thickBot="1">
      <c r="A1520" s="352">
        <v>39517</v>
      </c>
      <c r="B1520" s="353">
        <v>2.9350000000000001E-2</v>
      </c>
      <c r="C1520" s="353">
        <v>2.92E-2</v>
      </c>
      <c r="D1520" s="353">
        <v>2.90125E-2</v>
      </c>
      <c r="E1520" s="353">
        <v>2.78125E-2</v>
      </c>
      <c r="F1520" s="354">
        <v>2.5887500000000001E-2</v>
      </c>
    </row>
    <row r="1521" spans="1:6" ht="12" thickBot="1">
      <c r="A1521" s="352">
        <v>39514</v>
      </c>
      <c r="B1521" s="353">
        <v>0.03</v>
      </c>
      <c r="C1521" s="353">
        <v>2.9812499999999999E-2</v>
      </c>
      <c r="D1521" s="353">
        <v>2.93875E-2</v>
      </c>
      <c r="E1521" s="353">
        <v>2.7843799999999998E-2</v>
      </c>
      <c r="F1521" s="354">
        <v>2.5749999999999999E-2</v>
      </c>
    </row>
    <row r="1522" spans="1:6" ht="12" thickBot="1">
      <c r="A1522" s="352">
        <v>39513</v>
      </c>
      <c r="B1522" s="353">
        <v>3.0581299999999999E-2</v>
      </c>
      <c r="C1522" s="353">
        <v>3.0287499999999998E-2</v>
      </c>
      <c r="D1522" s="353">
        <v>2.9899999999999999E-2</v>
      </c>
      <c r="E1522" s="353">
        <v>2.8924999999999999E-2</v>
      </c>
      <c r="F1522" s="354">
        <v>2.6862500000000001E-2</v>
      </c>
    </row>
    <row r="1523" spans="1:6" ht="12" thickBot="1">
      <c r="A1523" s="352">
        <v>39512</v>
      </c>
      <c r="B1523" s="353">
        <v>3.075E-2</v>
      </c>
      <c r="C1523" s="353">
        <v>3.0387500000000001E-2</v>
      </c>
      <c r="D1523" s="353">
        <v>0.03</v>
      </c>
      <c r="E1523" s="353">
        <v>2.8924999999999999E-2</v>
      </c>
      <c r="F1523" s="354">
        <v>2.6675000000000001E-2</v>
      </c>
    </row>
    <row r="1524" spans="1:6" ht="12" thickBot="1">
      <c r="A1524" s="352">
        <v>39511</v>
      </c>
      <c r="B1524" s="353">
        <v>3.0800000000000001E-2</v>
      </c>
      <c r="C1524" s="353">
        <v>3.0418799999999999E-2</v>
      </c>
      <c r="D1524" s="353">
        <v>3.0081299999999998E-2</v>
      </c>
      <c r="E1524" s="353">
        <v>2.8768800000000001E-2</v>
      </c>
      <c r="F1524" s="354">
        <v>2.6581299999999999E-2</v>
      </c>
    </row>
    <row r="1525" spans="1:6" ht="12" thickBot="1">
      <c r="A1525" s="352">
        <v>39510</v>
      </c>
      <c r="B1525" s="353">
        <v>3.0862500000000001E-2</v>
      </c>
      <c r="C1525" s="353">
        <v>3.0425000000000001E-2</v>
      </c>
      <c r="D1525" s="353">
        <v>3.0143799999999998E-2</v>
      </c>
      <c r="E1525" s="353">
        <v>2.8625000000000001E-2</v>
      </c>
      <c r="F1525" s="354">
        <v>2.62563E-2</v>
      </c>
    </row>
    <row r="1526" spans="1:6" ht="12" thickBot="1">
      <c r="A1526" s="352">
        <v>39507</v>
      </c>
      <c r="B1526" s="353">
        <v>3.11063E-2</v>
      </c>
      <c r="C1526" s="353">
        <v>3.0700000000000002E-2</v>
      </c>
      <c r="D1526" s="353">
        <v>3.0575000000000001E-2</v>
      </c>
      <c r="E1526" s="353">
        <v>2.9312499999999998E-2</v>
      </c>
      <c r="F1526" s="354">
        <v>2.70875E-2</v>
      </c>
    </row>
    <row r="1527" spans="1:6" ht="12" thickBot="1">
      <c r="A1527" s="352">
        <v>39506</v>
      </c>
      <c r="B1527" s="353">
        <v>3.1193800000000001E-2</v>
      </c>
      <c r="C1527" s="353">
        <v>3.0843800000000001E-2</v>
      </c>
      <c r="D1527" s="353">
        <v>3.07563E-2</v>
      </c>
      <c r="E1527" s="353">
        <v>2.9687499999999999E-2</v>
      </c>
      <c r="F1527" s="354">
        <v>2.775E-2</v>
      </c>
    </row>
    <row r="1528" spans="1:6" ht="12" thickBot="1">
      <c r="A1528" s="352">
        <v>39505</v>
      </c>
      <c r="B1528" s="353">
        <v>3.1218800000000001E-2</v>
      </c>
      <c r="C1528" s="353">
        <v>3.0949999999999998E-2</v>
      </c>
      <c r="D1528" s="353">
        <v>3.0849999999999999E-2</v>
      </c>
      <c r="E1528" s="353">
        <v>3.0168799999999999E-2</v>
      </c>
      <c r="F1528" s="354">
        <v>2.82875E-2</v>
      </c>
    </row>
    <row r="1529" spans="1:6" ht="12" thickBot="1">
      <c r="A1529" s="352">
        <v>39504</v>
      </c>
      <c r="B1529" s="353">
        <v>3.125E-2</v>
      </c>
      <c r="C1529" s="353">
        <v>3.1E-2</v>
      </c>
      <c r="D1529" s="353">
        <v>3.09E-2</v>
      </c>
      <c r="E1529" s="353">
        <v>3.0575000000000001E-2</v>
      </c>
      <c r="F1529" s="354">
        <v>2.9250000000000002E-2</v>
      </c>
    </row>
    <row r="1530" spans="1:6" ht="12" thickBot="1">
      <c r="A1530" s="352">
        <v>39503</v>
      </c>
      <c r="B1530" s="353">
        <v>3.1237500000000001E-2</v>
      </c>
      <c r="C1530" s="353">
        <v>3.1E-2</v>
      </c>
      <c r="D1530" s="353">
        <v>3.0893799999999999E-2</v>
      </c>
      <c r="E1530" s="353">
        <v>3.0562499999999999E-2</v>
      </c>
      <c r="F1530" s="354">
        <v>2.9087499999999999E-2</v>
      </c>
    </row>
    <row r="1531" spans="1:6" ht="12" thickBot="1">
      <c r="A1531" s="352">
        <v>39500</v>
      </c>
      <c r="B1531" s="353">
        <v>3.1199999999999999E-2</v>
      </c>
      <c r="C1531" s="353">
        <v>3.0906300000000001E-2</v>
      </c>
      <c r="D1531" s="353">
        <v>3.0800000000000001E-2</v>
      </c>
      <c r="E1531" s="353">
        <v>2.9993800000000001E-2</v>
      </c>
      <c r="F1531" s="354">
        <v>2.82063E-2</v>
      </c>
    </row>
    <row r="1532" spans="1:6" ht="12" thickBot="1">
      <c r="A1532" s="352">
        <v>39499</v>
      </c>
      <c r="B1532" s="353">
        <v>3.1350000000000003E-2</v>
      </c>
      <c r="C1532" s="353">
        <v>3.10438E-2</v>
      </c>
      <c r="D1532" s="353">
        <v>3.0925000000000001E-2</v>
      </c>
      <c r="E1532" s="353">
        <v>3.0706299999999999E-2</v>
      </c>
      <c r="F1532" s="354">
        <v>2.955E-2</v>
      </c>
    </row>
    <row r="1533" spans="1:6" ht="12" thickBot="1">
      <c r="A1533" s="352">
        <v>39498</v>
      </c>
      <c r="B1533" s="353">
        <v>3.1175000000000001E-2</v>
      </c>
      <c r="C1533" s="353">
        <v>3.08813E-2</v>
      </c>
      <c r="D1533" s="353">
        <v>3.0781300000000001E-2</v>
      </c>
      <c r="E1533" s="353">
        <v>3.01938E-2</v>
      </c>
      <c r="F1533" s="354">
        <v>2.8750000000000001E-2</v>
      </c>
    </row>
    <row r="1534" spans="1:6" ht="12" thickBot="1">
      <c r="A1534" s="352">
        <v>39497</v>
      </c>
      <c r="B1534" s="353">
        <v>3.11063E-2</v>
      </c>
      <c r="C1534" s="353">
        <v>3.08375E-2</v>
      </c>
      <c r="D1534" s="353">
        <v>3.0700000000000002E-2</v>
      </c>
      <c r="E1534" s="353">
        <v>2.98E-2</v>
      </c>
      <c r="F1534" s="354">
        <v>2.7806299999999999E-2</v>
      </c>
    </row>
    <row r="1535" spans="1:6" ht="12" thickBot="1">
      <c r="A1535" s="352">
        <v>39496</v>
      </c>
      <c r="B1535" s="353">
        <v>3.1137499999999999E-2</v>
      </c>
      <c r="C1535" s="353">
        <v>3.08375E-2</v>
      </c>
      <c r="D1535" s="353">
        <v>3.0700000000000002E-2</v>
      </c>
      <c r="E1535" s="353">
        <v>2.98E-2</v>
      </c>
      <c r="F1535" s="354">
        <v>2.7712500000000001E-2</v>
      </c>
    </row>
    <row r="1536" spans="1:6" ht="12" thickBot="1">
      <c r="A1536" s="352">
        <v>39493</v>
      </c>
      <c r="B1536" s="353">
        <v>3.11875E-2</v>
      </c>
      <c r="C1536" s="353">
        <v>3.0862500000000001E-2</v>
      </c>
      <c r="D1536" s="353">
        <v>3.0700000000000002E-2</v>
      </c>
      <c r="E1536" s="353">
        <v>2.9693799999999999E-2</v>
      </c>
      <c r="F1536" s="354">
        <v>2.7443800000000001E-2</v>
      </c>
    </row>
    <row r="1537" spans="1:6" ht="12" thickBot="1">
      <c r="A1537" s="352">
        <v>39492</v>
      </c>
      <c r="B1537" s="353">
        <v>3.1162499999999999E-2</v>
      </c>
      <c r="C1537" s="353">
        <v>3.08563E-2</v>
      </c>
      <c r="D1537" s="353">
        <v>3.065E-2</v>
      </c>
      <c r="E1537" s="353">
        <v>2.96125E-2</v>
      </c>
      <c r="F1537" s="354">
        <v>2.7487500000000002E-2</v>
      </c>
    </row>
    <row r="1538" spans="1:6" ht="12" thickBot="1">
      <c r="A1538" s="352">
        <v>39491</v>
      </c>
      <c r="B1538" s="353">
        <v>3.1212500000000001E-2</v>
      </c>
      <c r="C1538" s="353">
        <v>3.09188E-2</v>
      </c>
      <c r="D1538" s="353">
        <v>3.065E-2</v>
      </c>
      <c r="E1538" s="353">
        <v>2.9543799999999999E-2</v>
      </c>
      <c r="F1538" s="354">
        <v>2.7275000000000001E-2</v>
      </c>
    </row>
    <row r="1539" spans="1:6" ht="12" thickBot="1">
      <c r="A1539" s="352">
        <v>39490</v>
      </c>
      <c r="B1539" s="353">
        <v>3.1274999999999997E-2</v>
      </c>
      <c r="C1539" s="353">
        <v>3.0974999999999999E-2</v>
      </c>
      <c r="D1539" s="353">
        <v>3.0675000000000001E-2</v>
      </c>
      <c r="E1539" s="353">
        <v>2.9587499999999999E-2</v>
      </c>
      <c r="F1539" s="354">
        <v>2.7324999999999999E-2</v>
      </c>
    </row>
    <row r="1540" spans="1:6" ht="12" thickBot="1">
      <c r="A1540" s="352">
        <v>39489</v>
      </c>
      <c r="B1540" s="353">
        <v>3.1387499999999999E-2</v>
      </c>
      <c r="C1540" s="353">
        <v>3.1E-2</v>
      </c>
      <c r="D1540" s="353">
        <v>3.0700000000000002E-2</v>
      </c>
      <c r="E1540" s="353">
        <v>2.9624999999999999E-2</v>
      </c>
      <c r="F1540" s="354">
        <v>2.7337500000000001E-2</v>
      </c>
    </row>
    <row r="1541" spans="1:6" ht="12" thickBot="1">
      <c r="A1541" s="352">
        <v>39486</v>
      </c>
      <c r="B1541" s="353">
        <v>3.1537500000000003E-2</v>
      </c>
      <c r="C1541" s="353">
        <v>3.1175000000000001E-2</v>
      </c>
      <c r="D1541" s="353">
        <v>3.08813E-2</v>
      </c>
      <c r="E1541" s="353">
        <v>2.9912500000000002E-2</v>
      </c>
      <c r="F1541" s="354">
        <v>2.7762499999999999E-2</v>
      </c>
    </row>
    <row r="1542" spans="1:6" ht="12" thickBot="1">
      <c r="A1542" s="352">
        <v>39485</v>
      </c>
      <c r="B1542" s="353">
        <v>3.1649999999999998E-2</v>
      </c>
      <c r="C1542" s="353">
        <v>3.1262499999999999E-2</v>
      </c>
      <c r="D1542" s="353">
        <v>3.09625E-2</v>
      </c>
      <c r="E1542" s="353">
        <v>2.9774999999999999E-2</v>
      </c>
      <c r="F1542" s="354">
        <v>2.7300000000000001E-2</v>
      </c>
    </row>
    <row r="1543" spans="1:6" ht="12" thickBot="1">
      <c r="A1543" s="352">
        <v>39484</v>
      </c>
      <c r="B1543" s="353">
        <v>3.1925000000000002E-2</v>
      </c>
      <c r="C1543" s="353">
        <v>3.15E-2</v>
      </c>
      <c r="D1543" s="353">
        <v>3.1274999999999997E-2</v>
      </c>
      <c r="E1543" s="353">
        <v>3.0025E-2</v>
      </c>
      <c r="F1543" s="354">
        <v>2.7337500000000001E-2</v>
      </c>
    </row>
    <row r="1544" spans="1:6" ht="12" thickBot="1">
      <c r="A1544" s="352">
        <v>39483</v>
      </c>
      <c r="B1544" s="353">
        <v>3.2181300000000003E-2</v>
      </c>
      <c r="C1544" s="353">
        <v>3.1824999999999999E-2</v>
      </c>
      <c r="D1544" s="353">
        <v>3.1618800000000002E-2</v>
      </c>
      <c r="E1544" s="353">
        <v>3.1112500000000001E-2</v>
      </c>
      <c r="F1544" s="354">
        <v>2.89313E-2</v>
      </c>
    </row>
    <row r="1545" spans="1:6" ht="12" thickBot="1">
      <c r="A1545" s="352">
        <v>39482</v>
      </c>
      <c r="B1545" s="353">
        <v>3.18125E-2</v>
      </c>
      <c r="C1545" s="353">
        <v>3.1574999999999999E-2</v>
      </c>
      <c r="D1545" s="353">
        <v>3.1449999999999999E-2</v>
      </c>
      <c r="E1545" s="353">
        <v>3.0974999999999999E-2</v>
      </c>
      <c r="F1545" s="354">
        <v>2.8962499999999999E-2</v>
      </c>
    </row>
    <row r="1546" spans="1:6" ht="12" thickBot="1">
      <c r="A1546" s="352">
        <v>39479</v>
      </c>
      <c r="B1546" s="353">
        <v>3.1412500000000003E-2</v>
      </c>
      <c r="C1546" s="353">
        <v>3.1125E-2</v>
      </c>
      <c r="D1546" s="353">
        <v>3.0949999999999998E-2</v>
      </c>
      <c r="E1546" s="353">
        <v>3.0162499999999998E-2</v>
      </c>
      <c r="F1546" s="354">
        <v>2.8187500000000001E-2</v>
      </c>
    </row>
    <row r="1547" spans="1:6" ht="12" thickBot="1">
      <c r="A1547" s="352">
        <v>39478</v>
      </c>
      <c r="B1547" s="353">
        <v>3.14375E-2</v>
      </c>
      <c r="C1547" s="353">
        <v>3.125E-2</v>
      </c>
      <c r="D1547" s="353">
        <v>3.1118799999999999E-2</v>
      </c>
      <c r="E1547" s="353">
        <v>3.0412499999999999E-2</v>
      </c>
      <c r="F1547" s="354">
        <v>2.84938E-2</v>
      </c>
    </row>
    <row r="1548" spans="1:6" ht="12" thickBot="1">
      <c r="A1548" s="352">
        <v>39477</v>
      </c>
      <c r="B1548" s="353">
        <v>3.26375E-2</v>
      </c>
      <c r="C1548" s="353">
        <v>3.25188E-2</v>
      </c>
      <c r="D1548" s="353">
        <v>3.23938E-2</v>
      </c>
      <c r="E1548" s="353">
        <v>3.1862500000000002E-2</v>
      </c>
      <c r="F1548" s="354">
        <v>2.98E-2</v>
      </c>
    </row>
    <row r="1549" spans="1:6" ht="12" thickBot="1">
      <c r="A1549" s="352">
        <v>39476</v>
      </c>
      <c r="B1549" s="353">
        <v>3.2712499999999999E-2</v>
      </c>
      <c r="C1549" s="353">
        <v>3.2606299999999998E-2</v>
      </c>
      <c r="D1549" s="353">
        <v>3.2437500000000001E-2</v>
      </c>
      <c r="E1549" s="353">
        <v>3.1818800000000001E-2</v>
      </c>
      <c r="F1549" s="354">
        <v>2.9662500000000001E-2</v>
      </c>
    </row>
    <row r="1550" spans="1:6" ht="12" thickBot="1">
      <c r="A1550" s="352">
        <v>39475</v>
      </c>
      <c r="B1550" s="353">
        <v>3.2812500000000001E-2</v>
      </c>
      <c r="C1550" s="353">
        <v>3.27E-2</v>
      </c>
      <c r="D1550" s="353">
        <v>3.25125E-2</v>
      </c>
      <c r="E1550" s="353">
        <v>3.1837499999999998E-2</v>
      </c>
      <c r="F1550" s="354">
        <v>2.9562499999999999E-2</v>
      </c>
    </row>
    <row r="1551" spans="1:6" ht="12" thickBot="1">
      <c r="A1551" s="352">
        <v>39472</v>
      </c>
      <c r="B1551" s="353">
        <v>3.3125000000000002E-2</v>
      </c>
      <c r="C1551" s="353">
        <v>3.3075E-2</v>
      </c>
      <c r="D1551" s="353">
        <v>3.3062500000000002E-2</v>
      </c>
      <c r="E1551" s="353">
        <v>3.3000000000000002E-2</v>
      </c>
      <c r="F1551" s="354">
        <v>3.1262499999999999E-2</v>
      </c>
    </row>
    <row r="1552" spans="1:6" ht="12" thickBot="1">
      <c r="A1552" s="352">
        <v>39471</v>
      </c>
      <c r="B1552" s="353">
        <v>3.2849999999999997E-2</v>
      </c>
      <c r="C1552" s="353">
        <v>3.2656299999999999E-2</v>
      </c>
      <c r="D1552" s="353">
        <v>3.2437500000000001E-2</v>
      </c>
      <c r="E1552" s="353">
        <v>3.15E-2</v>
      </c>
      <c r="F1552" s="354">
        <v>2.8625000000000001E-2</v>
      </c>
    </row>
    <row r="1553" spans="1:6" ht="12" thickBot="1">
      <c r="A1553" s="352">
        <v>39470</v>
      </c>
      <c r="B1553" s="353">
        <v>3.3762500000000001E-2</v>
      </c>
      <c r="C1553" s="353">
        <v>3.3524999999999999E-2</v>
      </c>
      <c r="D1553" s="353">
        <v>3.3312500000000002E-2</v>
      </c>
      <c r="E1553" s="353">
        <v>3.1637499999999999E-2</v>
      </c>
      <c r="F1553" s="354">
        <v>2.8062500000000001E-2</v>
      </c>
    </row>
    <row r="1554" spans="1:6" ht="12" thickBot="1">
      <c r="A1554" s="352">
        <v>39469</v>
      </c>
      <c r="B1554" s="353">
        <v>3.77375E-2</v>
      </c>
      <c r="C1554" s="353">
        <v>3.7525000000000003E-2</v>
      </c>
      <c r="D1554" s="353">
        <v>3.7175E-2</v>
      </c>
      <c r="E1554" s="353">
        <v>3.49E-2</v>
      </c>
      <c r="F1554" s="354">
        <v>3.08375E-2</v>
      </c>
    </row>
    <row r="1555" spans="1:6" ht="12" thickBot="1">
      <c r="A1555" s="352">
        <v>39468</v>
      </c>
      <c r="B1555" s="353">
        <v>3.9024999999999997E-2</v>
      </c>
      <c r="C1555" s="353">
        <v>3.8774999999999997E-2</v>
      </c>
      <c r="D1555" s="353">
        <v>3.8475000000000002E-2</v>
      </c>
      <c r="E1555" s="353">
        <v>3.67438E-2</v>
      </c>
      <c r="F1555" s="354">
        <v>3.2681300000000003E-2</v>
      </c>
    </row>
    <row r="1556" spans="1:6" ht="12" thickBot="1">
      <c r="A1556" s="352">
        <v>39465</v>
      </c>
      <c r="B1556" s="353">
        <v>3.9343799999999998E-2</v>
      </c>
      <c r="C1556" s="353">
        <v>3.9156299999999998E-2</v>
      </c>
      <c r="D1556" s="353">
        <v>3.89375E-2</v>
      </c>
      <c r="E1556" s="353">
        <v>3.7537500000000001E-2</v>
      </c>
      <c r="F1556" s="354">
        <v>3.39625E-2</v>
      </c>
    </row>
    <row r="1557" spans="1:6" ht="12" thickBot="1">
      <c r="A1557" s="352">
        <v>39464</v>
      </c>
      <c r="B1557" s="353">
        <v>3.9587499999999998E-2</v>
      </c>
      <c r="C1557" s="353">
        <v>3.9449999999999999E-2</v>
      </c>
      <c r="D1557" s="353">
        <v>3.9262499999999999E-2</v>
      </c>
      <c r="E1557" s="353">
        <v>3.8112500000000001E-2</v>
      </c>
      <c r="F1557" s="354">
        <v>3.4799999999999998E-2</v>
      </c>
    </row>
    <row r="1558" spans="1:6" ht="12" thickBot="1">
      <c r="A1558" s="352">
        <v>39463</v>
      </c>
      <c r="B1558" s="353">
        <v>3.98938E-2</v>
      </c>
      <c r="C1558" s="353">
        <v>3.97063E-2</v>
      </c>
      <c r="D1558" s="353">
        <v>3.9512499999999999E-2</v>
      </c>
      <c r="E1558" s="353">
        <v>3.7937499999999999E-2</v>
      </c>
      <c r="F1558" s="354">
        <v>3.4237499999999997E-2</v>
      </c>
    </row>
    <row r="1559" spans="1:6" ht="12" thickBot="1">
      <c r="A1559" s="352">
        <v>39462</v>
      </c>
      <c r="B1559" s="353">
        <v>4.0224999999999997E-2</v>
      </c>
      <c r="C1559" s="353">
        <v>4.0075E-2</v>
      </c>
      <c r="D1559" s="353">
        <v>3.9974999999999997E-2</v>
      </c>
      <c r="E1559" s="353">
        <v>3.8275000000000003E-2</v>
      </c>
      <c r="F1559" s="354">
        <v>3.4737499999999998E-2</v>
      </c>
    </row>
    <row r="1560" spans="1:6" ht="12" thickBot="1">
      <c r="A1560" s="352">
        <v>39457</v>
      </c>
      <c r="B1560" s="353">
        <v>4.3193799999999997E-2</v>
      </c>
      <c r="C1560" s="353">
        <v>4.3525000000000001E-2</v>
      </c>
      <c r="D1560" s="353">
        <v>4.3768799999999997E-2</v>
      </c>
      <c r="E1560" s="353">
        <v>4.1937500000000003E-2</v>
      </c>
      <c r="F1560" s="354">
        <v>3.8124999999999999E-2</v>
      </c>
    </row>
    <row r="1561" spans="1:6" ht="12" thickBot="1">
      <c r="A1561" s="352">
        <v>39456</v>
      </c>
      <c r="B1561" s="353">
        <v>4.3706299999999997E-2</v>
      </c>
      <c r="C1561" s="353">
        <v>4.4150000000000002E-2</v>
      </c>
      <c r="D1561" s="353">
        <v>4.4424999999999999E-2</v>
      </c>
      <c r="E1561" s="353">
        <v>4.2625000000000003E-2</v>
      </c>
      <c r="F1561" s="354">
        <v>3.8643799999999999E-2</v>
      </c>
    </row>
    <row r="1562" spans="1:6" ht="12" thickBot="1">
      <c r="A1562" s="352">
        <v>39455</v>
      </c>
      <c r="B1562" s="353">
        <v>4.4112499999999999E-2</v>
      </c>
      <c r="C1562" s="353">
        <v>4.4687499999999998E-2</v>
      </c>
      <c r="D1562" s="353">
        <v>4.505E-2</v>
      </c>
      <c r="E1562" s="353">
        <v>4.32875E-2</v>
      </c>
      <c r="F1562" s="354">
        <v>3.9287500000000003E-2</v>
      </c>
    </row>
    <row r="1563" spans="1:6" ht="12" thickBot="1">
      <c r="A1563" s="352">
        <v>39451</v>
      </c>
      <c r="B1563" s="353">
        <v>4.5150000000000003E-2</v>
      </c>
      <c r="C1563" s="353">
        <v>4.58E-2</v>
      </c>
      <c r="D1563" s="353">
        <v>4.6199999999999998E-2</v>
      </c>
      <c r="E1563" s="353">
        <v>4.4674999999999999E-2</v>
      </c>
      <c r="F1563" s="354">
        <v>4.0524999999999999E-2</v>
      </c>
    </row>
    <row r="1564" spans="1:6" ht="12" thickBot="1">
      <c r="A1564" s="352">
        <v>39450</v>
      </c>
      <c r="B1564" s="353">
        <v>4.5400000000000003E-2</v>
      </c>
      <c r="C1564" s="353">
        <v>4.6037500000000002E-2</v>
      </c>
      <c r="D1564" s="353">
        <v>4.6462499999999997E-2</v>
      </c>
      <c r="E1564" s="353">
        <v>4.4737499999999999E-2</v>
      </c>
      <c r="F1564" s="354">
        <v>4.0418799999999998E-2</v>
      </c>
    </row>
    <row r="1565" spans="1:6" ht="12" thickBot="1">
      <c r="A1565" s="355">
        <v>39449</v>
      </c>
      <c r="B1565" s="356">
        <v>4.5699999999999998E-2</v>
      </c>
      <c r="C1565" s="356">
        <v>4.6362500000000001E-2</v>
      </c>
      <c r="D1565" s="356">
        <v>4.6806300000000002E-2</v>
      </c>
      <c r="E1565" s="356">
        <v>4.5662500000000002E-2</v>
      </c>
      <c r="F1565" s="357">
        <v>4.1875000000000002E-2</v>
      </c>
    </row>
    <row r="1566" spans="1:6">
      <c r="A1566" s="346">
        <v>2007</v>
      </c>
      <c r="B1566" s="347"/>
      <c r="C1566" s="347"/>
      <c r="D1566" s="347"/>
      <c r="E1566" s="347"/>
      <c r="F1566" s="347"/>
    </row>
    <row r="1567" spans="1:6" ht="12" thickBot="1">
      <c r="A1567" s="348"/>
      <c r="B1567" s="610"/>
      <c r="C1567" s="611"/>
      <c r="D1567" s="611"/>
      <c r="E1567" s="611"/>
      <c r="F1567" s="612"/>
    </row>
    <row r="1568" spans="1:6" ht="12" thickBot="1">
      <c r="A1568" s="349" t="s">
        <v>1061</v>
      </c>
      <c r="B1568" s="350" t="s">
        <v>1062</v>
      </c>
      <c r="C1568" s="350" t="s">
        <v>1063</v>
      </c>
      <c r="D1568" s="350" t="s">
        <v>1064</v>
      </c>
      <c r="E1568" s="350" t="s">
        <v>1065</v>
      </c>
      <c r="F1568" s="351" t="s">
        <v>1066</v>
      </c>
    </row>
    <row r="1569" spans="1:6" ht="12" thickBot="1">
      <c r="A1569" s="352">
        <v>39444</v>
      </c>
      <c r="B1569" s="353">
        <v>4.63125E-2</v>
      </c>
      <c r="C1569" s="353">
        <v>4.6824999999999999E-2</v>
      </c>
      <c r="D1569" s="353">
        <v>4.7287500000000003E-2</v>
      </c>
      <c r="E1569" s="353">
        <v>4.6487500000000001E-2</v>
      </c>
      <c r="F1569" s="354">
        <v>4.2950000000000002E-2</v>
      </c>
    </row>
    <row r="1570" spans="1:6" ht="12" thickBot="1">
      <c r="A1570" s="352">
        <v>39443</v>
      </c>
      <c r="B1570" s="353">
        <v>4.845E-2</v>
      </c>
      <c r="C1570" s="353">
        <v>4.8381300000000002E-2</v>
      </c>
      <c r="D1570" s="353">
        <v>4.8300000000000003E-2</v>
      </c>
      <c r="E1570" s="353">
        <v>4.7175000000000002E-2</v>
      </c>
      <c r="F1570" s="354">
        <v>4.34125E-2</v>
      </c>
    </row>
    <row r="1571" spans="1:6" ht="12" thickBot="1">
      <c r="A1571" s="352">
        <v>39442</v>
      </c>
      <c r="B1571" s="353">
        <v>4.8550000000000003E-2</v>
      </c>
      <c r="C1571" s="353">
        <v>4.8487500000000003E-2</v>
      </c>
      <c r="D1571" s="353">
        <v>4.8425000000000003E-2</v>
      </c>
      <c r="E1571" s="353">
        <v>4.7175000000000002E-2</v>
      </c>
      <c r="F1571" s="354">
        <v>4.3437499999999997E-2</v>
      </c>
    </row>
    <row r="1572" spans="1:6" ht="12" thickBot="1">
      <c r="A1572" s="352">
        <v>39440</v>
      </c>
      <c r="B1572" s="353">
        <v>4.8550000000000003E-2</v>
      </c>
      <c r="C1572" s="353">
        <v>4.8487500000000003E-2</v>
      </c>
      <c r="D1572" s="353">
        <v>4.8425000000000003E-2</v>
      </c>
      <c r="E1572" s="353">
        <v>4.7175000000000002E-2</v>
      </c>
      <c r="F1572" s="354">
        <v>4.3437499999999997E-2</v>
      </c>
    </row>
    <row r="1573" spans="1:6" ht="12" thickBot="1">
      <c r="A1573" s="352">
        <v>39437</v>
      </c>
      <c r="B1573" s="353">
        <v>4.8649999999999999E-2</v>
      </c>
      <c r="C1573" s="353">
        <v>4.8612500000000003E-2</v>
      </c>
      <c r="D1573" s="353">
        <v>4.8575E-2</v>
      </c>
      <c r="E1573" s="353">
        <v>4.7274999999999998E-2</v>
      </c>
      <c r="F1573" s="354">
        <v>4.3174999999999998E-2</v>
      </c>
    </row>
    <row r="1574" spans="1:6" ht="12" thickBot="1">
      <c r="A1574" s="352">
        <v>39436</v>
      </c>
      <c r="B1574" s="353">
        <v>4.8962499999999999E-2</v>
      </c>
      <c r="C1574" s="353">
        <v>4.895E-2</v>
      </c>
      <c r="D1574" s="353">
        <v>4.8837499999999999E-2</v>
      </c>
      <c r="E1574" s="353">
        <v>4.7449999999999999E-2</v>
      </c>
      <c r="F1574" s="354">
        <v>4.3475E-2</v>
      </c>
    </row>
    <row r="1575" spans="1:6" ht="12" thickBot="1">
      <c r="A1575" s="352">
        <v>39435</v>
      </c>
      <c r="B1575" s="353">
        <v>4.9318800000000003E-2</v>
      </c>
      <c r="C1575" s="353">
        <v>4.9231299999999999E-2</v>
      </c>
      <c r="D1575" s="353">
        <v>4.9099999999999998E-2</v>
      </c>
      <c r="E1575" s="353">
        <v>4.7774999999999998E-2</v>
      </c>
      <c r="F1575" s="354">
        <v>4.4174999999999999E-2</v>
      </c>
    </row>
    <row r="1576" spans="1:6" ht="12" thickBot="1">
      <c r="A1576" s="352">
        <v>39434</v>
      </c>
      <c r="B1576" s="353">
        <v>4.9487499999999997E-2</v>
      </c>
      <c r="C1576" s="353">
        <v>4.9381300000000003E-2</v>
      </c>
      <c r="D1576" s="353">
        <v>4.9262500000000001E-2</v>
      </c>
      <c r="E1576" s="353">
        <v>4.8250000000000001E-2</v>
      </c>
      <c r="F1576" s="354">
        <v>4.4718800000000003E-2</v>
      </c>
    </row>
    <row r="1577" spans="1:6" ht="12" thickBot="1">
      <c r="A1577" s="352">
        <v>39433</v>
      </c>
      <c r="B1577" s="353">
        <v>4.965E-2</v>
      </c>
      <c r="C1577" s="353">
        <v>4.9549999999999997E-2</v>
      </c>
      <c r="D1577" s="353">
        <v>4.9412499999999998E-2</v>
      </c>
      <c r="E1577" s="353">
        <v>4.8487500000000003E-2</v>
      </c>
      <c r="F1577" s="354">
        <v>4.5187499999999999E-2</v>
      </c>
    </row>
    <row r="1578" spans="1:6" ht="12" thickBot="1">
      <c r="A1578" s="352">
        <v>39430</v>
      </c>
      <c r="B1578" s="353">
        <v>4.99625E-2</v>
      </c>
      <c r="C1578" s="353">
        <v>4.9825000000000001E-2</v>
      </c>
      <c r="D1578" s="353">
        <v>4.9662499999999998E-2</v>
      </c>
      <c r="E1578" s="353">
        <v>4.8487500000000003E-2</v>
      </c>
      <c r="F1578" s="354">
        <v>4.4912500000000001E-2</v>
      </c>
    </row>
    <row r="1579" spans="1:6" ht="12" thickBot="1">
      <c r="A1579" s="352">
        <v>39429</v>
      </c>
      <c r="B1579" s="353">
        <v>5.0275E-2</v>
      </c>
      <c r="C1579" s="353">
        <v>5.0099999999999999E-2</v>
      </c>
      <c r="D1579" s="353">
        <v>4.9906300000000001E-2</v>
      </c>
      <c r="E1579" s="353">
        <v>4.8287499999999997E-2</v>
      </c>
      <c r="F1579" s="354">
        <v>4.4387500000000003E-2</v>
      </c>
    </row>
    <row r="1580" spans="1:6" ht="12" thickBot="1">
      <c r="A1580" s="352">
        <v>39428</v>
      </c>
      <c r="B1580" s="353">
        <v>5.1025000000000001E-2</v>
      </c>
      <c r="C1580" s="353">
        <v>5.0849999999999999E-2</v>
      </c>
      <c r="D1580" s="353">
        <v>5.0575000000000002E-2</v>
      </c>
      <c r="E1580" s="353">
        <v>4.9287499999999998E-2</v>
      </c>
      <c r="F1580" s="354">
        <v>4.5018799999999998E-2</v>
      </c>
    </row>
    <row r="1581" spans="1:6" ht="12" thickBot="1">
      <c r="A1581" s="352">
        <v>39427</v>
      </c>
      <c r="B1581" s="353">
        <v>5.20375E-2</v>
      </c>
      <c r="C1581" s="353">
        <v>5.1343800000000002E-2</v>
      </c>
      <c r="D1581" s="353">
        <v>5.1112499999999998E-2</v>
      </c>
      <c r="E1581" s="353">
        <v>4.9562500000000002E-2</v>
      </c>
      <c r="F1581" s="354">
        <v>4.54875E-2</v>
      </c>
    </row>
    <row r="1582" spans="1:6" ht="12" thickBot="1">
      <c r="A1582" s="352">
        <v>39426</v>
      </c>
      <c r="B1582" s="353">
        <v>5.2318799999999999E-2</v>
      </c>
      <c r="C1582" s="353">
        <v>5.1549999999999999E-2</v>
      </c>
      <c r="D1582" s="353">
        <v>5.1325000000000003E-2</v>
      </c>
      <c r="E1582" s="353">
        <v>4.9674999999999997E-2</v>
      </c>
      <c r="F1582" s="354">
        <v>4.5525000000000003E-2</v>
      </c>
    </row>
    <row r="1583" spans="1:6" ht="12" thickBot="1">
      <c r="A1583" s="352">
        <v>39423</v>
      </c>
      <c r="B1583" s="353">
        <v>5.2374999999999998E-2</v>
      </c>
      <c r="C1583" s="353">
        <v>5.16E-2</v>
      </c>
      <c r="D1583" s="353">
        <v>5.1406300000000002E-2</v>
      </c>
      <c r="E1583" s="353">
        <v>4.9318800000000003E-2</v>
      </c>
      <c r="F1583" s="354">
        <v>4.4887499999999997E-2</v>
      </c>
    </row>
    <row r="1584" spans="1:6" ht="12" thickBot="1">
      <c r="A1584" s="352">
        <v>39422</v>
      </c>
      <c r="B1584" s="353">
        <v>5.2400000000000002E-2</v>
      </c>
      <c r="C1584" s="353">
        <v>5.1700000000000003E-2</v>
      </c>
      <c r="D1584" s="353">
        <v>5.1499999999999997E-2</v>
      </c>
      <c r="E1584" s="353">
        <v>4.9000000000000002E-2</v>
      </c>
      <c r="F1584" s="354">
        <v>4.4400000000000002E-2</v>
      </c>
    </row>
    <row r="1585" spans="1:6" ht="12" thickBot="1">
      <c r="A1585" s="352">
        <v>39421</v>
      </c>
      <c r="B1585" s="353">
        <v>5.2499999999999998E-2</v>
      </c>
      <c r="C1585" s="353">
        <v>5.1725E-2</v>
      </c>
      <c r="D1585" s="353">
        <v>5.1506299999999998E-2</v>
      </c>
      <c r="E1585" s="353">
        <v>4.9037499999999998E-2</v>
      </c>
      <c r="F1585" s="354">
        <v>4.4325000000000003E-2</v>
      </c>
    </row>
    <row r="1586" spans="1:6" ht="12" thickBot="1">
      <c r="A1586" s="352">
        <v>39420</v>
      </c>
      <c r="B1586" s="353">
        <v>5.2518799999999997E-2</v>
      </c>
      <c r="C1586" s="353">
        <v>5.1700000000000003E-2</v>
      </c>
      <c r="D1586" s="353">
        <v>5.1499999999999997E-2</v>
      </c>
      <c r="E1586" s="353">
        <v>4.9087499999999999E-2</v>
      </c>
      <c r="F1586" s="354">
        <v>4.4231300000000001E-2</v>
      </c>
    </row>
    <row r="1587" spans="1:6" ht="12" thickBot="1">
      <c r="A1587" s="352">
        <v>39419</v>
      </c>
      <c r="B1587" s="353">
        <v>5.2456299999999997E-2</v>
      </c>
      <c r="C1587" s="353">
        <v>5.16E-2</v>
      </c>
      <c r="D1587" s="353">
        <v>5.1406300000000002E-2</v>
      </c>
      <c r="E1587" s="353">
        <v>4.8956300000000001E-2</v>
      </c>
      <c r="F1587" s="354">
        <v>4.4338799999999998E-2</v>
      </c>
    </row>
    <row r="1588" spans="1:6" ht="12" thickBot="1">
      <c r="A1588" s="352">
        <v>39416</v>
      </c>
      <c r="B1588" s="353">
        <v>5.2362499999999999E-2</v>
      </c>
      <c r="C1588" s="353">
        <v>5.1499999999999997E-2</v>
      </c>
      <c r="D1588" s="353">
        <v>5.1312499999999997E-2</v>
      </c>
      <c r="E1588" s="353">
        <v>4.9099999999999998E-2</v>
      </c>
      <c r="F1588" s="354">
        <v>4.4574999999999997E-2</v>
      </c>
    </row>
    <row r="1589" spans="1:6" ht="12" thickBot="1">
      <c r="A1589" s="352">
        <v>39415</v>
      </c>
      <c r="B1589" s="353">
        <v>5.2249999999999998E-2</v>
      </c>
      <c r="C1589" s="353">
        <v>5.1374999999999997E-2</v>
      </c>
      <c r="D1589" s="353">
        <v>5.1237499999999998E-2</v>
      </c>
      <c r="E1589" s="353">
        <v>4.9125000000000002E-2</v>
      </c>
      <c r="F1589" s="354">
        <v>4.4887499999999997E-2</v>
      </c>
    </row>
    <row r="1590" spans="1:6" ht="12" thickBot="1">
      <c r="A1590" s="352">
        <v>39414</v>
      </c>
      <c r="B1590" s="353">
        <v>4.8218799999999999E-2</v>
      </c>
      <c r="C1590" s="353">
        <v>5.08563E-2</v>
      </c>
      <c r="D1590" s="353">
        <v>5.0812499999999997E-2</v>
      </c>
      <c r="E1590" s="353">
        <v>4.9062500000000002E-2</v>
      </c>
      <c r="F1590" s="354">
        <v>4.4881299999999999E-2</v>
      </c>
    </row>
    <row r="1591" spans="1:6" ht="12" thickBot="1">
      <c r="A1591" s="352">
        <v>39413</v>
      </c>
      <c r="B1591" s="353">
        <v>4.8087499999999998E-2</v>
      </c>
      <c r="C1591" s="353">
        <v>5.0674999999999998E-2</v>
      </c>
      <c r="D1591" s="353">
        <v>5.0618799999999999E-2</v>
      </c>
      <c r="E1591" s="353">
        <v>4.8625000000000002E-2</v>
      </c>
      <c r="F1591" s="354">
        <v>4.3987499999999999E-2</v>
      </c>
    </row>
    <row r="1592" spans="1:6" ht="12" thickBot="1">
      <c r="A1592" s="352">
        <v>39412</v>
      </c>
      <c r="B1592" s="353">
        <v>4.8000000000000001E-2</v>
      </c>
      <c r="C1592" s="353">
        <v>5.0568799999999997E-2</v>
      </c>
      <c r="D1592" s="353">
        <v>5.0531300000000001E-2</v>
      </c>
      <c r="E1592" s="353">
        <v>4.8937500000000002E-2</v>
      </c>
      <c r="F1592" s="354">
        <v>4.48063E-2</v>
      </c>
    </row>
    <row r="1593" spans="1:6" ht="12" thickBot="1">
      <c r="A1593" s="352">
        <v>39409</v>
      </c>
      <c r="B1593" s="353">
        <v>4.7931300000000003E-2</v>
      </c>
      <c r="C1593" s="353">
        <v>5.0468800000000001E-2</v>
      </c>
      <c r="D1593" s="353">
        <v>5.04E-2</v>
      </c>
      <c r="E1593" s="353">
        <v>4.8562500000000001E-2</v>
      </c>
      <c r="F1593" s="354">
        <v>4.4400000000000002E-2</v>
      </c>
    </row>
    <row r="1594" spans="1:6" ht="12" thickBot="1">
      <c r="A1594" s="352">
        <v>39408</v>
      </c>
      <c r="B1594" s="353">
        <v>4.78875E-2</v>
      </c>
      <c r="C1594" s="353">
        <v>5.0349999999999999E-2</v>
      </c>
      <c r="D1594" s="353">
        <v>5.0299999999999997E-2</v>
      </c>
      <c r="E1594" s="353">
        <v>4.8550000000000003E-2</v>
      </c>
      <c r="F1594" s="354">
        <v>4.4487499999999999E-2</v>
      </c>
    </row>
    <row r="1595" spans="1:6" ht="12" thickBot="1">
      <c r="A1595" s="352">
        <v>39407</v>
      </c>
      <c r="B1595" s="353">
        <v>4.78313E-2</v>
      </c>
      <c r="C1595" s="353">
        <v>5.0174999999999997E-2</v>
      </c>
      <c r="D1595" s="353">
        <v>5.015E-2</v>
      </c>
      <c r="E1595" s="353">
        <v>4.8524999999999999E-2</v>
      </c>
      <c r="F1595" s="354">
        <v>4.4725000000000001E-2</v>
      </c>
    </row>
    <row r="1596" spans="1:6" ht="12" thickBot="1">
      <c r="A1596" s="352">
        <v>39406</v>
      </c>
      <c r="B1596" s="353">
        <v>4.7800000000000002E-2</v>
      </c>
      <c r="C1596" s="353">
        <v>5.0018800000000002E-2</v>
      </c>
      <c r="D1596" s="353">
        <v>0.05</v>
      </c>
      <c r="E1596" s="353">
        <v>4.8562500000000001E-2</v>
      </c>
      <c r="F1596" s="354">
        <v>4.5100000000000001E-2</v>
      </c>
    </row>
    <row r="1597" spans="1:6" ht="12" thickBot="1">
      <c r="A1597" s="352">
        <v>39405</v>
      </c>
      <c r="B1597" s="353">
        <v>4.7675000000000002E-2</v>
      </c>
      <c r="C1597" s="353">
        <v>4.9843800000000001E-2</v>
      </c>
      <c r="D1597" s="353">
        <v>4.9818800000000003E-2</v>
      </c>
      <c r="E1597" s="353">
        <v>4.845E-2</v>
      </c>
      <c r="F1597" s="354">
        <v>4.5025000000000003E-2</v>
      </c>
    </row>
    <row r="1598" spans="1:6" ht="12" thickBot="1">
      <c r="A1598" s="352">
        <v>39402</v>
      </c>
      <c r="B1598" s="353">
        <v>4.7399999999999998E-2</v>
      </c>
      <c r="C1598" s="353">
        <v>4.9474999999999998E-2</v>
      </c>
      <c r="D1598" s="353">
        <v>4.9487499999999997E-2</v>
      </c>
      <c r="E1598" s="353">
        <v>4.8087499999999998E-2</v>
      </c>
      <c r="F1598" s="354">
        <v>4.4662500000000001E-2</v>
      </c>
    </row>
    <row r="1599" spans="1:6" ht="12" thickBot="1">
      <c r="A1599" s="352">
        <v>39401</v>
      </c>
      <c r="B1599" s="353">
        <v>4.6862500000000001E-2</v>
      </c>
      <c r="C1599" s="353">
        <v>4.9068800000000003E-2</v>
      </c>
      <c r="D1599" s="353">
        <v>4.9050000000000003E-2</v>
      </c>
      <c r="E1599" s="353">
        <v>4.7912499999999997E-2</v>
      </c>
      <c r="F1599" s="354">
        <v>4.5137499999999997E-2</v>
      </c>
    </row>
    <row r="1600" spans="1:6" ht="12" thickBot="1">
      <c r="A1600" s="352">
        <v>39400</v>
      </c>
      <c r="B1600" s="353">
        <v>4.6581299999999999E-2</v>
      </c>
      <c r="C1600" s="353">
        <v>4.8800000000000003E-2</v>
      </c>
      <c r="D1600" s="353">
        <v>4.8774999999999999E-2</v>
      </c>
      <c r="E1600" s="353">
        <v>4.7750000000000001E-2</v>
      </c>
      <c r="F1600" s="354">
        <v>4.53E-2</v>
      </c>
    </row>
    <row r="1601" spans="1:6" ht="12" thickBot="1">
      <c r="A1601" s="352">
        <v>39399</v>
      </c>
      <c r="B1601" s="353">
        <v>4.6518799999999999E-2</v>
      </c>
      <c r="C1601" s="353">
        <v>4.87188E-2</v>
      </c>
      <c r="D1601" s="353">
        <v>4.8687500000000002E-2</v>
      </c>
      <c r="E1601" s="353">
        <v>4.7375E-2</v>
      </c>
      <c r="F1601" s="354">
        <v>4.4600000000000001E-2</v>
      </c>
    </row>
    <row r="1602" spans="1:6" ht="12" thickBot="1">
      <c r="A1602" s="352">
        <v>39395</v>
      </c>
      <c r="B1602" s="353">
        <v>4.6593799999999998E-2</v>
      </c>
      <c r="C1602" s="353">
        <v>4.8812500000000002E-2</v>
      </c>
      <c r="D1602" s="353">
        <v>4.8793799999999998E-2</v>
      </c>
      <c r="E1602" s="353">
        <v>4.7625000000000001E-2</v>
      </c>
      <c r="F1602" s="354">
        <v>4.5106300000000002E-2</v>
      </c>
    </row>
    <row r="1603" spans="1:6" ht="12" thickBot="1">
      <c r="A1603" s="352">
        <v>39394</v>
      </c>
      <c r="B1603" s="353">
        <v>4.6600000000000003E-2</v>
      </c>
      <c r="C1603" s="353">
        <v>4.8893800000000001E-2</v>
      </c>
      <c r="D1603" s="353">
        <v>4.8868799999999997E-2</v>
      </c>
      <c r="E1603" s="353">
        <v>4.8031299999999999E-2</v>
      </c>
      <c r="F1603" s="354">
        <v>4.5837500000000003E-2</v>
      </c>
    </row>
    <row r="1604" spans="1:6" ht="12" thickBot="1">
      <c r="A1604" s="352">
        <v>39393</v>
      </c>
      <c r="B1604" s="353">
        <v>4.6649999999999997E-2</v>
      </c>
      <c r="C1604" s="353">
        <v>4.8993799999999997E-2</v>
      </c>
      <c r="D1604" s="353">
        <v>4.8962499999999999E-2</v>
      </c>
      <c r="E1604" s="353">
        <v>4.83875E-2</v>
      </c>
      <c r="F1604" s="354">
        <v>4.6350000000000002E-2</v>
      </c>
    </row>
    <row r="1605" spans="1:6" ht="12" thickBot="1">
      <c r="A1605" s="352">
        <v>39392</v>
      </c>
      <c r="B1605" s="353">
        <v>4.6668800000000003E-2</v>
      </c>
      <c r="C1605" s="353">
        <v>4.8987500000000003E-2</v>
      </c>
      <c r="D1605" s="353">
        <v>4.8974999999999998E-2</v>
      </c>
      <c r="E1605" s="353">
        <v>4.8524999999999999E-2</v>
      </c>
      <c r="F1605" s="354">
        <v>4.6581299999999999E-2</v>
      </c>
    </row>
    <row r="1606" spans="1:6" ht="12" thickBot="1">
      <c r="A1606" s="352">
        <v>39388</v>
      </c>
      <c r="B1606" s="353">
        <v>4.6774999999999997E-2</v>
      </c>
      <c r="C1606" s="353">
        <v>4.8693800000000002E-2</v>
      </c>
      <c r="D1606" s="353">
        <v>4.8649999999999999E-2</v>
      </c>
      <c r="E1606" s="353">
        <v>4.7937500000000001E-2</v>
      </c>
      <c r="F1606" s="354">
        <v>4.6206299999999999E-2</v>
      </c>
    </row>
    <row r="1607" spans="1:6" ht="12" thickBot="1">
      <c r="A1607" s="352">
        <v>39387</v>
      </c>
      <c r="B1607" s="353">
        <v>4.6875E-2</v>
      </c>
      <c r="C1607" s="353">
        <v>4.8837499999999999E-2</v>
      </c>
      <c r="D1607" s="353">
        <v>4.8774999999999999E-2</v>
      </c>
      <c r="E1607" s="353">
        <v>4.8462499999999999E-2</v>
      </c>
      <c r="F1607" s="354">
        <v>4.74563E-2</v>
      </c>
    </row>
    <row r="1608" spans="1:6" ht="12" thickBot="1">
      <c r="A1608" s="352">
        <v>39386</v>
      </c>
      <c r="B1608" s="353">
        <v>4.70625E-2</v>
      </c>
      <c r="C1608" s="353">
        <v>4.8962499999999999E-2</v>
      </c>
      <c r="D1608" s="353">
        <v>4.8937500000000002E-2</v>
      </c>
      <c r="E1608" s="353">
        <v>4.8062500000000001E-2</v>
      </c>
      <c r="F1608" s="354">
        <v>4.6375E-2</v>
      </c>
    </row>
    <row r="1609" spans="1:6" ht="12" thickBot="1">
      <c r="A1609" s="352">
        <v>39385</v>
      </c>
      <c r="B1609" s="353">
        <v>4.7162500000000003E-2</v>
      </c>
      <c r="C1609" s="353">
        <v>4.9112500000000003E-2</v>
      </c>
      <c r="D1609" s="353">
        <v>4.9112500000000003E-2</v>
      </c>
      <c r="E1609" s="353">
        <v>4.8181300000000003E-2</v>
      </c>
      <c r="F1609" s="354">
        <v>4.6412500000000002E-2</v>
      </c>
    </row>
    <row r="1610" spans="1:6" ht="12" thickBot="1">
      <c r="A1610" s="352">
        <v>39384</v>
      </c>
      <c r="B1610" s="353">
        <v>4.7524999999999998E-2</v>
      </c>
      <c r="C1610" s="353">
        <v>4.8024999999999998E-2</v>
      </c>
      <c r="D1610" s="353">
        <v>4.9599999999999998E-2</v>
      </c>
      <c r="E1610" s="353">
        <v>4.8312500000000001E-2</v>
      </c>
      <c r="F1610" s="354">
        <v>4.6324999999999998E-2</v>
      </c>
    </row>
    <row r="1611" spans="1:6" ht="12" thickBot="1">
      <c r="A1611" s="352">
        <v>39381</v>
      </c>
      <c r="B1611" s="353">
        <v>4.7925000000000002E-2</v>
      </c>
      <c r="C1611" s="353">
        <v>4.8474999999999997E-2</v>
      </c>
      <c r="D1611" s="353">
        <v>4.98375E-2</v>
      </c>
      <c r="E1611" s="353">
        <v>4.8318800000000002E-2</v>
      </c>
      <c r="F1611" s="354">
        <v>4.6268799999999999E-2</v>
      </c>
    </row>
    <row r="1612" spans="1:6" ht="12" thickBot="1">
      <c r="A1612" s="352">
        <v>39380</v>
      </c>
      <c r="B1612" s="353">
        <v>4.8187500000000001E-2</v>
      </c>
      <c r="C1612" s="353">
        <v>4.8875000000000002E-2</v>
      </c>
      <c r="D1612" s="353">
        <v>5.0106299999999999E-2</v>
      </c>
      <c r="E1612" s="353">
        <v>4.8356299999999998E-2</v>
      </c>
      <c r="F1612" s="354">
        <v>4.6175000000000001E-2</v>
      </c>
    </row>
    <row r="1613" spans="1:6" ht="12" thickBot="1">
      <c r="A1613" s="352">
        <v>39379</v>
      </c>
      <c r="B1613" s="353">
        <v>4.8562500000000001E-2</v>
      </c>
      <c r="C1613" s="353">
        <v>4.9474999999999998E-2</v>
      </c>
      <c r="D1613" s="353">
        <v>5.0650000000000001E-2</v>
      </c>
      <c r="E1613" s="353">
        <v>4.9000000000000002E-2</v>
      </c>
      <c r="F1613" s="354">
        <v>4.6862500000000001E-2</v>
      </c>
    </row>
    <row r="1614" spans="1:6" ht="12" thickBot="1">
      <c r="A1614" s="352">
        <v>39378</v>
      </c>
      <c r="B1614" s="353">
        <v>4.8724999999999997E-2</v>
      </c>
      <c r="C1614" s="353">
        <v>4.965E-2</v>
      </c>
      <c r="D1614" s="353">
        <v>5.0837500000000001E-2</v>
      </c>
      <c r="E1614" s="353">
        <v>4.9387500000000001E-2</v>
      </c>
      <c r="F1614" s="354">
        <v>4.7550000000000002E-2</v>
      </c>
    </row>
    <row r="1615" spans="1:6" ht="12" thickBot="1">
      <c r="A1615" s="352">
        <v>39377</v>
      </c>
      <c r="B1615" s="353">
        <v>4.8925000000000003E-2</v>
      </c>
      <c r="C1615" s="353">
        <v>4.9912499999999999E-2</v>
      </c>
      <c r="D1615" s="353">
        <v>5.0924999999999998E-2</v>
      </c>
      <c r="E1615" s="353">
        <v>4.9250000000000002E-2</v>
      </c>
      <c r="F1615" s="354">
        <v>4.7106299999999997E-2</v>
      </c>
    </row>
    <row r="1616" spans="1:6" ht="12" thickBot="1">
      <c r="A1616" s="352">
        <v>39374</v>
      </c>
      <c r="B1616" s="353">
        <v>4.9500000000000002E-2</v>
      </c>
      <c r="C1616" s="353">
        <v>5.04625E-2</v>
      </c>
      <c r="D1616" s="353">
        <v>5.1512500000000003E-2</v>
      </c>
      <c r="E1616" s="353">
        <v>5.0056299999999998E-2</v>
      </c>
      <c r="F1616" s="354">
        <v>4.8149999999999998E-2</v>
      </c>
    </row>
    <row r="1617" spans="1:6" ht="12" thickBot="1">
      <c r="A1617" s="352">
        <v>39373</v>
      </c>
      <c r="B1617" s="353">
        <v>4.9974999999999999E-2</v>
      </c>
      <c r="C1617" s="353">
        <v>5.0799999999999998E-2</v>
      </c>
      <c r="D1617" s="353">
        <v>5.1799999999999999E-2</v>
      </c>
      <c r="E1617" s="353">
        <v>5.0787499999999999E-2</v>
      </c>
      <c r="F1617" s="354">
        <v>4.8987500000000003E-2</v>
      </c>
    </row>
    <row r="1618" spans="1:6" ht="12" thickBot="1">
      <c r="A1618" s="352">
        <v>39372</v>
      </c>
      <c r="B1618" s="353">
        <v>5.02125E-2</v>
      </c>
      <c r="C1618" s="353">
        <v>5.0974999999999999E-2</v>
      </c>
      <c r="D1618" s="353">
        <v>5.1987499999999999E-2</v>
      </c>
      <c r="E1618" s="353">
        <v>5.1062499999999997E-2</v>
      </c>
      <c r="F1618" s="354">
        <v>4.9637500000000001E-2</v>
      </c>
    </row>
    <row r="1619" spans="1:6" ht="12" thickBot="1">
      <c r="A1619" s="352">
        <v>39371</v>
      </c>
      <c r="B1619" s="353">
        <v>5.0349999999999999E-2</v>
      </c>
      <c r="C1619" s="353">
        <v>5.1075000000000002E-2</v>
      </c>
      <c r="D1619" s="353">
        <v>5.2087500000000002E-2</v>
      </c>
      <c r="E1619" s="353">
        <v>5.1337500000000001E-2</v>
      </c>
      <c r="F1619" s="354">
        <v>5.0153099999999999E-2</v>
      </c>
    </row>
    <row r="1620" spans="1:6" ht="12" thickBot="1">
      <c r="A1620" s="352">
        <v>39367</v>
      </c>
      <c r="B1620" s="353">
        <v>5.0599999999999999E-2</v>
      </c>
      <c r="C1620" s="353">
        <v>5.1337500000000001E-2</v>
      </c>
      <c r="D1620" s="353">
        <v>5.2237499999999999E-2</v>
      </c>
      <c r="E1620" s="353">
        <v>5.1374999999999997E-2</v>
      </c>
      <c r="F1620" s="354">
        <v>4.9950000000000001E-2</v>
      </c>
    </row>
    <row r="1621" spans="1:6" ht="12" thickBot="1">
      <c r="A1621" s="352">
        <v>39366</v>
      </c>
      <c r="B1621" s="353">
        <v>5.0912499999999999E-2</v>
      </c>
      <c r="C1621" s="353">
        <v>5.1549999999999999E-2</v>
      </c>
      <c r="D1621" s="353">
        <v>5.2424999999999999E-2</v>
      </c>
      <c r="E1621" s="353">
        <v>5.2049999999999999E-2</v>
      </c>
      <c r="F1621" s="354">
        <v>5.0687500000000003E-2</v>
      </c>
    </row>
    <row r="1622" spans="1:6" ht="12" thickBot="1">
      <c r="A1622" s="352">
        <v>39365</v>
      </c>
      <c r="B1622" s="353">
        <v>5.11E-2</v>
      </c>
      <c r="C1622" s="353">
        <v>5.1612499999999999E-2</v>
      </c>
      <c r="D1622" s="353">
        <v>5.2475000000000001E-2</v>
      </c>
      <c r="E1622" s="353">
        <v>5.2212500000000002E-2</v>
      </c>
      <c r="F1622" s="354">
        <v>5.0887500000000002E-2</v>
      </c>
    </row>
    <row r="1623" spans="1:6" ht="12" thickBot="1">
      <c r="A1623" s="352">
        <v>39364</v>
      </c>
      <c r="B1623" s="353">
        <v>5.11625E-2</v>
      </c>
      <c r="C1623" s="353">
        <v>5.1643799999999997E-2</v>
      </c>
      <c r="D1623" s="353">
        <v>5.2487499999999999E-2</v>
      </c>
      <c r="E1623" s="353">
        <v>5.2124999999999998E-2</v>
      </c>
      <c r="F1623" s="354">
        <v>5.0612499999999998E-2</v>
      </c>
    </row>
    <row r="1624" spans="1:6" ht="12" thickBot="1">
      <c r="A1624" s="352">
        <v>39363</v>
      </c>
      <c r="B1624" s="353">
        <v>5.1200000000000002E-2</v>
      </c>
      <c r="C1624" s="353">
        <v>5.1668800000000001E-2</v>
      </c>
      <c r="D1624" s="353">
        <v>5.2531300000000003E-2</v>
      </c>
      <c r="E1624" s="353">
        <v>5.2174999999999999E-2</v>
      </c>
      <c r="F1624" s="354">
        <v>5.0724999999999999E-2</v>
      </c>
    </row>
    <row r="1625" spans="1:6" ht="12" thickBot="1">
      <c r="A1625" s="352">
        <v>39360</v>
      </c>
      <c r="B1625" s="353">
        <v>5.1218800000000002E-2</v>
      </c>
      <c r="C1625" s="353">
        <v>5.1656300000000002E-2</v>
      </c>
      <c r="D1625" s="353">
        <v>5.24313E-2</v>
      </c>
      <c r="E1625" s="353">
        <v>5.1749999999999997E-2</v>
      </c>
      <c r="F1625" s="354">
        <v>4.9875000000000003E-2</v>
      </c>
    </row>
    <row r="1626" spans="1:6" ht="12" thickBot="1">
      <c r="A1626" s="352">
        <v>39359</v>
      </c>
      <c r="B1626" s="353">
        <v>5.1249999999999997E-2</v>
      </c>
      <c r="C1626" s="353">
        <v>5.1674999999999999E-2</v>
      </c>
      <c r="D1626" s="353">
        <v>5.2437499999999998E-2</v>
      </c>
      <c r="E1626" s="353">
        <v>5.1781300000000002E-2</v>
      </c>
      <c r="F1626" s="354">
        <v>4.9950000000000001E-2</v>
      </c>
    </row>
    <row r="1627" spans="1:6" ht="12" thickBot="1">
      <c r="A1627" s="352">
        <v>39358</v>
      </c>
      <c r="B1627" s="353">
        <v>5.1249999999999997E-2</v>
      </c>
      <c r="C1627" s="353">
        <v>5.1687499999999997E-2</v>
      </c>
      <c r="D1627" s="353">
        <v>5.2437499999999998E-2</v>
      </c>
      <c r="E1627" s="353">
        <v>5.16625E-2</v>
      </c>
      <c r="F1627" s="354">
        <v>4.9543799999999999E-2</v>
      </c>
    </row>
    <row r="1628" spans="1:6" ht="12" thickBot="1">
      <c r="A1628" s="352">
        <v>39357</v>
      </c>
      <c r="B1628" s="353">
        <v>5.1262500000000003E-2</v>
      </c>
      <c r="C1628" s="353">
        <v>5.1693799999999998E-2</v>
      </c>
      <c r="D1628" s="353">
        <v>5.2400000000000002E-2</v>
      </c>
      <c r="E1628" s="353">
        <v>5.1624999999999997E-2</v>
      </c>
      <c r="F1628" s="354">
        <v>4.9756300000000003E-2</v>
      </c>
    </row>
    <row r="1629" spans="1:6" ht="12" thickBot="1">
      <c r="A1629" s="352">
        <v>39356</v>
      </c>
      <c r="B1629" s="353">
        <v>5.1206300000000003E-2</v>
      </c>
      <c r="C1629" s="353">
        <v>5.16625E-2</v>
      </c>
      <c r="D1629" s="353">
        <v>5.2299999999999999E-2</v>
      </c>
      <c r="E1629" s="353">
        <v>5.1462500000000001E-2</v>
      </c>
      <c r="F1629" s="354">
        <v>4.9349999999999998E-2</v>
      </c>
    </row>
    <row r="1630" spans="1:6" ht="12" thickBot="1">
      <c r="A1630" s="352">
        <v>39353</v>
      </c>
      <c r="B1630" s="353">
        <v>5.1237499999999998E-2</v>
      </c>
      <c r="C1630" s="353">
        <v>5.16625E-2</v>
      </c>
      <c r="D1630" s="353">
        <v>5.2287500000000001E-2</v>
      </c>
      <c r="E1630" s="353">
        <v>5.1325000000000003E-2</v>
      </c>
      <c r="F1630" s="354">
        <v>4.9012500000000001E-2</v>
      </c>
    </row>
    <row r="1631" spans="1:6" ht="12" thickBot="1">
      <c r="A1631" s="352">
        <v>39352</v>
      </c>
      <c r="B1631" s="353">
        <v>5.1275000000000001E-2</v>
      </c>
      <c r="C1631" s="353">
        <v>5.1687499999999997E-2</v>
      </c>
      <c r="D1631" s="353">
        <v>5.23063E-2</v>
      </c>
      <c r="E1631" s="353">
        <v>5.1443799999999998E-2</v>
      </c>
      <c r="F1631" s="354">
        <v>4.9349999999999998E-2</v>
      </c>
    </row>
    <row r="1632" spans="1:6" ht="12" thickBot="1">
      <c r="A1632" s="352">
        <v>39351</v>
      </c>
      <c r="B1632" s="353">
        <v>5.12875E-2</v>
      </c>
      <c r="C1632" s="353">
        <v>5.1681299999999999E-2</v>
      </c>
      <c r="D1632" s="353">
        <v>5.1981300000000001E-2</v>
      </c>
      <c r="E1632" s="353">
        <v>5.1424999999999998E-2</v>
      </c>
      <c r="F1632" s="354">
        <v>4.9299999999999997E-2</v>
      </c>
    </row>
    <row r="1633" spans="1:6" ht="12" thickBot="1">
      <c r="A1633" s="352">
        <v>39350</v>
      </c>
      <c r="B1633" s="353">
        <v>5.12875E-2</v>
      </c>
      <c r="C1633" s="353">
        <v>5.1687499999999997E-2</v>
      </c>
      <c r="D1633" s="353">
        <v>5.1999999999999998E-2</v>
      </c>
      <c r="E1633" s="353">
        <v>5.14125E-2</v>
      </c>
      <c r="F1633" s="354">
        <v>4.9274999999999999E-2</v>
      </c>
    </row>
    <row r="1634" spans="1:6" ht="12" thickBot="1">
      <c r="A1634" s="352">
        <v>39349</v>
      </c>
      <c r="B1634" s="353">
        <v>5.12875E-2</v>
      </c>
      <c r="C1634" s="353">
        <v>5.1700000000000003E-2</v>
      </c>
      <c r="D1634" s="353">
        <v>5.1999999999999998E-2</v>
      </c>
      <c r="E1634" s="353">
        <v>5.1062499999999997E-2</v>
      </c>
      <c r="F1634" s="354">
        <v>4.9106299999999999E-2</v>
      </c>
    </row>
    <row r="1635" spans="1:6" ht="12" thickBot="1">
      <c r="A1635" s="352">
        <v>39346</v>
      </c>
      <c r="B1635" s="353">
        <v>5.1312499999999997E-2</v>
      </c>
      <c r="C1635" s="353">
        <v>5.1712500000000002E-2</v>
      </c>
      <c r="D1635" s="353">
        <v>5.2025000000000002E-2</v>
      </c>
      <c r="E1635" s="353">
        <v>5.0950000000000002E-2</v>
      </c>
      <c r="F1635" s="354">
        <v>4.9037499999999998E-2</v>
      </c>
    </row>
    <row r="1636" spans="1:6" ht="12" thickBot="1">
      <c r="A1636" s="352">
        <v>39345</v>
      </c>
      <c r="B1636" s="353">
        <v>5.1362499999999998E-2</v>
      </c>
      <c r="C1636" s="353">
        <v>5.1749999999999997E-2</v>
      </c>
      <c r="D1636" s="353">
        <v>5.21E-2</v>
      </c>
      <c r="E1636" s="353">
        <v>5.0693799999999997E-2</v>
      </c>
      <c r="F1636" s="354">
        <v>4.8462499999999999E-2</v>
      </c>
    </row>
    <row r="1637" spans="1:6" ht="12" thickBot="1">
      <c r="A1637" s="352">
        <v>39344</v>
      </c>
      <c r="B1637" s="353">
        <v>5.1487499999999999E-2</v>
      </c>
      <c r="C1637" s="353">
        <v>5.1937499999999998E-2</v>
      </c>
      <c r="D1637" s="353">
        <v>5.2374999999999998E-2</v>
      </c>
      <c r="E1637" s="353">
        <v>5.11E-2</v>
      </c>
      <c r="F1637" s="354">
        <v>4.8774999999999999E-2</v>
      </c>
    </row>
    <row r="1638" spans="1:6" ht="12" thickBot="1">
      <c r="A1638" s="352">
        <v>39343</v>
      </c>
      <c r="B1638" s="353">
        <v>5.4962499999999997E-2</v>
      </c>
      <c r="C1638" s="353">
        <v>5.5537499999999997E-2</v>
      </c>
      <c r="D1638" s="353">
        <v>5.5875000000000001E-2</v>
      </c>
      <c r="E1638" s="353">
        <v>5.4199999999999998E-2</v>
      </c>
      <c r="F1638" s="354">
        <v>5.1124999999999997E-2</v>
      </c>
    </row>
    <row r="1639" spans="1:6" ht="12" thickBot="1">
      <c r="A1639" s="352">
        <v>39342</v>
      </c>
      <c r="B1639" s="353">
        <v>5.5024999999999998E-2</v>
      </c>
      <c r="C1639" s="353">
        <v>5.5649999999999998E-2</v>
      </c>
      <c r="D1639" s="353">
        <v>5.5974999999999997E-2</v>
      </c>
      <c r="E1639" s="353">
        <v>5.4199999999999998E-2</v>
      </c>
      <c r="F1639" s="354">
        <v>5.1137500000000002E-2</v>
      </c>
    </row>
    <row r="1640" spans="1:6" ht="12" thickBot="1">
      <c r="A1640" s="352">
        <v>39339</v>
      </c>
      <c r="B1640" s="353">
        <v>5.61375E-2</v>
      </c>
      <c r="C1640" s="353">
        <v>5.6312500000000001E-2</v>
      </c>
      <c r="D1640" s="353">
        <v>5.6462499999999999E-2</v>
      </c>
      <c r="E1640" s="353">
        <v>5.4574999999999999E-2</v>
      </c>
      <c r="F1640" s="354">
        <v>5.1237499999999998E-2</v>
      </c>
    </row>
    <row r="1641" spans="1:6" ht="12" thickBot="1">
      <c r="A1641" s="352">
        <v>39338</v>
      </c>
      <c r="B1641" s="353">
        <v>5.7525E-2</v>
      </c>
      <c r="C1641" s="353">
        <v>5.7168799999999999E-2</v>
      </c>
      <c r="D1641" s="353">
        <v>5.6943800000000003E-2</v>
      </c>
      <c r="E1641" s="353">
        <v>5.5093799999999998E-2</v>
      </c>
      <c r="F1641" s="354">
        <v>5.1299999999999998E-2</v>
      </c>
    </row>
    <row r="1642" spans="1:6" ht="12" thickBot="1">
      <c r="A1642" s="352">
        <v>39337</v>
      </c>
      <c r="B1642" s="353">
        <v>5.8000000000000003E-2</v>
      </c>
      <c r="C1642" s="353">
        <v>5.7325000000000001E-2</v>
      </c>
      <c r="D1642" s="353">
        <v>5.70313E-2</v>
      </c>
      <c r="E1642" s="353">
        <v>5.51875E-2</v>
      </c>
      <c r="F1642" s="354">
        <v>5.1237499999999998E-2</v>
      </c>
    </row>
    <row r="1643" spans="1:6" ht="12" thickBot="1">
      <c r="A1643" s="352">
        <v>39336</v>
      </c>
      <c r="B1643" s="353">
        <v>5.8031300000000001E-2</v>
      </c>
      <c r="C1643" s="353">
        <v>5.7331300000000002E-2</v>
      </c>
      <c r="D1643" s="353">
        <v>5.70313E-2</v>
      </c>
      <c r="E1643" s="353">
        <v>5.4887499999999999E-2</v>
      </c>
      <c r="F1643" s="354">
        <v>5.0825000000000002E-2</v>
      </c>
    </row>
    <row r="1644" spans="1:6" ht="12" thickBot="1">
      <c r="A1644" s="352">
        <v>39335</v>
      </c>
      <c r="B1644" s="353">
        <v>5.8062500000000003E-2</v>
      </c>
      <c r="C1644" s="353">
        <v>5.73375E-2</v>
      </c>
      <c r="D1644" s="353">
        <v>5.7037499999999998E-2</v>
      </c>
      <c r="E1644" s="353">
        <v>5.4787500000000003E-2</v>
      </c>
      <c r="F1644" s="354">
        <v>5.0693799999999997E-2</v>
      </c>
    </row>
    <row r="1645" spans="1:6" ht="12" thickBot="1">
      <c r="A1645" s="352">
        <v>39332</v>
      </c>
      <c r="B1645" s="353">
        <v>5.8237499999999998E-2</v>
      </c>
      <c r="C1645" s="353">
        <v>5.7537499999999998E-2</v>
      </c>
      <c r="D1645" s="353">
        <v>5.7250000000000002E-2</v>
      </c>
      <c r="E1645" s="353">
        <v>5.5724999999999997E-2</v>
      </c>
      <c r="F1645" s="354">
        <v>5.2262500000000003E-2</v>
      </c>
    </row>
    <row r="1646" spans="1:6" ht="12" thickBot="1">
      <c r="A1646" s="352">
        <v>39331</v>
      </c>
      <c r="B1646" s="353">
        <v>5.8200000000000002E-2</v>
      </c>
      <c r="C1646" s="353">
        <v>5.7537499999999998E-2</v>
      </c>
      <c r="D1646" s="353">
        <v>5.7237499999999997E-2</v>
      </c>
      <c r="E1646" s="353">
        <v>5.5625000000000001E-2</v>
      </c>
      <c r="F1646" s="354">
        <v>5.2281300000000003E-2</v>
      </c>
    </row>
    <row r="1647" spans="1:6" ht="12" thickBot="1">
      <c r="A1647" s="352">
        <v>39330</v>
      </c>
      <c r="B1647" s="353">
        <v>5.8187500000000003E-2</v>
      </c>
      <c r="C1647" s="353">
        <v>5.7500000000000002E-2</v>
      </c>
      <c r="D1647" s="353">
        <v>5.7200000000000001E-2</v>
      </c>
      <c r="E1647" s="353">
        <v>5.595E-2</v>
      </c>
      <c r="F1647" s="354">
        <v>5.2824999999999997E-2</v>
      </c>
    </row>
    <row r="1648" spans="1:6" ht="12" thickBot="1">
      <c r="A1648" s="352">
        <v>39329</v>
      </c>
      <c r="B1648" s="353">
        <v>5.7974999999999999E-2</v>
      </c>
      <c r="C1648" s="353">
        <v>5.7287499999999998E-2</v>
      </c>
      <c r="D1648" s="353">
        <v>5.6981299999999999E-2</v>
      </c>
      <c r="E1648" s="353">
        <v>5.5637499999999999E-2</v>
      </c>
      <c r="F1648" s="354">
        <v>5.2525000000000002E-2</v>
      </c>
    </row>
    <row r="1649" spans="1:6" ht="12" thickBot="1">
      <c r="A1649" s="352">
        <v>39328</v>
      </c>
      <c r="B1649" s="353">
        <v>5.765E-2</v>
      </c>
      <c r="C1649" s="353">
        <v>5.6974999999999998E-2</v>
      </c>
      <c r="D1649" s="353">
        <v>5.6687500000000002E-2</v>
      </c>
      <c r="E1649" s="353">
        <v>5.5487500000000002E-2</v>
      </c>
      <c r="F1649" s="354">
        <v>5.2600000000000001E-2</v>
      </c>
    </row>
    <row r="1650" spans="1:6" ht="12" thickBot="1">
      <c r="A1650" s="352">
        <v>39325</v>
      </c>
      <c r="B1650" s="353">
        <v>5.7200000000000001E-2</v>
      </c>
      <c r="C1650" s="353">
        <v>5.6550000000000003E-2</v>
      </c>
      <c r="D1650" s="353">
        <v>5.6212499999999999E-2</v>
      </c>
      <c r="E1650" s="353">
        <v>5.5350000000000003E-2</v>
      </c>
      <c r="F1650" s="354">
        <v>5.2749999999999998E-2</v>
      </c>
    </row>
    <row r="1651" spans="1:6" ht="12" thickBot="1">
      <c r="A1651" s="352">
        <v>39324</v>
      </c>
      <c r="B1651" s="353">
        <v>5.6649999999999999E-2</v>
      </c>
      <c r="C1651" s="353">
        <v>5.61375E-2</v>
      </c>
      <c r="D1651" s="353">
        <v>5.5800000000000002E-2</v>
      </c>
      <c r="E1651" s="353">
        <v>5.4625E-2</v>
      </c>
      <c r="F1651" s="354">
        <v>5.2075000000000003E-2</v>
      </c>
    </row>
    <row r="1652" spans="1:6" ht="12" thickBot="1">
      <c r="A1652" s="352">
        <v>39323</v>
      </c>
      <c r="B1652" s="353">
        <v>5.5649999999999998E-2</v>
      </c>
      <c r="C1652" s="353">
        <v>5.5500000000000001E-2</v>
      </c>
      <c r="D1652" s="353">
        <v>5.5412500000000003E-2</v>
      </c>
      <c r="E1652" s="353">
        <v>5.4274999999999997E-2</v>
      </c>
      <c r="F1652" s="354">
        <v>5.1799999999999999E-2</v>
      </c>
    </row>
    <row r="1653" spans="1:6" ht="12" thickBot="1">
      <c r="A1653" s="352">
        <v>39322</v>
      </c>
      <c r="B1653" s="353">
        <v>5.5074999999999999E-2</v>
      </c>
      <c r="C1653" s="353">
        <v>5.5093799999999998E-2</v>
      </c>
      <c r="D1653" s="353">
        <v>5.5100000000000003E-2</v>
      </c>
      <c r="E1653" s="353">
        <v>5.4274999999999997E-2</v>
      </c>
      <c r="F1653" s="354">
        <v>5.2124999999999998E-2</v>
      </c>
    </row>
    <row r="1654" spans="1:6" ht="12" thickBot="1">
      <c r="A1654" s="352">
        <v>39321</v>
      </c>
      <c r="B1654" s="353">
        <v>5.5024999999999998E-2</v>
      </c>
      <c r="C1654" s="353">
        <v>5.5056300000000002E-2</v>
      </c>
      <c r="D1654" s="353">
        <v>5.5056300000000002E-2</v>
      </c>
      <c r="E1654" s="353">
        <v>5.4112500000000001E-2</v>
      </c>
      <c r="F1654" s="354">
        <v>5.1999999999999998E-2</v>
      </c>
    </row>
    <row r="1655" spans="1:6" ht="12" thickBot="1">
      <c r="A1655" s="352">
        <v>39317</v>
      </c>
      <c r="B1655" s="353">
        <v>5.5050000000000002E-2</v>
      </c>
      <c r="C1655" s="353">
        <v>5.50625E-2</v>
      </c>
      <c r="D1655" s="353">
        <v>5.5050000000000002E-2</v>
      </c>
      <c r="E1655" s="353">
        <v>5.43125E-2</v>
      </c>
      <c r="F1655" s="354">
        <v>5.2187499999999998E-2</v>
      </c>
    </row>
    <row r="1656" spans="1:6" ht="12" thickBot="1">
      <c r="A1656" s="352">
        <v>39316</v>
      </c>
      <c r="B1656" s="353">
        <v>5.5E-2</v>
      </c>
      <c r="C1656" s="353">
        <v>5.5E-2</v>
      </c>
      <c r="D1656" s="353">
        <v>5.4987500000000002E-2</v>
      </c>
      <c r="E1656" s="353">
        <v>5.3731300000000003E-2</v>
      </c>
      <c r="F1656" s="354">
        <v>5.10375E-2</v>
      </c>
    </row>
    <row r="1657" spans="1:6" ht="12" thickBot="1">
      <c r="A1657" s="352">
        <v>39315</v>
      </c>
      <c r="B1657" s="353">
        <v>5.5E-2</v>
      </c>
      <c r="C1657" s="353">
        <v>5.4975000000000003E-2</v>
      </c>
      <c r="D1657" s="353">
        <v>5.4943800000000001E-2</v>
      </c>
      <c r="E1657" s="353">
        <v>5.3287500000000002E-2</v>
      </c>
      <c r="F1657" s="354">
        <v>5.0450000000000002E-2</v>
      </c>
    </row>
    <row r="1658" spans="1:6" ht="12" thickBot="1">
      <c r="A1658" s="352">
        <v>39314</v>
      </c>
      <c r="B1658" s="353">
        <v>5.5012499999999999E-2</v>
      </c>
      <c r="C1658" s="353">
        <v>5.4975000000000003E-2</v>
      </c>
      <c r="D1658" s="353">
        <v>5.4949999999999999E-2</v>
      </c>
      <c r="E1658" s="353">
        <v>5.3475000000000002E-2</v>
      </c>
      <c r="F1658" s="354">
        <v>5.0775000000000001E-2</v>
      </c>
    </row>
    <row r="1659" spans="1:6" ht="12" thickBot="1">
      <c r="A1659" s="352">
        <v>39311</v>
      </c>
      <c r="B1659" s="353">
        <v>5.5100000000000003E-2</v>
      </c>
      <c r="C1659" s="353">
        <v>5.50625E-2</v>
      </c>
      <c r="D1659" s="353">
        <v>5.5E-2</v>
      </c>
      <c r="E1659" s="353">
        <v>5.355E-2</v>
      </c>
      <c r="F1659" s="354">
        <v>5.0737499999999998E-2</v>
      </c>
    </row>
    <row r="1660" spans="1:6" ht="12" thickBot="1">
      <c r="A1660" s="352">
        <v>39310</v>
      </c>
      <c r="B1660" s="353">
        <v>5.5375000000000001E-2</v>
      </c>
      <c r="C1660" s="353">
        <v>5.5237500000000002E-2</v>
      </c>
      <c r="D1660" s="353">
        <v>5.5100000000000003E-2</v>
      </c>
      <c r="E1660" s="353">
        <v>5.3787500000000002E-2</v>
      </c>
      <c r="F1660" s="354">
        <v>5.1618799999999999E-2</v>
      </c>
    </row>
    <row r="1661" spans="1:6" ht="12" thickBot="1">
      <c r="A1661" s="352">
        <v>39309</v>
      </c>
      <c r="B1661" s="353">
        <v>5.5693800000000002E-2</v>
      </c>
      <c r="C1661" s="353">
        <v>5.5399999999999998E-2</v>
      </c>
      <c r="D1661" s="353">
        <v>5.5199999999999999E-2</v>
      </c>
      <c r="E1661" s="353">
        <v>5.3912500000000002E-2</v>
      </c>
      <c r="F1661" s="354">
        <v>5.2087500000000002E-2</v>
      </c>
    </row>
    <row r="1662" spans="1:6" ht="12" thickBot="1">
      <c r="A1662" s="352">
        <v>39308</v>
      </c>
      <c r="B1662" s="353">
        <v>5.58875E-2</v>
      </c>
      <c r="C1662" s="353">
        <v>5.5500000000000001E-2</v>
      </c>
      <c r="D1662" s="353">
        <v>5.5300000000000002E-2</v>
      </c>
      <c r="E1662" s="353">
        <v>5.3987500000000001E-2</v>
      </c>
      <c r="F1662" s="354">
        <v>5.2424999999999999E-2</v>
      </c>
    </row>
    <row r="1663" spans="1:6" ht="12" thickBot="1">
      <c r="A1663" s="352">
        <v>39307</v>
      </c>
      <c r="B1663" s="353">
        <v>5.6112500000000003E-2</v>
      </c>
      <c r="C1663" s="353">
        <v>5.57625E-2</v>
      </c>
      <c r="D1663" s="353">
        <v>5.5574999999999999E-2</v>
      </c>
      <c r="E1663" s="353">
        <v>5.3999999999999999E-2</v>
      </c>
      <c r="F1663" s="354">
        <v>5.2362499999999999E-2</v>
      </c>
    </row>
    <row r="1664" spans="1:6" ht="12" thickBot="1">
      <c r="A1664" s="352">
        <v>39304</v>
      </c>
      <c r="B1664" s="353">
        <v>5.6187500000000001E-2</v>
      </c>
      <c r="C1664" s="353">
        <v>5.5937500000000001E-2</v>
      </c>
      <c r="D1664" s="353">
        <v>5.5750000000000001E-2</v>
      </c>
      <c r="E1664" s="353">
        <v>5.4012499999999998E-2</v>
      </c>
      <c r="F1664" s="354">
        <v>5.2312499999999998E-2</v>
      </c>
    </row>
    <row r="1665" spans="1:6" ht="12" thickBot="1">
      <c r="A1665" s="352">
        <v>39303</v>
      </c>
      <c r="B1665" s="353">
        <v>5.5412500000000003E-2</v>
      </c>
      <c r="C1665" s="353">
        <v>5.5112500000000002E-2</v>
      </c>
      <c r="D1665" s="353">
        <v>5.5E-2</v>
      </c>
      <c r="E1665" s="353">
        <v>5.3887499999999998E-2</v>
      </c>
      <c r="F1665" s="354">
        <v>5.2587500000000002E-2</v>
      </c>
    </row>
    <row r="1666" spans="1:6" ht="12" thickBot="1">
      <c r="A1666" s="352">
        <v>39302</v>
      </c>
      <c r="B1666" s="353">
        <v>5.3499999999999999E-2</v>
      </c>
      <c r="C1666" s="353">
        <v>5.3637499999999998E-2</v>
      </c>
      <c r="D1666" s="353">
        <v>5.3800000000000001E-2</v>
      </c>
      <c r="E1666" s="353">
        <v>5.3387499999999997E-2</v>
      </c>
      <c r="F1666" s="354">
        <v>5.2374999999999998E-2</v>
      </c>
    </row>
    <row r="1667" spans="1:6" ht="12" thickBot="1">
      <c r="A1667" s="352">
        <v>39301</v>
      </c>
      <c r="B1667" s="353">
        <v>5.33E-2</v>
      </c>
      <c r="C1667" s="353">
        <v>5.3462500000000003E-2</v>
      </c>
      <c r="D1667" s="353">
        <v>5.3600000000000002E-2</v>
      </c>
      <c r="E1667" s="353">
        <v>5.28E-2</v>
      </c>
      <c r="F1667" s="354">
        <v>5.1575000000000003E-2</v>
      </c>
    </row>
    <row r="1668" spans="1:6" ht="12" thickBot="1">
      <c r="A1668" s="352">
        <v>39300</v>
      </c>
      <c r="B1668" s="353">
        <v>5.33E-2</v>
      </c>
      <c r="C1668" s="353">
        <v>5.3431300000000001E-2</v>
      </c>
      <c r="D1668" s="353">
        <v>5.3562499999999999E-2</v>
      </c>
      <c r="E1668" s="353">
        <v>5.2568799999999999E-2</v>
      </c>
      <c r="F1668" s="354">
        <v>5.11625E-2</v>
      </c>
    </row>
    <row r="1669" spans="1:6" ht="12" thickBot="1">
      <c r="A1669" s="352">
        <v>39297</v>
      </c>
      <c r="B1669" s="353">
        <v>5.33E-2</v>
      </c>
      <c r="C1669" s="353">
        <v>5.3464999999999999E-2</v>
      </c>
      <c r="D1669" s="353">
        <v>5.3600000000000002E-2</v>
      </c>
      <c r="E1669" s="353">
        <v>5.3143799999999998E-2</v>
      </c>
      <c r="F1669" s="354">
        <v>5.2168800000000001E-2</v>
      </c>
    </row>
    <row r="1670" spans="1:6" ht="12" thickBot="1">
      <c r="A1670" s="352">
        <v>39296</v>
      </c>
      <c r="B1670" s="353">
        <v>5.33E-2</v>
      </c>
      <c r="C1670" s="353">
        <v>5.3462500000000003E-2</v>
      </c>
      <c r="D1670" s="353">
        <v>5.3600000000000002E-2</v>
      </c>
      <c r="E1670" s="353">
        <v>5.3181300000000001E-2</v>
      </c>
      <c r="F1670" s="354">
        <v>5.2299999999999999E-2</v>
      </c>
    </row>
    <row r="1671" spans="1:6" ht="12" thickBot="1">
      <c r="A1671" s="352">
        <v>39295</v>
      </c>
      <c r="B1671" s="353">
        <v>5.3275000000000003E-2</v>
      </c>
      <c r="C1671" s="353">
        <v>5.34438E-2</v>
      </c>
      <c r="D1671" s="353">
        <v>5.3595299999999998E-2</v>
      </c>
      <c r="E1671" s="353">
        <v>5.3006299999999999E-2</v>
      </c>
      <c r="F1671" s="354">
        <v>5.18688E-2</v>
      </c>
    </row>
    <row r="1672" spans="1:6" ht="12" thickBot="1">
      <c r="A1672" s="352">
        <v>39294</v>
      </c>
      <c r="B1672" s="353">
        <v>5.3199999999999997E-2</v>
      </c>
      <c r="C1672" s="353">
        <v>5.3400000000000003E-2</v>
      </c>
      <c r="D1672" s="353">
        <v>5.3586599999999998E-2</v>
      </c>
      <c r="E1672" s="353">
        <v>5.3268799999999998E-2</v>
      </c>
      <c r="F1672" s="354">
        <v>5.2449999999999997E-2</v>
      </c>
    </row>
    <row r="1673" spans="1:6" ht="12" thickBot="1">
      <c r="A1673" s="352">
        <v>39293</v>
      </c>
      <c r="B1673" s="353">
        <v>5.3199999999999997E-2</v>
      </c>
      <c r="C1673" s="353">
        <v>5.3400000000000003E-2</v>
      </c>
      <c r="D1673" s="353">
        <v>5.3562499999999999E-2</v>
      </c>
      <c r="E1673" s="353">
        <v>5.3124999999999999E-2</v>
      </c>
      <c r="F1673" s="354">
        <v>5.2231300000000001E-2</v>
      </c>
    </row>
    <row r="1674" spans="1:6" ht="12" thickBot="1">
      <c r="A1674" s="352">
        <v>39290</v>
      </c>
      <c r="B1674" s="353">
        <v>5.3199999999999997E-2</v>
      </c>
      <c r="C1674" s="353">
        <v>5.3400000000000003E-2</v>
      </c>
      <c r="D1674" s="353">
        <v>5.3574999999999998E-2</v>
      </c>
      <c r="E1674" s="353">
        <v>5.3268799999999998E-2</v>
      </c>
      <c r="F1674" s="354">
        <v>5.2568799999999999E-2</v>
      </c>
    </row>
    <row r="1675" spans="1:6" ht="12" thickBot="1">
      <c r="A1675" s="352">
        <v>39289</v>
      </c>
      <c r="B1675" s="353">
        <v>5.3199999999999997E-2</v>
      </c>
      <c r="C1675" s="353">
        <v>5.3400000000000003E-2</v>
      </c>
      <c r="D1675" s="353">
        <v>5.3600000000000002E-2</v>
      </c>
      <c r="E1675" s="353">
        <v>5.36938E-2</v>
      </c>
      <c r="F1675" s="354">
        <v>5.3531299999999997E-2</v>
      </c>
    </row>
    <row r="1676" spans="1:6" ht="12" thickBot="1">
      <c r="A1676" s="352">
        <v>39288</v>
      </c>
      <c r="B1676" s="353">
        <v>5.3199999999999997E-2</v>
      </c>
      <c r="C1676" s="353">
        <v>5.3400000000000003E-2</v>
      </c>
      <c r="D1676" s="353">
        <v>5.3600000000000002E-2</v>
      </c>
      <c r="E1676" s="353">
        <v>5.3703099999999997E-2</v>
      </c>
      <c r="F1676" s="354">
        <v>5.3600000000000002E-2</v>
      </c>
    </row>
    <row r="1677" spans="1:6" ht="12" thickBot="1">
      <c r="A1677" s="352">
        <v>39287</v>
      </c>
      <c r="B1677" s="353">
        <v>5.3199999999999997E-2</v>
      </c>
      <c r="C1677" s="353">
        <v>5.3400000000000003E-2</v>
      </c>
      <c r="D1677" s="353">
        <v>5.3600000000000002E-2</v>
      </c>
      <c r="E1677" s="353">
        <v>5.3740599999999999E-2</v>
      </c>
      <c r="F1677" s="354">
        <v>5.3787500000000002E-2</v>
      </c>
    </row>
    <row r="1678" spans="1:6" ht="12" thickBot="1">
      <c r="A1678" s="352">
        <v>39286</v>
      </c>
      <c r="B1678" s="353">
        <v>5.3199999999999997E-2</v>
      </c>
      <c r="C1678" s="353">
        <v>5.3400000000000003E-2</v>
      </c>
      <c r="D1678" s="353">
        <v>5.3600000000000002E-2</v>
      </c>
      <c r="E1678" s="353">
        <v>5.3699999999999998E-2</v>
      </c>
      <c r="F1678" s="354">
        <v>5.3650000000000003E-2</v>
      </c>
    </row>
    <row r="1679" spans="1:6" ht="12" thickBot="1">
      <c r="A1679" s="352">
        <v>39283</v>
      </c>
      <c r="B1679" s="353">
        <v>5.3199999999999997E-2</v>
      </c>
      <c r="C1679" s="353">
        <v>5.3400000000000003E-2</v>
      </c>
      <c r="D1679" s="353">
        <v>5.3600000000000002E-2</v>
      </c>
      <c r="E1679" s="353">
        <v>5.3811299999999999E-2</v>
      </c>
      <c r="F1679" s="354">
        <v>5.3999999999999999E-2</v>
      </c>
    </row>
    <row r="1680" spans="1:6" ht="12" thickBot="1">
      <c r="A1680" s="352">
        <v>39282</v>
      </c>
      <c r="B1680" s="353">
        <v>5.3199999999999997E-2</v>
      </c>
      <c r="C1680" s="353">
        <v>5.3400000000000003E-2</v>
      </c>
      <c r="D1680" s="353">
        <v>5.3600000000000002E-2</v>
      </c>
      <c r="E1680" s="353">
        <v>5.3843799999999997E-2</v>
      </c>
      <c r="F1680" s="354">
        <v>5.40531E-2</v>
      </c>
    </row>
    <row r="1681" spans="1:6" ht="12" thickBot="1">
      <c r="A1681" s="352">
        <v>39281</v>
      </c>
      <c r="B1681" s="353">
        <v>5.3199999999999997E-2</v>
      </c>
      <c r="C1681" s="353">
        <v>5.3400000000000003E-2</v>
      </c>
      <c r="D1681" s="353">
        <v>5.3600000000000002E-2</v>
      </c>
      <c r="E1681" s="353">
        <v>5.3824999999999998E-2</v>
      </c>
      <c r="F1681" s="354">
        <v>5.4112500000000001E-2</v>
      </c>
    </row>
    <row r="1682" spans="1:6" ht="12" thickBot="1">
      <c r="A1682" s="352">
        <v>39280</v>
      </c>
      <c r="B1682" s="353">
        <v>5.3199999999999997E-2</v>
      </c>
      <c r="C1682" s="353">
        <v>5.3400000000000003E-2</v>
      </c>
      <c r="D1682" s="353">
        <v>5.3600000000000002E-2</v>
      </c>
      <c r="E1682" s="353">
        <v>5.3868800000000001E-2</v>
      </c>
      <c r="F1682" s="354">
        <v>5.4118800000000002E-2</v>
      </c>
    </row>
    <row r="1683" spans="1:6" ht="12" thickBot="1">
      <c r="A1683" s="352">
        <v>39279</v>
      </c>
      <c r="B1683" s="353">
        <v>5.3199999999999997E-2</v>
      </c>
      <c r="C1683" s="353">
        <v>5.3400000000000003E-2</v>
      </c>
      <c r="D1683" s="353">
        <v>5.3600000000000002E-2</v>
      </c>
      <c r="E1683" s="353">
        <v>5.38656E-2</v>
      </c>
      <c r="F1683" s="354">
        <v>5.4203099999999997E-2</v>
      </c>
    </row>
    <row r="1684" spans="1:6" ht="12" thickBot="1">
      <c r="A1684" s="352">
        <v>39276</v>
      </c>
      <c r="B1684" s="353">
        <v>5.3199999999999997E-2</v>
      </c>
      <c r="C1684" s="353">
        <v>5.3400000000000003E-2</v>
      </c>
      <c r="D1684" s="353">
        <v>5.3600000000000002E-2</v>
      </c>
      <c r="E1684" s="353">
        <v>5.3874999999999999E-2</v>
      </c>
      <c r="F1684" s="354">
        <v>5.43125E-2</v>
      </c>
    </row>
    <row r="1685" spans="1:6" ht="12" thickBot="1">
      <c r="A1685" s="352">
        <v>39275</v>
      </c>
      <c r="B1685" s="353">
        <v>5.3199999999999997E-2</v>
      </c>
      <c r="C1685" s="353">
        <v>5.3400000000000003E-2</v>
      </c>
      <c r="D1685" s="353">
        <v>5.3600000000000002E-2</v>
      </c>
      <c r="E1685" s="353">
        <v>5.3859999999999998E-2</v>
      </c>
      <c r="F1685" s="354">
        <v>5.4162500000000002E-2</v>
      </c>
    </row>
    <row r="1686" spans="1:6" ht="12" thickBot="1">
      <c r="A1686" s="352">
        <v>39274</v>
      </c>
      <c r="B1686" s="353">
        <v>5.3199999999999997E-2</v>
      </c>
      <c r="C1686" s="353">
        <v>5.3400000000000003E-2</v>
      </c>
      <c r="D1686" s="353">
        <v>5.3600000000000002E-2</v>
      </c>
      <c r="E1686" s="353">
        <v>5.3800000000000001E-2</v>
      </c>
      <c r="F1686" s="354">
        <v>5.3956299999999999E-2</v>
      </c>
    </row>
    <row r="1687" spans="1:6" ht="12" thickBot="1">
      <c r="A1687" s="352">
        <v>39273</v>
      </c>
      <c r="B1687" s="353">
        <v>5.3199999999999997E-2</v>
      </c>
      <c r="C1687" s="353">
        <v>5.3400000000000003E-2</v>
      </c>
      <c r="D1687" s="353">
        <v>5.3600000000000002E-2</v>
      </c>
      <c r="E1687" s="353">
        <v>5.3946899999999999E-2</v>
      </c>
      <c r="F1687" s="354">
        <v>5.4449999999999998E-2</v>
      </c>
    </row>
    <row r="1688" spans="1:6" ht="12" thickBot="1">
      <c r="A1688" s="352">
        <v>39272</v>
      </c>
      <c r="B1688" s="353">
        <v>5.3199999999999997E-2</v>
      </c>
      <c r="C1688" s="353">
        <v>5.3400000000000003E-2</v>
      </c>
      <c r="D1688" s="353">
        <v>5.3600000000000002E-2</v>
      </c>
      <c r="E1688" s="353">
        <v>5.3962499999999997E-2</v>
      </c>
      <c r="F1688" s="354">
        <v>5.4593799999999998E-2</v>
      </c>
    </row>
    <row r="1689" spans="1:6" ht="12" thickBot="1">
      <c r="A1689" s="352">
        <v>39269</v>
      </c>
      <c r="B1689" s="353">
        <v>5.3199999999999997E-2</v>
      </c>
      <c r="C1689" s="353">
        <v>5.3400000000000003E-2</v>
      </c>
      <c r="D1689" s="353">
        <v>5.3600000000000002E-2</v>
      </c>
      <c r="E1689" s="353">
        <v>5.3906299999999997E-2</v>
      </c>
      <c r="F1689" s="354">
        <v>5.4481300000000003E-2</v>
      </c>
    </row>
    <row r="1690" spans="1:6" ht="12" thickBot="1">
      <c r="A1690" s="352">
        <v>39268</v>
      </c>
      <c r="B1690" s="353">
        <v>5.3199999999999997E-2</v>
      </c>
      <c r="C1690" s="353">
        <v>5.3400000000000003E-2</v>
      </c>
      <c r="D1690" s="353">
        <v>5.3600000000000002E-2</v>
      </c>
      <c r="E1690" s="353">
        <v>5.3862500000000001E-2</v>
      </c>
      <c r="F1690" s="354">
        <v>5.4175000000000001E-2</v>
      </c>
    </row>
    <row r="1691" spans="1:6" ht="12" thickBot="1">
      <c r="A1691" s="352">
        <v>39267</v>
      </c>
      <c r="B1691" s="353">
        <v>5.3199999999999997E-2</v>
      </c>
      <c r="C1691" s="353">
        <v>5.3400000000000003E-2</v>
      </c>
      <c r="D1691" s="353">
        <v>5.3600000000000002E-2</v>
      </c>
      <c r="E1691" s="353">
        <v>5.3806300000000001E-2</v>
      </c>
      <c r="F1691" s="354">
        <v>5.4050000000000001E-2</v>
      </c>
    </row>
    <row r="1692" spans="1:6" ht="12" thickBot="1">
      <c r="A1692" s="352">
        <v>39266</v>
      </c>
      <c r="B1692" s="353">
        <v>5.3199999999999997E-2</v>
      </c>
      <c r="C1692" s="353">
        <v>5.3400000000000003E-2</v>
      </c>
      <c r="D1692" s="353">
        <v>5.3600000000000002E-2</v>
      </c>
      <c r="E1692" s="353">
        <v>5.3800000000000001E-2</v>
      </c>
      <c r="F1692" s="354">
        <v>5.3925000000000001E-2</v>
      </c>
    </row>
    <row r="1693" spans="1:6" ht="12" thickBot="1">
      <c r="A1693" s="352">
        <v>39265</v>
      </c>
      <c r="B1693" s="353">
        <v>5.3199999999999997E-2</v>
      </c>
      <c r="C1693" s="353">
        <v>5.3400000000000003E-2</v>
      </c>
      <c r="D1693" s="353">
        <v>5.3600000000000002E-2</v>
      </c>
      <c r="E1693" s="353">
        <v>5.3800000000000001E-2</v>
      </c>
      <c r="F1693" s="354">
        <v>5.3893799999999999E-2</v>
      </c>
    </row>
    <row r="1694" spans="1:6" ht="12" thickBot="1">
      <c r="A1694" s="352">
        <v>39262</v>
      </c>
      <c r="B1694" s="353">
        <v>5.3199999999999997E-2</v>
      </c>
      <c r="C1694" s="353">
        <v>5.3400000000000003E-2</v>
      </c>
      <c r="D1694" s="353">
        <v>5.3600000000000002E-2</v>
      </c>
      <c r="E1694" s="353">
        <v>5.3862500000000001E-2</v>
      </c>
      <c r="F1694" s="354">
        <v>5.42563E-2</v>
      </c>
    </row>
    <row r="1695" spans="1:6" ht="12" thickBot="1">
      <c r="A1695" s="352">
        <v>39261</v>
      </c>
      <c r="B1695" s="353">
        <v>5.3199999999999997E-2</v>
      </c>
      <c r="C1695" s="353">
        <v>5.3400000000000003E-2</v>
      </c>
      <c r="D1695" s="353">
        <v>5.3600000000000002E-2</v>
      </c>
      <c r="E1695" s="353">
        <v>5.3800000000000001E-2</v>
      </c>
      <c r="F1695" s="354">
        <v>5.4037500000000002E-2</v>
      </c>
    </row>
    <row r="1696" spans="1:6" ht="12" thickBot="1">
      <c r="A1696" s="352">
        <v>39260</v>
      </c>
      <c r="B1696" s="353">
        <v>5.3199999999999997E-2</v>
      </c>
      <c r="C1696" s="353">
        <v>5.3400000000000003E-2</v>
      </c>
      <c r="D1696" s="353">
        <v>5.3600000000000002E-2</v>
      </c>
      <c r="E1696" s="353">
        <v>5.3749999999999999E-2</v>
      </c>
      <c r="F1696" s="354">
        <v>5.3800000000000001E-2</v>
      </c>
    </row>
    <row r="1697" spans="1:6" ht="12" thickBot="1">
      <c r="A1697" s="352">
        <v>39259</v>
      </c>
      <c r="B1697" s="353">
        <v>5.3199999999999997E-2</v>
      </c>
      <c r="C1697" s="353">
        <v>5.3400000000000003E-2</v>
      </c>
      <c r="D1697" s="353">
        <v>5.3600000000000002E-2</v>
      </c>
      <c r="E1697" s="353">
        <v>5.3749999999999999E-2</v>
      </c>
      <c r="F1697" s="354">
        <v>5.3874999999999999E-2</v>
      </c>
    </row>
    <row r="1698" spans="1:6" ht="12" thickBot="1">
      <c r="A1698" s="352">
        <v>39258</v>
      </c>
      <c r="B1698" s="353">
        <v>5.3199999999999997E-2</v>
      </c>
      <c r="C1698" s="353">
        <v>5.3400000000000003E-2</v>
      </c>
      <c r="D1698" s="353">
        <v>5.3600000000000002E-2</v>
      </c>
      <c r="E1698" s="353">
        <v>5.3762499999999998E-2</v>
      </c>
      <c r="F1698" s="354">
        <v>5.3999999999999999E-2</v>
      </c>
    </row>
    <row r="1699" spans="1:6" ht="12" thickBot="1">
      <c r="A1699" s="352">
        <v>39255</v>
      </c>
      <c r="B1699" s="353">
        <v>5.3199999999999997E-2</v>
      </c>
      <c r="C1699" s="353">
        <v>5.3400000000000003E-2</v>
      </c>
      <c r="D1699" s="353">
        <v>5.3600000000000002E-2</v>
      </c>
      <c r="E1699" s="353">
        <v>5.3900000000000003E-2</v>
      </c>
      <c r="F1699" s="354">
        <v>5.4493800000000002E-2</v>
      </c>
    </row>
    <row r="1700" spans="1:6" ht="12" thickBot="1">
      <c r="A1700" s="352">
        <v>39254</v>
      </c>
      <c r="B1700" s="353">
        <v>5.3199999999999997E-2</v>
      </c>
      <c r="C1700" s="353">
        <v>5.3400000000000003E-2</v>
      </c>
      <c r="D1700" s="353">
        <v>5.3600000000000002E-2</v>
      </c>
      <c r="E1700" s="353">
        <v>5.39344E-2</v>
      </c>
      <c r="F1700" s="354">
        <v>5.4531299999999998E-2</v>
      </c>
    </row>
    <row r="1701" spans="1:6" ht="12" thickBot="1">
      <c r="A1701" s="352">
        <v>39253</v>
      </c>
      <c r="B1701" s="353">
        <v>5.3199999999999997E-2</v>
      </c>
      <c r="C1701" s="353">
        <v>5.3400000000000003E-2</v>
      </c>
      <c r="D1701" s="353">
        <v>5.3600000000000002E-2</v>
      </c>
      <c r="E1701" s="353">
        <v>5.3931300000000001E-2</v>
      </c>
      <c r="F1701" s="354">
        <v>5.4387499999999998E-2</v>
      </c>
    </row>
    <row r="1702" spans="1:6" ht="12" thickBot="1">
      <c r="A1702" s="352">
        <v>39252</v>
      </c>
      <c r="B1702" s="353">
        <v>5.3199999999999997E-2</v>
      </c>
      <c r="C1702" s="353">
        <v>5.3400000000000003E-2</v>
      </c>
      <c r="D1702" s="353">
        <v>5.3600000000000002E-2</v>
      </c>
      <c r="E1702" s="353">
        <v>5.3981300000000003E-2</v>
      </c>
      <c r="F1702" s="354">
        <v>5.4649999999999997E-2</v>
      </c>
    </row>
    <row r="1703" spans="1:6" ht="12" thickBot="1">
      <c r="A1703" s="352">
        <v>39251</v>
      </c>
      <c r="B1703" s="353">
        <v>5.3199999999999997E-2</v>
      </c>
      <c r="C1703" s="353">
        <v>5.3400000000000003E-2</v>
      </c>
      <c r="D1703" s="353">
        <v>5.3600000000000002E-2</v>
      </c>
      <c r="E1703" s="353">
        <v>5.3999999999999999E-2</v>
      </c>
      <c r="F1703" s="354">
        <v>5.47413E-2</v>
      </c>
    </row>
    <row r="1704" spans="1:6" ht="12" thickBot="1">
      <c r="A1704" s="352">
        <v>39248</v>
      </c>
      <c r="B1704" s="353">
        <v>5.3199999999999997E-2</v>
      </c>
      <c r="C1704" s="353">
        <v>5.3400000000000003E-2</v>
      </c>
      <c r="D1704" s="353">
        <v>5.3600000000000002E-2</v>
      </c>
      <c r="E1704" s="353">
        <v>5.4081299999999999E-2</v>
      </c>
      <c r="F1704" s="354">
        <v>5.5065599999999999E-2</v>
      </c>
    </row>
    <row r="1705" spans="1:6" ht="12" thickBot="1">
      <c r="A1705" s="352">
        <v>39247</v>
      </c>
      <c r="B1705" s="353">
        <v>5.3199999999999997E-2</v>
      </c>
      <c r="C1705" s="353">
        <v>5.3400000000000003E-2</v>
      </c>
      <c r="D1705" s="353">
        <v>5.3600000000000002E-2</v>
      </c>
      <c r="E1705" s="353">
        <v>5.4050000000000001E-2</v>
      </c>
      <c r="F1705" s="354">
        <v>5.4899999999999997E-2</v>
      </c>
    </row>
    <row r="1706" spans="1:6" ht="12" thickBot="1">
      <c r="A1706" s="352">
        <v>39246</v>
      </c>
      <c r="B1706" s="353">
        <v>5.3199999999999997E-2</v>
      </c>
      <c r="C1706" s="353">
        <v>5.3400000000000003E-2</v>
      </c>
      <c r="D1706" s="353">
        <v>5.3600000000000002E-2</v>
      </c>
      <c r="E1706" s="353">
        <v>5.4090600000000003E-2</v>
      </c>
      <c r="F1706" s="354">
        <v>5.5059400000000001E-2</v>
      </c>
    </row>
    <row r="1707" spans="1:6" ht="12" thickBot="1">
      <c r="A1707" s="352">
        <v>39245</v>
      </c>
      <c r="B1707" s="353">
        <v>5.3199999999999997E-2</v>
      </c>
      <c r="C1707" s="353">
        <v>5.3400000000000003E-2</v>
      </c>
      <c r="D1707" s="353">
        <v>5.3600000000000002E-2</v>
      </c>
      <c r="E1707" s="353">
        <v>5.3999999999999999E-2</v>
      </c>
      <c r="F1707" s="354">
        <v>5.4681899999999999E-2</v>
      </c>
    </row>
    <row r="1708" spans="1:6" ht="12" thickBot="1">
      <c r="A1708" s="352">
        <v>39244</v>
      </c>
      <c r="B1708" s="353">
        <v>5.3199999999999997E-2</v>
      </c>
      <c r="C1708" s="353">
        <v>5.3400000000000003E-2</v>
      </c>
      <c r="D1708" s="353">
        <v>5.3600000000000002E-2</v>
      </c>
      <c r="E1708" s="353">
        <v>5.3978100000000001E-2</v>
      </c>
      <c r="F1708" s="354">
        <v>5.466E-2</v>
      </c>
    </row>
    <row r="1709" spans="1:6" ht="12" thickBot="1">
      <c r="A1709" s="352">
        <v>39241</v>
      </c>
      <c r="B1709" s="353">
        <v>5.3199999999999997E-2</v>
      </c>
      <c r="C1709" s="353">
        <v>5.3400000000000003E-2</v>
      </c>
      <c r="D1709" s="353">
        <v>5.3600000000000002E-2</v>
      </c>
      <c r="E1709" s="353">
        <v>5.4018799999999999E-2</v>
      </c>
      <c r="F1709" s="354">
        <v>5.4800000000000001E-2</v>
      </c>
    </row>
    <row r="1710" spans="1:6" ht="12" thickBot="1">
      <c r="A1710" s="352">
        <v>39240</v>
      </c>
      <c r="B1710" s="353">
        <v>5.3199999999999997E-2</v>
      </c>
      <c r="C1710" s="353">
        <v>5.3400000000000003E-2</v>
      </c>
      <c r="D1710" s="353">
        <v>5.3600000000000002E-2</v>
      </c>
      <c r="E1710" s="353">
        <v>5.3925000000000001E-2</v>
      </c>
      <c r="F1710" s="354">
        <v>5.4481300000000003E-2</v>
      </c>
    </row>
    <row r="1711" spans="1:6" ht="12" thickBot="1">
      <c r="A1711" s="352">
        <v>39239</v>
      </c>
      <c r="B1711" s="353">
        <v>5.3199999999999997E-2</v>
      </c>
      <c r="C1711" s="353">
        <v>5.3400000000000003E-2</v>
      </c>
      <c r="D1711" s="353">
        <v>5.3600000000000002E-2</v>
      </c>
      <c r="E1711" s="353">
        <v>5.3959399999999998E-2</v>
      </c>
      <c r="F1711" s="354">
        <v>5.45625E-2</v>
      </c>
    </row>
    <row r="1712" spans="1:6" ht="12" thickBot="1">
      <c r="A1712" s="352">
        <v>39238</v>
      </c>
      <c r="B1712" s="353">
        <v>5.3199999999999997E-2</v>
      </c>
      <c r="C1712" s="353">
        <v>5.3400000000000003E-2</v>
      </c>
      <c r="D1712" s="353">
        <v>5.3600000000000002E-2</v>
      </c>
      <c r="E1712" s="353">
        <v>5.3918800000000003E-2</v>
      </c>
      <c r="F1712" s="354">
        <v>5.4450600000000002E-2</v>
      </c>
    </row>
    <row r="1713" spans="1:6" ht="12" thickBot="1">
      <c r="A1713" s="352">
        <v>39237</v>
      </c>
      <c r="B1713" s="353">
        <v>5.3199999999999997E-2</v>
      </c>
      <c r="C1713" s="353">
        <v>5.3400000000000003E-2</v>
      </c>
      <c r="D1713" s="353">
        <v>5.3600000000000002E-2</v>
      </c>
      <c r="E1713" s="353">
        <v>5.39344E-2</v>
      </c>
      <c r="F1713" s="354">
        <v>5.4399999999999997E-2</v>
      </c>
    </row>
    <row r="1714" spans="1:6" ht="12" thickBot="1">
      <c r="A1714" s="352">
        <v>39234</v>
      </c>
      <c r="B1714" s="353">
        <v>5.3199999999999997E-2</v>
      </c>
      <c r="C1714" s="353">
        <v>5.3400000000000003E-2</v>
      </c>
      <c r="D1714" s="353">
        <v>5.3600000000000002E-2</v>
      </c>
      <c r="E1714" s="353">
        <v>5.3900000000000003E-2</v>
      </c>
      <c r="F1714" s="354">
        <v>5.4206299999999999E-2</v>
      </c>
    </row>
    <row r="1715" spans="1:6" ht="12" thickBot="1">
      <c r="A1715" s="352">
        <v>39233</v>
      </c>
      <c r="B1715" s="353">
        <v>5.3199999999999997E-2</v>
      </c>
      <c r="C1715" s="353">
        <v>5.3400000000000003E-2</v>
      </c>
      <c r="D1715" s="353">
        <v>5.3600000000000002E-2</v>
      </c>
      <c r="E1715" s="353">
        <v>5.38475E-2</v>
      </c>
      <c r="F1715" s="354">
        <v>5.3900000000000003E-2</v>
      </c>
    </row>
    <row r="1716" spans="1:6" ht="12" thickBot="1">
      <c r="A1716" s="352">
        <v>39232</v>
      </c>
      <c r="B1716" s="353">
        <v>5.3199999999999997E-2</v>
      </c>
      <c r="C1716" s="353">
        <v>5.3400000000000003E-2</v>
      </c>
      <c r="D1716" s="353">
        <v>5.3600000000000002E-2</v>
      </c>
      <c r="E1716" s="353">
        <v>5.38475E-2</v>
      </c>
      <c r="F1716" s="354">
        <v>5.3900000000000003E-2</v>
      </c>
    </row>
    <row r="1717" spans="1:6" ht="12" thickBot="1">
      <c r="A1717" s="352">
        <v>39231</v>
      </c>
      <c r="B1717" s="353">
        <v>5.3199999999999997E-2</v>
      </c>
      <c r="C1717" s="353">
        <v>5.3400000000000003E-2</v>
      </c>
      <c r="D1717" s="353">
        <v>5.3600000000000002E-2</v>
      </c>
      <c r="E1717" s="353">
        <v>5.3843799999999997E-2</v>
      </c>
      <c r="F1717" s="354">
        <v>5.3900000000000003E-2</v>
      </c>
    </row>
    <row r="1718" spans="1:6" ht="12" thickBot="1">
      <c r="A1718" s="352">
        <v>39227</v>
      </c>
      <c r="B1718" s="353">
        <v>5.3199999999999997E-2</v>
      </c>
      <c r="C1718" s="353">
        <v>5.3400000000000003E-2</v>
      </c>
      <c r="D1718" s="353">
        <v>5.3600000000000002E-2</v>
      </c>
      <c r="E1718" s="353">
        <v>5.3800000000000001E-2</v>
      </c>
      <c r="F1718" s="354">
        <v>5.3710000000000001E-2</v>
      </c>
    </row>
    <row r="1719" spans="1:6" ht="12" thickBot="1">
      <c r="A1719" s="352">
        <v>39226</v>
      </c>
      <c r="B1719" s="353">
        <v>5.3199999999999997E-2</v>
      </c>
      <c r="C1719" s="353">
        <v>5.3400000000000003E-2</v>
      </c>
      <c r="D1719" s="353">
        <v>5.3600000000000002E-2</v>
      </c>
      <c r="E1719" s="353">
        <v>5.3800000000000001E-2</v>
      </c>
      <c r="F1719" s="354">
        <v>5.3699999999999998E-2</v>
      </c>
    </row>
    <row r="1720" spans="1:6" ht="12" thickBot="1">
      <c r="A1720" s="352">
        <v>39225</v>
      </c>
      <c r="B1720" s="353">
        <v>5.3199999999999997E-2</v>
      </c>
      <c r="C1720" s="353">
        <v>5.3400000000000003E-2</v>
      </c>
      <c r="D1720" s="353">
        <v>5.3600000000000002E-2</v>
      </c>
      <c r="E1720" s="353">
        <v>5.3800000000000001E-2</v>
      </c>
      <c r="F1720" s="354">
        <v>5.3787500000000002E-2</v>
      </c>
    </row>
    <row r="1721" spans="1:6" ht="12" thickBot="1">
      <c r="A1721" s="352">
        <v>39224</v>
      </c>
      <c r="B1721" s="353">
        <v>5.3199999999999997E-2</v>
      </c>
      <c r="C1721" s="353">
        <v>5.3400000000000003E-2</v>
      </c>
      <c r="D1721" s="353">
        <v>5.3600000000000002E-2</v>
      </c>
      <c r="E1721" s="353">
        <v>5.37469E-2</v>
      </c>
      <c r="F1721" s="354">
        <v>5.35688E-2</v>
      </c>
    </row>
    <row r="1722" spans="1:6" ht="12" thickBot="1">
      <c r="A1722" s="352">
        <v>39223</v>
      </c>
      <c r="B1722" s="353">
        <v>5.3199999999999997E-2</v>
      </c>
      <c r="C1722" s="353">
        <v>5.3400000000000003E-2</v>
      </c>
      <c r="D1722" s="353">
        <v>5.3600000000000002E-2</v>
      </c>
      <c r="E1722" s="353">
        <v>5.37563E-2</v>
      </c>
      <c r="F1722" s="354">
        <v>5.3668800000000003E-2</v>
      </c>
    </row>
    <row r="1723" spans="1:6" ht="12" thickBot="1">
      <c r="A1723" s="352">
        <v>39220</v>
      </c>
      <c r="B1723" s="353">
        <v>5.3199999999999997E-2</v>
      </c>
      <c r="C1723" s="353">
        <v>5.3400000000000003E-2</v>
      </c>
      <c r="D1723" s="353">
        <v>5.3600000000000002E-2</v>
      </c>
      <c r="E1723" s="353">
        <v>5.3699999999999998E-2</v>
      </c>
      <c r="F1723" s="354">
        <v>5.3403100000000002E-2</v>
      </c>
    </row>
    <row r="1724" spans="1:6" ht="12" thickBot="1">
      <c r="A1724" s="352">
        <v>39219</v>
      </c>
      <c r="B1724" s="353">
        <v>5.3199999999999997E-2</v>
      </c>
      <c r="C1724" s="353">
        <v>5.3400000000000003E-2</v>
      </c>
      <c r="D1724" s="353">
        <v>5.3600000000000002E-2</v>
      </c>
      <c r="E1724" s="353">
        <v>5.3609400000000001E-2</v>
      </c>
      <c r="F1724" s="354">
        <v>5.3172499999999998E-2</v>
      </c>
    </row>
    <row r="1725" spans="1:6" ht="12" thickBot="1">
      <c r="A1725" s="352">
        <v>39218</v>
      </c>
      <c r="B1725" s="353">
        <v>5.3199999999999997E-2</v>
      </c>
      <c r="C1725" s="353">
        <v>5.3400000000000003E-2</v>
      </c>
      <c r="D1725" s="353">
        <v>5.3600000000000002E-2</v>
      </c>
      <c r="E1725" s="353">
        <v>5.3600000000000002E-2</v>
      </c>
      <c r="F1725" s="354">
        <v>5.3100000000000001E-2</v>
      </c>
    </row>
    <row r="1726" spans="1:6" ht="12" thickBot="1">
      <c r="A1726" s="352">
        <v>39217</v>
      </c>
      <c r="B1726" s="353">
        <v>5.3199999999999997E-2</v>
      </c>
      <c r="C1726" s="353">
        <v>5.3400000000000003E-2</v>
      </c>
      <c r="D1726" s="353">
        <v>5.3600000000000002E-2</v>
      </c>
      <c r="E1726" s="353">
        <v>5.3668800000000003E-2</v>
      </c>
      <c r="F1726" s="354">
        <v>5.32375E-2</v>
      </c>
    </row>
    <row r="1727" spans="1:6" ht="12" thickBot="1">
      <c r="A1727" s="352">
        <v>39216</v>
      </c>
      <c r="B1727" s="353">
        <v>5.3199999999999997E-2</v>
      </c>
      <c r="C1727" s="353">
        <v>5.3400000000000003E-2</v>
      </c>
      <c r="D1727" s="353">
        <v>5.3600000000000002E-2</v>
      </c>
      <c r="E1727" s="353">
        <v>5.3650000000000003E-2</v>
      </c>
      <c r="F1727" s="354">
        <v>5.3199999999999997E-2</v>
      </c>
    </row>
    <row r="1728" spans="1:6" ht="12" thickBot="1">
      <c r="A1728" s="352">
        <v>39213</v>
      </c>
      <c r="B1728" s="353">
        <v>5.3199999999999997E-2</v>
      </c>
      <c r="C1728" s="353">
        <v>5.3400000000000003E-2</v>
      </c>
      <c r="D1728" s="353">
        <v>5.3600000000000002E-2</v>
      </c>
      <c r="E1728" s="353">
        <v>5.3587500000000003E-2</v>
      </c>
      <c r="F1728" s="354">
        <v>5.2918800000000002E-2</v>
      </c>
    </row>
    <row r="1729" spans="1:6" ht="12" thickBot="1">
      <c r="A1729" s="352">
        <v>39212</v>
      </c>
      <c r="B1729" s="353">
        <v>5.3199999999999997E-2</v>
      </c>
      <c r="C1729" s="353">
        <v>5.3400000000000003E-2</v>
      </c>
      <c r="D1729" s="353">
        <v>5.3600000000000002E-2</v>
      </c>
      <c r="E1729" s="353">
        <v>5.3699999999999998E-2</v>
      </c>
      <c r="F1729" s="354">
        <v>5.33E-2</v>
      </c>
    </row>
    <row r="1730" spans="1:6" ht="12" thickBot="1">
      <c r="A1730" s="352">
        <v>39211</v>
      </c>
      <c r="B1730" s="353">
        <v>5.3199999999999997E-2</v>
      </c>
      <c r="C1730" s="353">
        <v>5.3400000000000003E-2</v>
      </c>
      <c r="D1730" s="353">
        <v>5.3581299999999998E-2</v>
      </c>
      <c r="E1730" s="353">
        <v>5.3600000000000002E-2</v>
      </c>
      <c r="F1730" s="354">
        <v>5.2999999999999999E-2</v>
      </c>
    </row>
    <row r="1731" spans="1:6" ht="12" thickBot="1">
      <c r="A1731" s="352">
        <v>39210</v>
      </c>
      <c r="B1731" s="353">
        <v>5.3199999999999997E-2</v>
      </c>
      <c r="C1731" s="353">
        <v>5.3400000000000003E-2</v>
      </c>
      <c r="D1731" s="353">
        <v>5.35688E-2</v>
      </c>
      <c r="E1731" s="353">
        <v>5.3600000000000002E-2</v>
      </c>
      <c r="F1731" s="354">
        <v>5.2999999999999999E-2</v>
      </c>
    </row>
    <row r="1732" spans="1:6" ht="12" thickBot="1">
      <c r="A1732" s="352">
        <v>39206</v>
      </c>
      <c r="B1732" s="353">
        <v>5.3199999999999997E-2</v>
      </c>
      <c r="C1732" s="353">
        <v>5.3400000000000003E-2</v>
      </c>
      <c r="D1732" s="353">
        <v>5.3565599999999998E-2</v>
      </c>
      <c r="E1732" s="353">
        <v>5.3681300000000001E-2</v>
      </c>
      <c r="F1732" s="354">
        <v>5.3199999999999997E-2</v>
      </c>
    </row>
    <row r="1733" spans="1:6" ht="12" thickBot="1">
      <c r="A1733" s="352">
        <v>39205</v>
      </c>
      <c r="B1733" s="353">
        <v>5.3199999999999997E-2</v>
      </c>
      <c r="C1733" s="353">
        <v>5.3400000000000003E-2</v>
      </c>
      <c r="D1733" s="353">
        <v>5.3556300000000001E-2</v>
      </c>
      <c r="E1733" s="353">
        <v>5.3581299999999998E-2</v>
      </c>
      <c r="F1733" s="354">
        <v>5.2887499999999997E-2</v>
      </c>
    </row>
    <row r="1734" spans="1:6" ht="12" thickBot="1">
      <c r="A1734" s="352">
        <v>39204</v>
      </c>
      <c r="B1734" s="353">
        <v>5.3199999999999997E-2</v>
      </c>
      <c r="C1734" s="353">
        <v>5.3400000000000003E-2</v>
      </c>
      <c r="D1734" s="353">
        <v>5.355E-2</v>
      </c>
      <c r="E1734" s="353">
        <v>5.3600000000000002E-2</v>
      </c>
      <c r="F1734" s="354">
        <v>5.2943799999999999E-2</v>
      </c>
    </row>
    <row r="1735" spans="1:6" ht="12" thickBot="1">
      <c r="A1735" s="352">
        <v>39203</v>
      </c>
      <c r="B1735" s="353">
        <v>5.3199999999999997E-2</v>
      </c>
      <c r="C1735" s="353">
        <v>5.3400000000000003E-2</v>
      </c>
      <c r="D1735" s="353">
        <v>5.355E-2</v>
      </c>
      <c r="E1735" s="353">
        <v>5.3499999999999999E-2</v>
      </c>
      <c r="F1735" s="354">
        <v>5.2600000000000001E-2</v>
      </c>
    </row>
    <row r="1736" spans="1:6" ht="12" thickBot="1">
      <c r="A1736" s="352">
        <v>39202</v>
      </c>
      <c r="B1736" s="353">
        <v>5.3199999999999997E-2</v>
      </c>
      <c r="C1736" s="353">
        <v>5.3400000000000003E-2</v>
      </c>
      <c r="D1736" s="353">
        <v>5.355E-2</v>
      </c>
      <c r="E1736" s="353">
        <v>5.3600000000000002E-2</v>
      </c>
      <c r="F1736" s="354">
        <v>5.2949999999999997E-2</v>
      </c>
    </row>
    <row r="1737" spans="1:6" ht="12" thickBot="1">
      <c r="A1737" s="352">
        <v>39199</v>
      </c>
      <c r="B1737" s="353">
        <v>5.3199999999999997E-2</v>
      </c>
      <c r="C1737" s="353">
        <v>5.3400000000000003E-2</v>
      </c>
      <c r="D1737" s="353">
        <v>5.3562499999999999E-2</v>
      </c>
      <c r="E1737" s="353">
        <v>5.3600000000000002E-2</v>
      </c>
      <c r="F1737" s="354">
        <v>5.2956299999999998E-2</v>
      </c>
    </row>
    <row r="1738" spans="1:6" ht="12" thickBot="1">
      <c r="A1738" s="352">
        <v>39198</v>
      </c>
      <c r="B1738" s="353">
        <v>5.3199999999999997E-2</v>
      </c>
      <c r="C1738" s="353">
        <v>5.3400000000000003E-2</v>
      </c>
      <c r="D1738" s="353">
        <v>5.355E-2</v>
      </c>
      <c r="E1738" s="353">
        <v>5.355E-2</v>
      </c>
      <c r="F1738" s="354">
        <v>5.2699999999999997E-2</v>
      </c>
    </row>
    <row r="1739" spans="1:6" ht="12" thickBot="1">
      <c r="A1739" s="352">
        <v>39197</v>
      </c>
      <c r="B1739" s="353">
        <v>5.3199999999999997E-2</v>
      </c>
      <c r="C1739" s="353">
        <v>5.3400000000000003E-2</v>
      </c>
      <c r="D1739" s="353">
        <v>5.355E-2</v>
      </c>
      <c r="E1739" s="353">
        <v>5.3468799999999997E-2</v>
      </c>
      <c r="F1739" s="354">
        <v>5.2418800000000002E-2</v>
      </c>
    </row>
    <row r="1740" spans="1:6" ht="12" thickBot="1">
      <c r="A1740" s="352">
        <v>39196</v>
      </c>
      <c r="B1740" s="353">
        <v>5.3199999999999997E-2</v>
      </c>
      <c r="C1740" s="353">
        <v>5.3400000000000003E-2</v>
      </c>
      <c r="D1740" s="353">
        <v>5.355E-2</v>
      </c>
      <c r="E1740" s="353">
        <v>5.3531299999999997E-2</v>
      </c>
      <c r="F1740" s="354">
        <v>5.2600000000000001E-2</v>
      </c>
    </row>
    <row r="1741" spans="1:6" ht="12" thickBot="1">
      <c r="A1741" s="352">
        <v>39195</v>
      </c>
      <c r="B1741" s="353">
        <v>5.3199999999999997E-2</v>
      </c>
      <c r="C1741" s="353">
        <v>5.3400000000000003E-2</v>
      </c>
      <c r="D1741" s="353">
        <v>5.355E-2</v>
      </c>
      <c r="E1741" s="353">
        <v>5.3593799999999997E-2</v>
      </c>
      <c r="F1741" s="354">
        <v>5.28E-2</v>
      </c>
    </row>
    <row r="1742" spans="1:6" ht="12" thickBot="1">
      <c r="A1742" s="352">
        <v>39192</v>
      </c>
      <c r="B1742" s="353">
        <v>5.3199999999999997E-2</v>
      </c>
      <c r="C1742" s="353">
        <v>5.3400000000000003E-2</v>
      </c>
      <c r="D1742" s="353">
        <v>5.355E-2</v>
      </c>
      <c r="E1742" s="353">
        <v>5.3543800000000003E-2</v>
      </c>
      <c r="F1742" s="354">
        <v>5.27438E-2</v>
      </c>
    </row>
    <row r="1743" spans="1:6" ht="12" thickBot="1">
      <c r="A1743" s="352">
        <v>39191</v>
      </c>
      <c r="B1743" s="353">
        <v>5.3199999999999997E-2</v>
      </c>
      <c r="C1743" s="353">
        <v>5.3400000000000003E-2</v>
      </c>
      <c r="D1743" s="353">
        <v>5.355E-2</v>
      </c>
      <c r="E1743" s="353">
        <v>5.3493800000000001E-2</v>
      </c>
      <c r="F1743" s="354">
        <v>5.2506299999999999E-2</v>
      </c>
    </row>
    <row r="1744" spans="1:6" ht="12" thickBot="1">
      <c r="A1744" s="352">
        <v>39190</v>
      </c>
      <c r="B1744" s="353">
        <v>5.3199999999999997E-2</v>
      </c>
      <c r="C1744" s="353">
        <v>5.3400000000000003E-2</v>
      </c>
      <c r="D1744" s="353">
        <v>5.3581299999999998E-2</v>
      </c>
      <c r="E1744" s="353">
        <v>5.3606300000000003E-2</v>
      </c>
      <c r="F1744" s="354">
        <v>5.2887499999999997E-2</v>
      </c>
    </row>
    <row r="1745" spans="1:6" ht="12" thickBot="1">
      <c r="A1745" s="352">
        <v>39189</v>
      </c>
      <c r="B1745" s="353">
        <v>5.3199999999999997E-2</v>
      </c>
      <c r="C1745" s="353">
        <v>5.3400000000000003E-2</v>
      </c>
      <c r="D1745" s="353">
        <v>5.3598800000000002E-2</v>
      </c>
      <c r="E1745" s="353">
        <v>5.3715600000000002E-2</v>
      </c>
      <c r="F1745" s="354">
        <v>5.3368800000000001E-2</v>
      </c>
    </row>
    <row r="1746" spans="1:6" ht="12" thickBot="1">
      <c r="A1746" s="352">
        <v>39188</v>
      </c>
      <c r="B1746" s="353">
        <v>5.3199999999999997E-2</v>
      </c>
      <c r="C1746" s="353">
        <v>5.3400000000000003E-2</v>
      </c>
      <c r="D1746" s="353">
        <v>5.3587500000000003E-2</v>
      </c>
      <c r="E1746" s="353">
        <v>5.3740599999999999E-2</v>
      </c>
      <c r="F1746" s="354">
        <v>5.3525000000000003E-2</v>
      </c>
    </row>
    <row r="1747" spans="1:6" ht="12" thickBot="1">
      <c r="A1747" s="352">
        <v>39185</v>
      </c>
      <c r="B1747" s="353">
        <v>5.3199999999999997E-2</v>
      </c>
      <c r="C1747" s="353">
        <v>5.3400000000000003E-2</v>
      </c>
      <c r="D1747" s="353">
        <v>5.35688E-2</v>
      </c>
      <c r="E1747" s="353">
        <v>5.3699999999999998E-2</v>
      </c>
      <c r="F1747" s="354">
        <v>5.3287500000000002E-2</v>
      </c>
    </row>
    <row r="1748" spans="1:6" ht="12" thickBot="1">
      <c r="A1748" s="352">
        <v>39184</v>
      </c>
      <c r="B1748" s="353">
        <v>5.3199999999999997E-2</v>
      </c>
      <c r="C1748" s="353">
        <v>5.3400000000000003E-2</v>
      </c>
      <c r="D1748" s="353">
        <v>5.3556300000000001E-2</v>
      </c>
      <c r="E1748" s="353">
        <v>5.3699999999999998E-2</v>
      </c>
      <c r="F1748" s="354">
        <v>5.3181300000000001E-2</v>
      </c>
    </row>
    <row r="1749" spans="1:6" ht="12" thickBot="1">
      <c r="A1749" s="352">
        <v>39183</v>
      </c>
      <c r="B1749" s="353">
        <v>5.3199999999999997E-2</v>
      </c>
      <c r="C1749" s="353">
        <v>5.3400000000000003E-2</v>
      </c>
      <c r="D1749" s="353">
        <v>5.355E-2</v>
      </c>
      <c r="E1749" s="353">
        <v>5.3624999999999999E-2</v>
      </c>
      <c r="F1749" s="354">
        <v>5.3062499999999999E-2</v>
      </c>
    </row>
    <row r="1750" spans="1:6" ht="12" thickBot="1">
      <c r="A1750" s="352">
        <v>39182</v>
      </c>
      <c r="B1750" s="353">
        <v>5.3199999999999997E-2</v>
      </c>
      <c r="C1750" s="353">
        <v>5.3400000000000003E-2</v>
      </c>
      <c r="D1750" s="353">
        <v>5.355E-2</v>
      </c>
      <c r="E1750" s="353">
        <v>5.3643799999999998E-2</v>
      </c>
      <c r="F1750" s="354">
        <v>5.3181300000000001E-2</v>
      </c>
    </row>
    <row r="1751" spans="1:6" ht="12" thickBot="1">
      <c r="A1751" s="352">
        <v>39177</v>
      </c>
      <c r="B1751" s="353">
        <v>5.3199999999999997E-2</v>
      </c>
      <c r="C1751" s="353">
        <v>5.3400000000000003E-2</v>
      </c>
      <c r="D1751" s="353">
        <v>5.3499999999999999E-2</v>
      </c>
      <c r="E1751" s="353">
        <v>5.3321899999999998E-2</v>
      </c>
      <c r="F1751" s="354">
        <v>5.2287500000000001E-2</v>
      </c>
    </row>
    <row r="1752" spans="1:6" ht="12" thickBot="1">
      <c r="A1752" s="352">
        <v>39176</v>
      </c>
      <c r="B1752" s="353">
        <v>5.3199999999999997E-2</v>
      </c>
      <c r="C1752" s="353">
        <v>5.3400000000000003E-2</v>
      </c>
      <c r="D1752" s="353">
        <v>5.3499999999999999E-2</v>
      </c>
      <c r="E1752" s="353">
        <v>5.3356300000000002E-2</v>
      </c>
      <c r="F1752" s="354">
        <v>5.2365599999999998E-2</v>
      </c>
    </row>
    <row r="1753" spans="1:6" ht="12" thickBot="1">
      <c r="A1753" s="352">
        <v>39175</v>
      </c>
      <c r="B1753" s="353">
        <v>5.3199999999999997E-2</v>
      </c>
      <c r="C1753" s="353">
        <v>5.3400000000000003E-2</v>
      </c>
      <c r="D1753" s="353">
        <v>5.3499999999999999E-2</v>
      </c>
      <c r="E1753" s="353">
        <v>5.33E-2</v>
      </c>
      <c r="F1753" s="354">
        <v>5.2287500000000001E-2</v>
      </c>
    </row>
    <row r="1754" spans="1:6" ht="12" thickBot="1">
      <c r="A1754" s="352">
        <v>39174</v>
      </c>
      <c r="B1754" s="353">
        <v>5.3199999999999997E-2</v>
      </c>
      <c r="C1754" s="353">
        <v>5.3400000000000003E-2</v>
      </c>
      <c r="D1754" s="353">
        <v>5.3499999999999999E-2</v>
      </c>
      <c r="E1754" s="353">
        <v>5.32906E-2</v>
      </c>
      <c r="F1754" s="354">
        <v>5.2193799999999999E-2</v>
      </c>
    </row>
    <row r="1755" spans="1:6" ht="12" thickBot="1">
      <c r="A1755" s="352">
        <v>39171</v>
      </c>
      <c r="B1755" s="353">
        <v>5.3199999999999997E-2</v>
      </c>
      <c r="C1755" s="353">
        <v>5.3400000000000003E-2</v>
      </c>
      <c r="D1755" s="353">
        <v>5.3499999999999999E-2</v>
      </c>
      <c r="E1755" s="353">
        <v>5.3296900000000001E-2</v>
      </c>
      <c r="F1755" s="354">
        <v>5.2200000000000003E-2</v>
      </c>
    </row>
    <row r="1756" spans="1:6" ht="12" thickBot="1">
      <c r="A1756" s="352">
        <v>39170</v>
      </c>
      <c r="B1756" s="353">
        <v>5.3199999999999997E-2</v>
      </c>
      <c r="C1756" s="353">
        <v>5.3400000000000003E-2</v>
      </c>
      <c r="D1756" s="353">
        <v>5.3493800000000001E-2</v>
      </c>
      <c r="E1756" s="353">
        <v>5.3199999999999997E-2</v>
      </c>
      <c r="F1756" s="354">
        <v>5.1999999999999998E-2</v>
      </c>
    </row>
    <row r="1757" spans="1:6" ht="12" thickBot="1">
      <c r="A1757" s="352">
        <v>39169</v>
      </c>
      <c r="B1757" s="353">
        <v>5.3199999999999997E-2</v>
      </c>
      <c r="C1757" s="353">
        <v>5.3400000000000003E-2</v>
      </c>
      <c r="D1757" s="353">
        <v>5.3499999999999999E-2</v>
      </c>
      <c r="E1757" s="353">
        <v>5.32375E-2</v>
      </c>
      <c r="F1757" s="354">
        <v>5.20563E-2</v>
      </c>
    </row>
    <row r="1758" spans="1:6" ht="12" thickBot="1">
      <c r="A1758" s="352">
        <v>39168</v>
      </c>
      <c r="B1758" s="353">
        <v>5.3199999999999997E-2</v>
      </c>
      <c r="C1758" s="353">
        <v>5.3400000000000003E-2</v>
      </c>
      <c r="D1758" s="353">
        <v>5.3499999999999999E-2</v>
      </c>
      <c r="E1758" s="353">
        <v>5.3296900000000001E-2</v>
      </c>
      <c r="F1758" s="354">
        <v>5.21188E-2</v>
      </c>
    </row>
    <row r="1759" spans="1:6" ht="12" thickBot="1">
      <c r="A1759" s="352">
        <v>39167</v>
      </c>
      <c r="B1759" s="353">
        <v>5.3199999999999997E-2</v>
      </c>
      <c r="C1759" s="353">
        <v>5.3400000000000003E-2</v>
      </c>
      <c r="D1759" s="353">
        <v>5.3499999999999999E-2</v>
      </c>
      <c r="E1759" s="353">
        <v>5.3287500000000002E-2</v>
      </c>
      <c r="F1759" s="354">
        <v>5.2293800000000001E-2</v>
      </c>
    </row>
    <row r="1760" spans="1:6" ht="12" thickBot="1">
      <c r="A1760" s="352">
        <v>39164</v>
      </c>
      <c r="B1760" s="353">
        <v>5.3199999999999997E-2</v>
      </c>
      <c r="C1760" s="353">
        <v>5.3386299999999998E-2</v>
      </c>
      <c r="D1760" s="353">
        <v>5.34788E-2</v>
      </c>
      <c r="E1760" s="353">
        <v>5.3199999999999997E-2</v>
      </c>
      <c r="F1760" s="354">
        <v>5.2052899999999999E-2</v>
      </c>
    </row>
    <row r="1761" spans="1:6" ht="12" thickBot="1">
      <c r="A1761" s="352">
        <v>39163</v>
      </c>
      <c r="B1761" s="353">
        <v>5.3199999999999997E-2</v>
      </c>
      <c r="C1761" s="353">
        <v>5.3373799999999999E-2</v>
      </c>
      <c r="D1761" s="353">
        <v>5.34631E-2</v>
      </c>
      <c r="E1761" s="353">
        <v>5.3137499999999997E-2</v>
      </c>
      <c r="F1761" s="354">
        <v>5.1831299999999997E-2</v>
      </c>
    </row>
    <row r="1762" spans="1:6" ht="12" thickBot="1">
      <c r="A1762" s="352">
        <v>39162</v>
      </c>
      <c r="B1762" s="353">
        <v>5.3199999999999997E-2</v>
      </c>
      <c r="C1762" s="353">
        <v>5.3400000000000003E-2</v>
      </c>
      <c r="D1762" s="353">
        <v>5.3499999999999999E-2</v>
      </c>
      <c r="E1762" s="353">
        <v>5.3400000000000003E-2</v>
      </c>
      <c r="F1762" s="354">
        <v>5.2350000000000001E-2</v>
      </c>
    </row>
    <row r="1763" spans="1:6" ht="12" thickBot="1">
      <c r="A1763" s="352">
        <v>39161</v>
      </c>
      <c r="B1763" s="353">
        <v>5.3199999999999997E-2</v>
      </c>
      <c r="C1763" s="353">
        <v>5.3400000000000003E-2</v>
      </c>
      <c r="D1763" s="353">
        <v>5.3499999999999999E-2</v>
      </c>
      <c r="E1763" s="353">
        <v>5.3400000000000003E-2</v>
      </c>
      <c r="F1763" s="354">
        <v>5.2443799999999999E-2</v>
      </c>
    </row>
    <row r="1764" spans="1:6" ht="12" thickBot="1">
      <c r="A1764" s="352">
        <v>39160</v>
      </c>
      <c r="B1764" s="353">
        <v>5.3199999999999997E-2</v>
      </c>
      <c r="C1764" s="353">
        <v>5.3400000000000003E-2</v>
      </c>
      <c r="D1764" s="353">
        <v>5.3499999999999999E-2</v>
      </c>
      <c r="E1764" s="353">
        <v>5.3350000000000002E-2</v>
      </c>
      <c r="F1764" s="354">
        <v>5.2331299999999997E-2</v>
      </c>
    </row>
    <row r="1765" spans="1:6" ht="12" thickBot="1">
      <c r="A1765" s="352">
        <v>39157</v>
      </c>
      <c r="B1765" s="353">
        <v>5.3199999999999997E-2</v>
      </c>
      <c r="C1765" s="353">
        <v>5.3400000000000003E-2</v>
      </c>
      <c r="D1765" s="353">
        <v>5.3499999999999999E-2</v>
      </c>
      <c r="E1765" s="353">
        <v>5.3206299999999998E-2</v>
      </c>
      <c r="F1765" s="354">
        <v>5.2031300000000003E-2</v>
      </c>
    </row>
    <row r="1766" spans="1:6" ht="12" thickBot="1">
      <c r="A1766" s="352">
        <v>39156</v>
      </c>
      <c r="B1766" s="353">
        <v>5.3199999999999997E-2</v>
      </c>
      <c r="C1766" s="353">
        <v>5.3400000000000003E-2</v>
      </c>
      <c r="D1766" s="353">
        <v>5.3499999999999999E-2</v>
      </c>
      <c r="E1766" s="353">
        <v>5.3143799999999998E-2</v>
      </c>
      <c r="F1766" s="354">
        <v>5.1900000000000002E-2</v>
      </c>
    </row>
    <row r="1767" spans="1:6" ht="12" thickBot="1">
      <c r="A1767" s="352">
        <v>39155</v>
      </c>
      <c r="B1767" s="353">
        <v>5.3199999999999997E-2</v>
      </c>
      <c r="C1767" s="353">
        <v>5.3387499999999997E-2</v>
      </c>
      <c r="D1767" s="353">
        <v>5.3499999999999999E-2</v>
      </c>
      <c r="E1767" s="353">
        <v>5.2962500000000003E-2</v>
      </c>
      <c r="F1767" s="354">
        <v>5.1418800000000001E-2</v>
      </c>
    </row>
    <row r="1768" spans="1:6" ht="12" thickBot="1">
      <c r="A1768" s="352">
        <v>39154</v>
      </c>
      <c r="B1768" s="353">
        <v>5.3199999999999997E-2</v>
      </c>
      <c r="C1768" s="353">
        <v>5.3400000000000003E-2</v>
      </c>
      <c r="D1768" s="353">
        <v>5.3548800000000001E-2</v>
      </c>
      <c r="E1768" s="353">
        <v>5.33E-2</v>
      </c>
      <c r="F1768" s="354">
        <v>5.2200000000000003E-2</v>
      </c>
    </row>
    <row r="1769" spans="1:6" ht="12" thickBot="1">
      <c r="A1769" s="352">
        <v>39153</v>
      </c>
      <c r="B1769" s="353">
        <v>5.3199999999999997E-2</v>
      </c>
      <c r="C1769" s="353">
        <v>5.3400000000000003E-2</v>
      </c>
      <c r="D1769" s="353">
        <v>5.355E-2</v>
      </c>
      <c r="E1769" s="353">
        <v>5.3425E-2</v>
      </c>
      <c r="F1769" s="354">
        <v>5.2672499999999997E-2</v>
      </c>
    </row>
    <row r="1770" spans="1:6" ht="12" thickBot="1">
      <c r="A1770" s="352">
        <v>39150</v>
      </c>
      <c r="B1770" s="353">
        <v>5.3199999999999997E-2</v>
      </c>
      <c r="C1770" s="353">
        <v>5.33E-2</v>
      </c>
      <c r="D1770" s="353">
        <v>5.3400000000000003E-2</v>
      </c>
      <c r="E1770" s="353">
        <v>5.2968800000000003E-2</v>
      </c>
      <c r="F1770" s="354">
        <v>5.1674999999999999E-2</v>
      </c>
    </row>
    <row r="1771" spans="1:6" ht="12" thickBot="1">
      <c r="A1771" s="352">
        <v>39149</v>
      </c>
      <c r="B1771" s="353">
        <v>5.3199999999999997E-2</v>
      </c>
      <c r="C1771" s="353">
        <v>5.33E-2</v>
      </c>
      <c r="D1771" s="353">
        <v>5.3400000000000003E-2</v>
      </c>
      <c r="E1771" s="353">
        <v>5.2874999999999998E-2</v>
      </c>
      <c r="F1771" s="354">
        <v>5.1525000000000001E-2</v>
      </c>
    </row>
    <row r="1772" spans="1:6" ht="12" thickBot="1">
      <c r="A1772" s="352">
        <v>39148</v>
      </c>
      <c r="B1772" s="353">
        <v>5.3199999999999997E-2</v>
      </c>
      <c r="C1772" s="353">
        <v>5.33E-2</v>
      </c>
      <c r="D1772" s="353">
        <v>5.3400000000000003E-2</v>
      </c>
      <c r="E1772" s="353">
        <v>5.2900000000000003E-2</v>
      </c>
      <c r="F1772" s="354">
        <v>5.16625E-2</v>
      </c>
    </row>
    <row r="1773" spans="1:6" ht="12" thickBot="1">
      <c r="A1773" s="352">
        <v>39147</v>
      </c>
      <c r="B1773" s="353">
        <v>5.3199999999999997E-2</v>
      </c>
      <c r="C1773" s="353">
        <v>5.33E-2</v>
      </c>
      <c r="D1773" s="353">
        <v>5.3400000000000003E-2</v>
      </c>
      <c r="E1773" s="353">
        <v>5.2975000000000001E-2</v>
      </c>
      <c r="F1773" s="354">
        <v>5.1812499999999997E-2</v>
      </c>
    </row>
    <row r="1774" spans="1:6" ht="12" thickBot="1">
      <c r="A1774" s="352">
        <v>39146</v>
      </c>
      <c r="B1774" s="353">
        <v>5.3191299999999997E-2</v>
      </c>
      <c r="C1774" s="353">
        <v>5.3256299999999999E-2</v>
      </c>
      <c r="D1774" s="353">
        <v>5.33E-2</v>
      </c>
      <c r="E1774" s="353">
        <v>5.2591300000000001E-2</v>
      </c>
      <c r="F1774" s="354">
        <v>5.1200000000000002E-2</v>
      </c>
    </row>
    <row r="1775" spans="1:6" ht="12" thickBot="1">
      <c r="A1775" s="352">
        <v>39143</v>
      </c>
      <c r="B1775" s="353">
        <v>5.3199999999999997E-2</v>
      </c>
      <c r="C1775" s="353">
        <v>5.3374999999999999E-2</v>
      </c>
      <c r="D1775" s="353">
        <v>5.3462500000000003E-2</v>
      </c>
      <c r="E1775" s="353">
        <v>5.3193799999999999E-2</v>
      </c>
      <c r="F1775" s="354">
        <v>5.2124999999999998E-2</v>
      </c>
    </row>
    <row r="1776" spans="1:6" ht="12" thickBot="1">
      <c r="A1776" s="352">
        <v>39142</v>
      </c>
      <c r="B1776" s="353">
        <v>5.3199999999999997E-2</v>
      </c>
      <c r="C1776" s="353">
        <v>5.3374999999999999E-2</v>
      </c>
      <c r="D1776" s="353">
        <v>5.3475000000000002E-2</v>
      </c>
      <c r="E1776" s="353">
        <v>5.3281299999999997E-2</v>
      </c>
      <c r="F1776" s="354">
        <v>5.2325000000000003E-2</v>
      </c>
    </row>
    <row r="1777" spans="1:6" ht="12" thickBot="1">
      <c r="A1777" s="352">
        <v>39141</v>
      </c>
      <c r="B1777" s="353">
        <v>5.3199999999999997E-2</v>
      </c>
      <c r="C1777" s="353">
        <v>5.33813E-2</v>
      </c>
      <c r="D1777" s="353">
        <v>5.3481300000000002E-2</v>
      </c>
      <c r="E1777" s="353">
        <v>5.33E-2</v>
      </c>
      <c r="F1777" s="354">
        <v>5.2381299999999999E-2</v>
      </c>
    </row>
    <row r="1778" spans="1:6" ht="12" thickBot="1">
      <c r="A1778" s="352">
        <v>39140</v>
      </c>
      <c r="B1778" s="353">
        <v>5.3199999999999997E-2</v>
      </c>
      <c r="C1778" s="353">
        <v>5.3449999999999998E-2</v>
      </c>
      <c r="D1778" s="353">
        <v>5.3600000000000002E-2</v>
      </c>
      <c r="E1778" s="353">
        <v>5.3718799999999997E-2</v>
      </c>
      <c r="F1778" s="354">
        <v>5.3306300000000001E-2</v>
      </c>
    </row>
    <row r="1779" spans="1:6" ht="12" thickBot="1">
      <c r="A1779" s="352">
        <v>39139</v>
      </c>
      <c r="B1779" s="353">
        <v>5.3199999999999997E-2</v>
      </c>
      <c r="C1779" s="353">
        <v>5.3449999999999998E-2</v>
      </c>
      <c r="D1779" s="353">
        <v>5.3600000000000002E-2</v>
      </c>
      <c r="E1779" s="353">
        <v>5.3787500000000002E-2</v>
      </c>
      <c r="F1779" s="354">
        <v>5.3481300000000002E-2</v>
      </c>
    </row>
    <row r="1780" spans="1:6" ht="12" thickBot="1">
      <c r="A1780" s="352">
        <v>39136</v>
      </c>
      <c r="B1780" s="353">
        <v>5.3199999999999997E-2</v>
      </c>
      <c r="C1780" s="353">
        <v>5.3449999999999998E-2</v>
      </c>
      <c r="D1780" s="353">
        <v>5.3600000000000002E-2</v>
      </c>
      <c r="E1780" s="353">
        <v>5.3900000000000003E-2</v>
      </c>
      <c r="F1780" s="354">
        <v>5.3887499999999998E-2</v>
      </c>
    </row>
    <row r="1781" spans="1:6" ht="12" thickBot="1">
      <c r="A1781" s="352">
        <v>39135</v>
      </c>
      <c r="B1781" s="353">
        <v>5.3199999999999997E-2</v>
      </c>
      <c r="C1781" s="353">
        <v>5.3449999999999998E-2</v>
      </c>
      <c r="D1781" s="353">
        <v>5.3600000000000002E-2</v>
      </c>
      <c r="E1781" s="353">
        <v>5.38813E-2</v>
      </c>
      <c r="F1781" s="354">
        <v>5.3715600000000002E-2</v>
      </c>
    </row>
    <row r="1782" spans="1:6" ht="12" thickBot="1">
      <c r="A1782" s="352">
        <v>39134</v>
      </c>
      <c r="B1782" s="353">
        <v>5.3199999999999997E-2</v>
      </c>
      <c r="C1782" s="353">
        <v>5.3449999999999998E-2</v>
      </c>
      <c r="D1782" s="353">
        <v>5.3600000000000002E-2</v>
      </c>
      <c r="E1782" s="353">
        <v>5.3800000000000001E-2</v>
      </c>
      <c r="F1782" s="354">
        <v>5.3543800000000003E-2</v>
      </c>
    </row>
    <row r="1783" spans="1:6" ht="12" thickBot="1">
      <c r="A1783" s="352">
        <v>39133</v>
      </c>
      <c r="B1783" s="353">
        <v>5.3199999999999997E-2</v>
      </c>
      <c r="C1783" s="353">
        <v>5.3449999999999998E-2</v>
      </c>
      <c r="D1783" s="353">
        <v>5.3600000000000002E-2</v>
      </c>
      <c r="E1783" s="353">
        <v>5.3874999999999999E-2</v>
      </c>
      <c r="F1783" s="354">
        <v>5.3668800000000003E-2</v>
      </c>
    </row>
    <row r="1784" spans="1:6" ht="12" thickBot="1">
      <c r="A1784" s="352">
        <v>39132</v>
      </c>
      <c r="B1784" s="353">
        <v>5.3199999999999997E-2</v>
      </c>
      <c r="C1784" s="353">
        <v>5.3449999999999998E-2</v>
      </c>
      <c r="D1784" s="353">
        <v>5.3600000000000002E-2</v>
      </c>
      <c r="E1784" s="353">
        <v>5.38813E-2</v>
      </c>
      <c r="F1784" s="354">
        <v>5.3675E-2</v>
      </c>
    </row>
    <row r="1785" spans="1:6" ht="12" thickBot="1">
      <c r="A1785" s="352">
        <v>39129</v>
      </c>
      <c r="B1785" s="353">
        <v>5.3199999999999997E-2</v>
      </c>
      <c r="C1785" s="353">
        <v>5.3449999999999998E-2</v>
      </c>
      <c r="D1785" s="353">
        <v>5.3600000000000002E-2</v>
      </c>
      <c r="E1785" s="353">
        <v>5.3850000000000002E-2</v>
      </c>
      <c r="F1785" s="354">
        <v>5.3618800000000001E-2</v>
      </c>
    </row>
    <row r="1786" spans="1:6" ht="12" thickBot="1">
      <c r="A1786" s="352">
        <v>39128</v>
      </c>
      <c r="B1786" s="353">
        <v>5.3199999999999997E-2</v>
      </c>
      <c r="C1786" s="353">
        <v>5.3449999999999998E-2</v>
      </c>
      <c r="D1786" s="353">
        <v>5.3600000000000002E-2</v>
      </c>
      <c r="E1786" s="353">
        <v>5.3900000000000003E-2</v>
      </c>
      <c r="F1786" s="354">
        <v>5.38813E-2</v>
      </c>
    </row>
    <row r="1787" spans="1:6" ht="12" thickBot="1">
      <c r="A1787" s="352">
        <v>39127</v>
      </c>
      <c r="B1787" s="353">
        <v>5.3199999999999997E-2</v>
      </c>
      <c r="C1787" s="353">
        <v>5.3449999999999998E-2</v>
      </c>
      <c r="D1787" s="353">
        <v>5.3600000000000002E-2</v>
      </c>
      <c r="E1787" s="353">
        <v>5.3999999999999999E-2</v>
      </c>
      <c r="F1787" s="354">
        <v>5.4243800000000002E-2</v>
      </c>
    </row>
    <row r="1788" spans="1:6" ht="12" thickBot="1">
      <c r="A1788" s="352">
        <v>39126</v>
      </c>
      <c r="B1788" s="353">
        <v>5.3199999999999997E-2</v>
      </c>
      <c r="C1788" s="353">
        <v>5.3449999999999998E-2</v>
      </c>
      <c r="D1788" s="353">
        <v>5.3600000000000002E-2</v>
      </c>
      <c r="E1788" s="353">
        <v>5.3999999999999999E-2</v>
      </c>
      <c r="F1788" s="354">
        <v>5.4237500000000001E-2</v>
      </c>
    </row>
    <row r="1789" spans="1:6" ht="12" thickBot="1">
      <c r="A1789" s="352">
        <v>39125</v>
      </c>
      <c r="B1789" s="353">
        <v>5.3199999999999997E-2</v>
      </c>
      <c r="C1789" s="353">
        <v>5.3449999999999998E-2</v>
      </c>
      <c r="D1789" s="353">
        <v>5.3600000000000002E-2</v>
      </c>
      <c r="E1789" s="353">
        <v>5.3999999999999999E-2</v>
      </c>
      <c r="F1789" s="354">
        <v>5.4175000000000001E-2</v>
      </c>
    </row>
    <row r="1790" spans="1:6" ht="12" thickBot="1">
      <c r="A1790" s="352">
        <v>39122</v>
      </c>
      <c r="B1790" s="353">
        <v>5.3199999999999997E-2</v>
      </c>
      <c r="C1790" s="353">
        <v>5.3449999999999998E-2</v>
      </c>
      <c r="D1790" s="353">
        <v>5.3600000000000002E-2</v>
      </c>
      <c r="E1790" s="353">
        <v>5.3975000000000002E-2</v>
      </c>
      <c r="F1790" s="354">
        <v>5.3962499999999997E-2</v>
      </c>
    </row>
    <row r="1791" spans="1:6" ht="12" thickBot="1">
      <c r="A1791" s="352">
        <v>39121</v>
      </c>
      <c r="B1791" s="353">
        <v>5.3199999999999997E-2</v>
      </c>
      <c r="C1791" s="353">
        <v>5.3449999999999998E-2</v>
      </c>
      <c r="D1791" s="353">
        <v>5.3600000000000002E-2</v>
      </c>
      <c r="E1791" s="353">
        <v>5.3981300000000003E-2</v>
      </c>
      <c r="F1791" s="354">
        <v>5.3981300000000003E-2</v>
      </c>
    </row>
    <row r="1792" spans="1:6" ht="12" thickBot="1">
      <c r="A1792" s="352">
        <v>39120</v>
      </c>
      <c r="B1792" s="353">
        <v>5.3199999999999997E-2</v>
      </c>
      <c r="C1792" s="353">
        <v>5.3449999999999998E-2</v>
      </c>
      <c r="D1792" s="353">
        <v>5.3600000000000002E-2</v>
      </c>
      <c r="E1792" s="353">
        <v>5.3999999999999999E-2</v>
      </c>
      <c r="F1792" s="354">
        <v>5.4018799999999999E-2</v>
      </c>
    </row>
    <row r="1793" spans="1:6" ht="12" thickBot="1">
      <c r="A1793" s="352">
        <v>39119</v>
      </c>
      <c r="B1793" s="353">
        <v>5.3199999999999997E-2</v>
      </c>
      <c r="C1793" s="353">
        <v>5.3449999999999998E-2</v>
      </c>
      <c r="D1793" s="353">
        <v>5.3600000000000002E-2</v>
      </c>
      <c r="E1793" s="353">
        <v>5.3999999999999999E-2</v>
      </c>
      <c r="F1793" s="354">
        <v>5.40688E-2</v>
      </c>
    </row>
    <row r="1794" spans="1:6" ht="12" thickBot="1">
      <c r="A1794" s="352">
        <v>39118</v>
      </c>
      <c r="B1794" s="353">
        <v>5.3199999999999997E-2</v>
      </c>
      <c r="C1794" s="353">
        <v>5.3449999999999998E-2</v>
      </c>
      <c r="D1794" s="353">
        <v>5.3600000000000002E-2</v>
      </c>
      <c r="E1794" s="353">
        <v>5.3999999999999999E-2</v>
      </c>
      <c r="F1794" s="354">
        <v>5.4087499999999997E-2</v>
      </c>
    </row>
    <row r="1795" spans="1:6" ht="12" thickBot="1">
      <c r="A1795" s="352">
        <v>39115</v>
      </c>
      <c r="B1795" s="353">
        <v>5.3199999999999997E-2</v>
      </c>
      <c r="C1795" s="353">
        <v>5.3449999999999998E-2</v>
      </c>
      <c r="D1795" s="353">
        <v>5.3600000000000002E-2</v>
      </c>
      <c r="E1795" s="353">
        <v>5.4012499999999998E-2</v>
      </c>
      <c r="F1795" s="354">
        <v>5.43125E-2</v>
      </c>
    </row>
    <row r="1796" spans="1:6" ht="12" thickBot="1">
      <c r="A1796" s="352">
        <v>39114</v>
      </c>
      <c r="B1796" s="353">
        <v>5.3199999999999997E-2</v>
      </c>
      <c r="C1796" s="353">
        <v>5.3449999999999998E-2</v>
      </c>
      <c r="D1796" s="353">
        <v>5.3600000000000002E-2</v>
      </c>
      <c r="E1796" s="353">
        <v>5.3999999999999999E-2</v>
      </c>
      <c r="F1796" s="354">
        <v>5.4100000000000002E-2</v>
      </c>
    </row>
    <row r="1797" spans="1:6" ht="12" thickBot="1">
      <c r="A1797" s="352">
        <v>39113</v>
      </c>
      <c r="B1797" s="353">
        <v>5.3199999999999997E-2</v>
      </c>
      <c r="C1797" s="353">
        <v>5.3449999999999998E-2</v>
      </c>
      <c r="D1797" s="353">
        <v>5.3600000000000002E-2</v>
      </c>
      <c r="E1797" s="353">
        <v>5.3999999999999999E-2</v>
      </c>
      <c r="F1797" s="354">
        <v>5.4300000000000001E-2</v>
      </c>
    </row>
    <row r="1798" spans="1:6" ht="12" thickBot="1">
      <c r="A1798" s="352">
        <v>39112</v>
      </c>
      <c r="B1798" s="353">
        <v>5.3199999999999997E-2</v>
      </c>
      <c r="C1798" s="353">
        <v>5.3449999999999998E-2</v>
      </c>
      <c r="D1798" s="353">
        <v>5.3600000000000002E-2</v>
      </c>
      <c r="E1798" s="353">
        <v>5.40063E-2</v>
      </c>
      <c r="F1798" s="354">
        <v>5.4399999999999997E-2</v>
      </c>
    </row>
    <row r="1799" spans="1:6" ht="12" thickBot="1">
      <c r="A1799" s="352">
        <v>39111</v>
      </c>
      <c r="B1799" s="353">
        <v>5.3199999999999997E-2</v>
      </c>
      <c r="C1799" s="353">
        <v>5.3449999999999998E-2</v>
      </c>
      <c r="D1799" s="353">
        <v>5.3600000000000002E-2</v>
      </c>
      <c r="E1799" s="353">
        <v>5.3999999999999999E-2</v>
      </c>
      <c r="F1799" s="354">
        <v>5.4300000000000001E-2</v>
      </c>
    </row>
    <row r="1800" spans="1:6" ht="12" thickBot="1">
      <c r="A1800" s="352">
        <v>39108</v>
      </c>
      <c r="B1800" s="353">
        <v>5.3199999999999997E-2</v>
      </c>
      <c r="C1800" s="353">
        <v>5.3456299999999998E-2</v>
      </c>
      <c r="D1800" s="353">
        <v>5.3600000000000002E-2</v>
      </c>
      <c r="E1800" s="353">
        <v>5.3999999999999999E-2</v>
      </c>
      <c r="F1800" s="354">
        <v>5.4393799999999999E-2</v>
      </c>
    </row>
    <row r="1801" spans="1:6" ht="12" thickBot="1">
      <c r="A1801" s="352">
        <v>39107</v>
      </c>
      <c r="B1801" s="353">
        <v>5.3199999999999997E-2</v>
      </c>
      <c r="C1801" s="353">
        <v>5.34438E-2</v>
      </c>
      <c r="D1801" s="353">
        <v>5.3600000000000002E-2</v>
      </c>
      <c r="E1801" s="353">
        <v>5.3987500000000001E-2</v>
      </c>
      <c r="F1801" s="354">
        <v>5.4168800000000003E-2</v>
      </c>
    </row>
    <row r="1802" spans="1:6" ht="12" thickBot="1">
      <c r="A1802" s="352">
        <v>39106</v>
      </c>
      <c r="B1802" s="353">
        <v>5.3199999999999997E-2</v>
      </c>
      <c r="C1802" s="353">
        <v>5.3449999999999998E-2</v>
      </c>
      <c r="D1802" s="353">
        <v>5.3600000000000002E-2</v>
      </c>
      <c r="E1802" s="353">
        <v>5.3987500000000001E-2</v>
      </c>
      <c r="F1802" s="354">
        <v>5.4199999999999998E-2</v>
      </c>
    </row>
    <row r="1803" spans="1:6" ht="12" thickBot="1">
      <c r="A1803" s="352">
        <v>39105</v>
      </c>
      <c r="B1803" s="353">
        <v>5.3199999999999997E-2</v>
      </c>
      <c r="C1803" s="353">
        <v>5.3437499999999999E-2</v>
      </c>
      <c r="D1803" s="353">
        <v>5.3600000000000002E-2</v>
      </c>
      <c r="E1803" s="353">
        <v>5.3906299999999997E-2</v>
      </c>
      <c r="F1803" s="354">
        <v>5.4024999999999997E-2</v>
      </c>
    </row>
    <row r="1804" spans="1:6" ht="12" thickBot="1">
      <c r="A1804" s="352">
        <v>39104</v>
      </c>
      <c r="B1804" s="353">
        <v>5.3199999999999997E-2</v>
      </c>
      <c r="C1804" s="353">
        <v>5.3437499999999999E-2</v>
      </c>
      <c r="D1804" s="353">
        <v>5.3600000000000002E-2</v>
      </c>
      <c r="E1804" s="353">
        <v>5.39438E-2</v>
      </c>
      <c r="F1804" s="354">
        <v>5.40688E-2</v>
      </c>
    </row>
    <row r="1805" spans="1:6" ht="12" thickBot="1">
      <c r="A1805" s="352">
        <v>39101</v>
      </c>
      <c r="B1805" s="353">
        <v>5.3199999999999997E-2</v>
      </c>
      <c r="C1805" s="353">
        <v>5.34438E-2</v>
      </c>
      <c r="D1805" s="353">
        <v>5.3600000000000002E-2</v>
      </c>
      <c r="E1805" s="353">
        <v>5.3900000000000003E-2</v>
      </c>
      <c r="F1805" s="354">
        <v>5.3868800000000001E-2</v>
      </c>
    </row>
    <row r="1806" spans="1:6" ht="12" thickBot="1">
      <c r="A1806" s="352">
        <v>39100</v>
      </c>
      <c r="B1806" s="353">
        <v>5.3199999999999997E-2</v>
      </c>
      <c r="C1806" s="353">
        <v>5.3449999999999998E-2</v>
      </c>
      <c r="D1806" s="353">
        <v>5.3600000000000002E-2</v>
      </c>
      <c r="E1806" s="353">
        <v>5.3906299999999997E-2</v>
      </c>
      <c r="F1806" s="354">
        <v>5.4043800000000003E-2</v>
      </c>
    </row>
    <row r="1807" spans="1:6" ht="12" thickBot="1">
      <c r="A1807" s="352">
        <v>39099</v>
      </c>
      <c r="B1807" s="353">
        <v>5.3199999999999997E-2</v>
      </c>
      <c r="C1807" s="353">
        <v>5.34438E-2</v>
      </c>
      <c r="D1807" s="353">
        <v>5.3600000000000002E-2</v>
      </c>
      <c r="E1807" s="353">
        <v>5.3868800000000001E-2</v>
      </c>
      <c r="F1807" s="354">
        <v>5.3706299999999998E-2</v>
      </c>
    </row>
    <row r="1808" spans="1:6" ht="12" thickBot="1">
      <c r="A1808" s="352">
        <v>39098</v>
      </c>
      <c r="B1808" s="353">
        <v>5.3199999999999997E-2</v>
      </c>
      <c r="C1808" s="353">
        <v>5.34438E-2</v>
      </c>
      <c r="D1808" s="353">
        <v>5.3600000000000002E-2</v>
      </c>
      <c r="E1808" s="353">
        <v>5.3868800000000001E-2</v>
      </c>
      <c r="F1808" s="354">
        <v>5.3793800000000003E-2</v>
      </c>
    </row>
    <row r="1809" spans="1:6" ht="12" thickBot="1">
      <c r="A1809" s="352">
        <v>39097</v>
      </c>
      <c r="B1809" s="353">
        <v>5.3199999999999997E-2</v>
      </c>
      <c r="C1809" s="353">
        <v>5.3449999999999998E-2</v>
      </c>
      <c r="D1809" s="353">
        <v>5.3602499999999997E-2</v>
      </c>
      <c r="E1809" s="353">
        <v>5.3850000000000002E-2</v>
      </c>
      <c r="F1809" s="354">
        <v>5.3824999999999998E-2</v>
      </c>
    </row>
    <row r="1810" spans="1:6" ht="12" thickBot="1">
      <c r="A1810" s="352">
        <v>39094</v>
      </c>
      <c r="B1810" s="353">
        <v>5.3199999999999997E-2</v>
      </c>
      <c r="C1810" s="353">
        <v>5.3449999999999998E-2</v>
      </c>
      <c r="D1810" s="353">
        <v>5.3600000000000002E-2</v>
      </c>
      <c r="E1810" s="353">
        <v>5.3831299999999999E-2</v>
      </c>
      <c r="F1810" s="354">
        <v>5.3675E-2</v>
      </c>
    </row>
    <row r="1811" spans="1:6" ht="12" thickBot="1">
      <c r="A1811" s="352">
        <v>39093</v>
      </c>
      <c r="B1811" s="353">
        <v>5.3199999999999997E-2</v>
      </c>
      <c r="C1811" s="353">
        <v>5.3449999999999998E-2</v>
      </c>
      <c r="D1811" s="353">
        <v>5.3600000000000002E-2</v>
      </c>
      <c r="E1811" s="353">
        <v>5.3768799999999999E-2</v>
      </c>
      <c r="F1811" s="354">
        <v>5.3400000000000003E-2</v>
      </c>
    </row>
    <row r="1812" spans="1:6" ht="12" thickBot="1">
      <c r="A1812" s="352">
        <v>39092</v>
      </c>
      <c r="B1812" s="353">
        <v>5.3199999999999997E-2</v>
      </c>
      <c r="C1812" s="353">
        <v>5.3449999999999998E-2</v>
      </c>
      <c r="D1812" s="353">
        <v>5.3600000000000002E-2</v>
      </c>
      <c r="E1812" s="353">
        <v>5.3718799999999997E-2</v>
      </c>
      <c r="F1812" s="354">
        <v>5.32375E-2</v>
      </c>
    </row>
    <row r="1813" spans="1:6" ht="12" thickBot="1">
      <c r="A1813" s="352">
        <v>39091</v>
      </c>
      <c r="B1813" s="353">
        <v>5.3199999999999997E-2</v>
      </c>
      <c r="C1813" s="353">
        <v>5.3456299999999998E-2</v>
      </c>
      <c r="D1813" s="353">
        <v>5.3600000000000002E-2</v>
      </c>
      <c r="E1813" s="353">
        <v>5.37563E-2</v>
      </c>
      <c r="F1813" s="354">
        <v>5.33E-2</v>
      </c>
    </row>
    <row r="1814" spans="1:6" ht="12" thickBot="1">
      <c r="A1814" s="352">
        <v>39090</v>
      </c>
      <c r="B1814" s="353">
        <v>5.3199999999999997E-2</v>
      </c>
      <c r="C1814" s="353">
        <v>5.3456299999999998E-2</v>
      </c>
      <c r="D1814" s="353">
        <v>5.3600000000000002E-2</v>
      </c>
      <c r="E1814" s="353">
        <v>5.3699999999999998E-2</v>
      </c>
      <c r="F1814" s="354">
        <v>5.305E-2</v>
      </c>
    </row>
    <row r="1815" spans="1:6" ht="12" thickBot="1">
      <c r="A1815" s="352">
        <v>39087</v>
      </c>
      <c r="B1815" s="353">
        <v>5.3199999999999997E-2</v>
      </c>
      <c r="C1815" s="353">
        <v>5.3449999999999998E-2</v>
      </c>
      <c r="D1815" s="353">
        <v>5.3600000000000002E-2</v>
      </c>
      <c r="E1815" s="353">
        <v>5.3493800000000001E-2</v>
      </c>
      <c r="F1815" s="354">
        <v>5.24938E-2</v>
      </c>
    </row>
    <row r="1816" spans="1:6" ht="12" thickBot="1">
      <c r="A1816" s="352">
        <v>39086</v>
      </c>
      <c r="B1816" s="353">
        <v>5.3199999999999997E-2</v>
      </c>
      <c r="C1816" s="353">
        <v>5.3449999999999998E-2</v>
      </c>
      <c r="D1816" s="353">
        <v>5.3600000000000002E-2</v>
      </c>
      <c r="E1816" s="353">
        <v>5.3600000000000002E-2</v>
      </c>
      <c r="F1816" s="354">
        <v>5.2893799999999998E-2</v>
      </c>
    </row>
    <row r="1817" spans="1:6" ht="12" thickBot="1">
      <c r="A1817" s="352">
        <v>39085</v>
      </c>
      <c r="B1817" s="353">
        <v>5.3199999999999997E-2</v>
      </c>
      <c r="C1817" s="353">
        <v>5.3449999999999998E-2</v>
      </c>
      <c r="D1817" s="353">
        <v>5.3600000000000002E-2</v>
      </c>
      <c r="E1817" s="353">
        <v>5.3668800000000003E-2</v>
      </c>
      <c r="F1817" s="354">
        <v>5.3131299999999999E-2</v>
      </c>
    </row>
    <row r="1818" spans="1:6">
      <c r="A1818" s="355">
        <v>39084</v>
      </c>
      <c r="B1818" s="356">
        <v>5.3206299999999998E-2</v>
      </c>
      <c r="C1818" s="356">
        <v>5.3449999999999998E-2</v>
      </c>
      <c r="D1818" s="356">
        <v>5.3600000000000002E-2</v>
      </c>
      <c r="E1818" s="356">
        <v>5.3699999999999998E-2</v>
      </c>
      <c r="F1818" s="357">
        <v>5.3400000000000003E-2</v>
      </c>
    </row>
    <row r="1819" spans="1:6">
      <c r="A1819" s="616" t="s">
        <v>1067</v>
      </c>
      <c r="B1819" s="616"/>
      <c r="C1819" s="616"/>
      <c r="D1819" s="616"/>
      <c r="E1819" s="616"/>
      <c r="F1819" s="616"/>
    </row>
    <row r="1820" spans="1:6">
      <c r="A1820" s="617"/>
      <c r="B1820" s="617"/>
      <c r="C1820" s="617"/>
      <c r="D1820" s="617"/>
      <c r="E1820" s="617"/>
      <c r="F1820" s="617"/>
    </row>
  </sheetData>
  <mergeCells count="13">
    <mergeCell ref="A1819:F1820"/>
    <mergeCell ref="B336:F336"/>
    <mergeCell ref="B584:F584"/>
    <mergeCell ref="B834:F834"/>
    <mergeCell ref="B1082:F1082"/>
    <mergeCell ref="B1323:F1323"/>
    <mergeCell ref="B1567:F1567"/>
    <mergeCell ref="B87:F87"/>
    <mergeCell ref="A1:F1"/>
    <mergeCell ref="A2:F2"/>
    <mergeCell ref="A3:F3"/>
    <mergeCell ref="A4:F4"/>
    <mergeCell ref="B6:F6"/>
  </mergeCells>
  <phoneticPr fontId="65" type="noConversion"/>
  <pageMargins left="0.75" right="0.75" top="1" bottom="1" header="0.5" footer="0.5"/>
</worksheet>
</file>

<file path=xl/worksheets/sheet29.xml><?xml version="1.0" encoding="utf-8"?>
<worksheet xmlns="http://schemas.openxmlformats.org/spreadsheetml/2006/main" xmlns:r="http://schemas.openxmlformats.org/officeDocument/2006/relationships">
  <sheetPr enableFormatConditionsCalculation="0">
    <pageSetUpPr fitToPage="1"/>
  </sheetPr>
  <dimension ref="A1:U39"/>
  <sheetViews>
    <sheetView topLeftCell="G4" workbookViewId="0">
      <selection activeCell="P9" sqref="P9"/>
    </sheetView>
  </sheetViews>
  <sheetFormatPr baseColWidth="10" defaultColWidth="11.5546875" defaultRowHeight="15"/>
  <cols>
    <col min="1" max="1" width="26.6640625" customWidth="1"/>
    <col min="2" max="5" width="12" customWidth="1"/>
    <col min="6" max="6" width="12" bestFit="1" customWidth="1"/>
    <col min="7" max="17" width="12" customWidth="1"/>
    <col min="18" max="18" width="2.6640625" customWidth="1"/>
    <col min="19" max="19" width="10.33203125" customWidth="1"/>
    <col min="20" max="20" width="10.44140625" customWidth="1"/>
    <col min="21" max="21" width="9.33203125" customWidth="1"/>
  </cols>
  <sheetData>
    <row r="1" spans="1:21" ht="15.75">
      <c r="A1" s="1" t="str">
        <f>+Balance!A1</f>
        <v>ENKA de Colombia S.A.</v>
      </c>
      <c r="B1" s="28"/>
      <c r="C1" s="28"/>
      <c r="D1" s="28"/>
      <c r="E1" s="28"/>
      <c r="F1" s="28"/>
      <c r="G1" s="28"/>
      <c r="H1" s="28"/>
      <c r="I1" s="28"/>
      <c r="J1" s="28"/>
      <c r="K1" s="28"/>
      <c r="L1" s="28"/>
      <c r="M1" s="28"/>
      <c r="N1" s="28"/>
      <c r="O1" s="28"/>
      <c r="P1" s="28"/>
      <c r="Q1" s="28"/>
      <c r="R1" s="28"/>
    </row>
    <row r="2" spans="1:21" ht="15.75">
      <c r="A2" s="27" t="s">
        <v>176</v>
      </c>
      <c r="B2" s="28"/>
      <c r="C2" s="49"/>
      <c r="D2" s="49"/>
      <c r="E2" s="49"/>
      <c r="F2" s="28"/>
      <c r="G2" s="28"/>
      <c r="H2" s="28"/>
      <c r="I2" s="28"/>
      <c r="J2" s="28"/>
      <c r="K2" s="28"/>
      <c r="L2" s="28"/>
      <c r="M2" s="28"/>
      <c r="N2" s="28"/>
      <c r="O2" s="28"/>
      <c r="P2" s="28"/>
      <c r="Q2" s="28"/>
      <c r="R2" s="28"/>
    </row>
    <row r="4" spans="1:21" ht="16.5" thickBot="1">
      <c r="A4" s="28"/>
      <c r="B4" s="33">
        <f>'KWOp.%'!$C$4</f>
        <v>2009</v>
      </c>
      <c r="C4" s="33">
        <f>B4+1</f>
        <v>2010</v>
      </c>
      <c r="D4" s="33">
        <f>C4+1</f>
        <v>2011</v>
      </c>
      <c r="E4" s="33">
        <f>D4+1</f>
        <v>2012</v>
      </c>
      <c r="F4" s="33">
        <f>E4+1</f>
        <v>2013</v>
      </c>
      <c r="G4" s="33">
        <f t="shared" ref="G4:Q4" si="0">F4+1</f>
        <v>2014</v>
      </c>
      <c r="H4" s="33">
        <f t="shared" si="0"/>
        <v>2015</v>
      </c>
      <c r="I4" s="33">
        <f t="shared" si="0"/>
        <v>2016</v>
      </c>
      <c r="J4" s="33">
        <f t="shared" si="0"/>
        <v>2017</v>
      </c>
      <c r="K4" s="33">
        <f t="shared" si="0"/>
        <v>2018</v>
      </c>
      <c r="L4" s="33">
        <f t="shared" si="0"/>
        <v>2019</v>
      </c>
      <c r="M4" s="33">
        <f t="shared" si="0"/>
        <v>2020</v>
      </c>
      <c r="N4" s="33">
        <f t="shared" si="0"/>
        <v>2021</v>
      </c>
      <c r="O4" s="33">
        <f t="shared" si="0"/>
        <v>2022</v>
      </c>
      <c r="P4" s="33">
        <f t="shared" si="0"/>
        <v>2023</v>
      </c>
      <c r="Q4" s="33">
        <f t="shared" si="0"/>
        <v>2024</v>
      </c>
      <c r="R4" s="33"/>
      <c r="S4" s="33" t="s">
        <v>177</v>
      </c>
      <c r="T4" s="33" t="s">
        <v>178</v>
      </c>
      <c r="U4" s="33" t="s">
        <v>179</v>
      </c>
    </row>
    <row r="6" spans="1:21">
      <c r="A6" s="159" t="s">
        <v>180</v>
      </c>
      <c r="B6" s="7">
        <v>0.02</v>
      </c>
      <c r="C6" s="7">
        <v>3.1699999999999999E-2</v>
      </c>
      <c r="D6" s="7">
        <v>3.7199999999999997E-2</v>
      </c>
      <c r="E6" s="7">
        <v>2.4400000000000002E-2</v>
      </c>
      <c r="F6" s="7">
        <v>1.9699999999999999E-2</v>
      </c>
      <c r="G6" s="7"/>
      <c r="H6" s="7"/>
      <c r="I6" s="7"/>
      <c r="J6" s="7"/>
      <c r="K6" s="7"/>
      <c r="L6" s="7"/>
      <c r="M6" s="7"/>
      <c r="N6" s="7"/>
      <c r="O6" s="7"/>
      <c r="P6" s="7"/>
      <c r="Q6" s="7"/>
      <c r="R6" s="7"/>
      <c r="S6" s="48"/>
    </row>
    <row r="7" spans="1:21">
      <c r="A7" s="159" t="s">
        <v>181</v>
      </c>
      <c r="B7" s="7">
        <v>-0.28249999999999997</v>
      </c>
      <c r="C7" s="7">
        <f>+Resultados!D6/Resultados!C6-1</f>
        <v>0.17624175142595822</v>
      </c>
      <c r="D7" s="7">
        <f>+Resultados!E6/Resultados!D6-1</f>
        <v>0.1430697811017998</v>
      </c>
      <c r="E7" s="7">
        <f>+Resultados!F6/Resultados!E6-1</f>
        <v>-0.16128184615743957</v>
      </c>
      <c r="F7" s="7">
        <f>+Resultados!G6/Resultados!F6-1</f>
        <v>-5.2380024089171751E-2</v>
      </c>
      <c r="G7" s="7">
        <f>+Resultados!H6/Resultados!G6-1</f>
        <v>0.1366282087493278</v>
      </c>
      <c r="H7" s="7">
        <f>+Resultados!I6/Resultados!H6-1</f>
        <v>6.5132768578736844E-2</v>
      </c>
      <c r="I7" s="7">
        <f>+Resultados!J6/Resultados!I6-1</f>
        <v>6.0585044431543666E-2</v>
      </c>
      <c r="J7" s="7">
        <f>+Resultados!K6/Resultados!J6-1</f>
        <v>5.7511692315409535E-2</v>
      </c>
      <c r="K7" s="7">
        <f>+Resultados!L6/Resultados!K6-1</f>
        <v>5.0200228610048248E-2</v>
      </c>
      <c r="L7" s="7">
        <f>+Resultados!M6/Resultados!L6-1</f>
        <v>5.2268127339224701E-2</v>
      </c>
      <c r="M7" s="7">
        <f>+Resultados!N6/Resultados!M6-1</f>
        <v>5.199765166356185E-2</v>
      </c>
      <c r="N7" s="7">
        <f>+Resultados!O6/Resultados!N6-1</f>
        <v>5.2219981248254888E-2</v>
      </c>
      <c r="O7" s="7">
        <f>+Resultados!P6/Resultados!O6-1</f>
        <v>5.2440914125340576E-2</v>
      </c>
      <c r="P7" s="7">
        <f>+Resultados!Q6/Resultados!P6-1</f>
        <v>5.2660372570221492E-2</v>
      </c>
      <c r="Q7" s="7">
        <f>+Resultados!R6/Resultados!Q6-1</f>
        <v>5.2878281146684136E-2</v>
      </c>
      <c r="R7" s="7"/>
      <c r="S7" s="48"/>
      <c r="T7" s="48"/>
      <c r="U7" s="48"/>
    </row>
    <row r="8" spans="1:21">
      <c r="A8" s="28" t="s">
        <v>182</v>
      </c>
      <c r="B8" s="7">
        <f>(B7-B6)/(1+B6)</f>
        <v>-0.29656862745098039</v>
      </c>
      <c r="C8" s="7">
        <f>(C7-C6)/(1+C6)</f>
        <v>0.1401005635610722</v>
      </c>
      <c r="D8" s="7">
        <f>(D7-D6)/(1+D6)</f>
        <v>0.10207267749884286</v>
      </c>
      <c r="E8" s="7">
        <f>(E7-E6)/(1+E6)</f>
        <v>-0.18125912354299062</v>
      </c>
      <c r="F8" s="7">
        <f>(F7-F6)/(1+F6)</f>
        <v>-7.0687480719007295E-2</v>
      </c>
      <c r="G8" s="7">
        <f t="shared" ref="G8:Q8" si="1">(G7-G6)/(1+G6)</f>
        <v>0.1366282087493278</v>
      </c>
      <c r="H8" s="7">
        <f t="shared" si="1"/>
        <v>6.5132768578736844E-2</v>
      </c>
      <c r="I8" s="7">
        <f t="shared" si="1"/>
        <v>6.0585044431543666E-2</v>
      </c>
      <c r="J8" s="7">
        <f t="shared" si="1"/>
        <v>5.7511692315409535E-2</v>
      </c>
      <c r="K8" s="7">
        <f t="shared" si="1"/>
        <v>5.0200228610048248E-2</v>
      </c>
      <c r="L8" s="7">
        <f t="shared" si="1"/>
        <v>5.2268127339224701E-2</v>
      </c>
      <c r="M8" s="7">
        <f t="shared" si="1"/>
        <v>5.199765166356185E-2</v>
      </c>
      <c r="N8" s="7">
        <f t="shared" si="1"/>
        <v>5.2219981248254888E-2</v>
      </c>
      <c r="O8" s="7">
        <f t="shared" si="1"/>
        <v>5.2440914125340576E-2</v>
      </c>
      <c r="P8" s="7">
        <f t="shared" si="1"/>
        <v>5.2660372570221492E-2</v>
      </c>
      <c r="Q8" s="7">
        <f t="shared" si="1"/>
        <v>5.2878281146684136E-2</v>
      </c>
      <c r="R8" s="7"/>
      <c r="S8" s="48">
        <f t="shared" ref="S8:S16" si="2">AVERAGE(B8:R8)</f>
        <v>2.3636330007830657E-2</v>
      </c>
      <c r="T8" s="48">
        <f t="shared" ref="T8:T16" si="3">STDEV(B8:F8)</f>
        <v>0.18512324066725663</v>
      </c>
      <c r="U8" s="48">
        <f t="shared" ref="U8:U20" si="4">+T8/S8</f>
        <v>7.8321482483078277</v>
      </c>
    </row>
    <row r="9" spans="1:21">
      <c r="A9" s="28" t="s">
        <v>183</v>
      </c>
      <c r="B9" s="7">
        <f>+Impuestos!C9/Resultados!C6</f>
        <v>-7.218311932511845E-2</v>
      </c>
      <c r="C9" s="7">
        <f>+Impuestos!D9/Resultados!D6</f>
        <v>-2.8037258416016713E-2</v>
      </c>
      <c r="D9" s="7">
        <f>+Impuestos!E9/Resultados!E6</f>
        <v>-3.2589210116027167E-2</v>
      </c>
      <c r="E9" s="7">
        <f>+Impuestos!F9/Resultados!F6</f>
        <v>-2.5081283549045135E-2</v>
      </c>
      <c r="F9" s="7">
        <f>+Impuestos!G9/Resultados!G6</f>
        <v>-2.0016971629460104E-2</v>
      </c>
      <c r="G9" s="7">
        <f>+Impuestos!H9/Resultados!H6</f>
        <v>-2.4929679468943866E-2</v>
      </c>
      <c r="H9" s="7">
        <f>+Impuestos!I9/Resultados!I6</f>
        <v>-1.244511190093643E-2</v>
      </c>
      <c r="I9" s="7">
        <f>+Impuestos!J9/Resultados!J6</f>
        <v>-1.3034638625917727E-3</v>
      </c>
      <c r="J9" s="7">
        <f>+Impuestos!K9/Resultados!K6</f>
        <v>1.8081073907310365E-2</v>
      </c>
      <c r="K9" s="7">
        <f>+Impuestos!L9/Resultados!L6</f>
        <v>3.9299114425699361E-2</v>
      </c>
      <c r="L9" s="7">
        <f>+Impuestos!M9/Resultados!M6</f>
        <v>4.9358694677381625E-2</v>
      </c>
      <c r="M9" s="7">
        <f>+Impuestos!N9/Resultados!N6</f>
        <v>5.6074967160407503E-2</v>
      </c>
      <c r="N9" s="7">
        <f>+Impuestos!O9/Resultados!O6</f>
        <v>6.2712217329385839E-2</v>
      </c>
      <c r="O9" s="7">
        <f>+Impuestos!P9/Resultados!P6</f>
        <v>6.927174420630397E-2</v>
      </c>
      <c r="P9" s="7">
        <f>+Impuestos!Q9/Resultados!Q6</f>
        <v>7.0879340502476018E-2</v>
      </c>
      <c r="Q9" s="7">
        <f>+Impuestos!R9/Resultados!R6</f>
        <v>7.3687597379094319E-2</v>
      </c>
      <c r="R9" s="7"/>
      <c r="S9" s="48">
        <f t="shared" si="2"/>
        <v>1.392366570749496E-2</v>
      </c>
      <c r="T9" s="48">
        <f t="shared" si="3"/>
        <v>2.0964595190098603E-2</v>
      </c>
      <c r="U9" s="48">
        <f t="shared" si="4"/>
        <v>1.5056807331142392</v>
      </c>
    </row>
    <row r="10" spans="1:21">
      <c r="A10" s="28" t="s">
        <v>168</v>
      </c>
      <c r="B10" s="7">
        <f>+Impuestos!C31</f>
        <v>0</v>
      </c>
      <c r="C10" s="7">
        <f>+Impuestos!D31</f>
        <v>0</v>
      </c>
      <c r="D10" s="7">
        <f>+Impuestos!E31</f>
        <v>0</v>
      </c>
      <c r="E10" s="7">
        <f>+Impuestos!F31</f>
        <v>1.4404761904761905</v>
      </c>
      <c r="F10" s="7">
        <f>+Impuestos!H31</f>
        <v>0.19961728698508663</v>
      </c>
      <c r="G10" s="7">
        <f>+Impuestos!I31</f>
        <v>0.26812735910577684</v>
      </c>
      <c r="H10" s="7">
        <f>+Impuestos!J31</f>
        <v>0.68239248564913091</v>
      </c>
      <c r="I10" s="7">
        <f>+Impuestos!K31</f>
        <v>-0.3869155467571499</v>
      </c>
      <c r="J10" s="7">
        <f>+Impuestos!L31</f>
        <v>-0.14863155955843058</v>
      </c>
      <c r="K10" s="7">
        <f>+Impuestos!M31</f>
        <v>-0.24167054691643677</v>
      </c>
      <c r="L10" s="7">
        <f>+Impuestos!N31</f>
        <v>-0.14178165242484983</v>
      </c>
      <c r="M10" s="7">
        <f>+Impuestos!O31</f>
        <v>-0.13028238352612387</v>
      </c>
      <c r="N10" s="7">
        <f>+Impuestos!P31</f>
        <v>-0.12487255717109776</v>
      </c>
      <c r="O10" s="7">
        <f>+Impuestos!Q31</f>
        <v>-0.1290663912971392</v>
      </c>
      <c r="P10" s="7">
        <f>+Impuestos!R31</f>
        <v>-0.12433891607802755</v>
      </c>
      <c r="Q10" s="7">
        <f>+Impuestos!S31</f>
        <v>0</v>
      </c>
      <c r="R10" s="7"/>
      <c r="S10" s="48">
        <f t="shared" si="2"/>
        <v>7.2690860530433055E-2</v>
      </c>
      <c r="T10" s="48">
        <f t="shared" si="3"/>
        <v>0.62786093078600602</v>
      </c>
      <c r="U10" s="48">
        <f t="shared" si="4"/>
        <v>8.6374122717001427</v>
      </c>
    </row>
    <row r="11" spans="1:21">
      <c r="A11" s="28" t="s">
        <v>184</v>
      </c>
      <c r="B11" s="7">
        <f>+KWOp.!D27</f>
        <v>0.15140476012891524</v>
      </c>
      <c r="C11" s="7">
        <f>+KWOp.!E27</f>
        <v>0.25218848139582228</v>
      </c>
      <c r="D11" s="7">
        <f>+KWOp.!F27</f>
        <v>0.25024087169275866</v>
      </c>
      <c r="E11" s="7">
        <f>+KWOp.!G27</f>
        <v>0.27625615283395877</v>
      </c>
      <c r="F11" s="7">
        <f>+KWOp.!I27</f>
        <v>0.22399649187129195</v>
      </c>
      <c r="G11" s="7">
        <f>+KWOp.!J27</f>
        <v>0.22385087405996665</v>
      </c>
      <c r="H11" s="7">
        <f>+KWOp.!K27</f>
        <v>0.22270478966388607</v>
      </c>
      <c r="I11" s="7">
        <f>+KWOp.!L27</f>
        <v>0.21578792415622239</v>
      </c>
      <c r="J11" s="7">
        <f>+KWOp.!M27</f>
        <v>0.21192987292428309</v>
      </c>
      <c r="K11" s="7">
        <f>+KWOp.!N27</f>
        <v>0.20876475670285624</v>
      </c>
      <c r="L11" s="7">
        <f>+KWOp.!O27</f>
        <v>0.21155348881457312</v>
      </c>
      <c r="M11" s="7">
        <f>+KWOp.!P27</f>
        <v>0.2118322940625727</v>
      </c>
      <c r="N11" s="7">
        <f>+KWOp.!Q27</f>
        <v>0.21201321470776471</v>
      </c>
      <c r="O11" s="7">
        <f>+KWOp.!R27</f>
        <v>0.21260883469054823</v>
      </c>
      <c r="P11" s="7">
        <f>+KWOp.!S27</f>
        <v>0.21319219037044887</v>
      </c>
      <c r="Q11" s="7">
        <f>+KWOp.!T27</f>
        <v>0</v>
      </c>
      <c r="R11" s="7"/>
      <c r="S11" s="48">
        <f t="shared" si="2"/>
        <v>0.20614531237974182</v>
      </c>
      <c r="T11" s="48">
        <f t="shared" si="3"/>
        <v>4.8092532660266078E-2</v>
      </c>
      <c r="U11" s="48">
        <f t="shared" si="4"/>
        <v>0.23329433061118782</v>
      </c>
    </row>
    <row r="12" spans="1:21">
      <c r="A12" s="28" t="s">
        <v>185</v>
      </c>
      <c r="B12" s="7">
        <f>+KWOp.!D32</f>
        <v>0.15140476012891524</v>
      </c>
      <c r="C12" s="7">
        <f>+KWOp.!E32</f>
        <v>0.25218848139582228</v>
      </c>
      <c r="D12" s="7">
        <f>+KWOp.!F32</f>
        <v>0.24352858052121715</v>
      </c>
      <c r="E12" s="7">
        <f>+KWOp.!G32</f>
        <v>0.26793633774968145</v>
      </c>
      <c r="F12" s="7">
        <f>+KWOp.!I32</f>
        <v>0.21727678789290103</v>
      </c>
      <c r="G12" s="7">
        <f>+KWOp.!J32</f>
        <v>0.21774234982344487</v>
      </c>
      <c r="H12" s="7">
        <f>+KWOp.!K32</f>
        <v>0.21726700557016237</v>
      </c>
      <c r="I12" s="7">
        <f>+KWOp.!L32</f>
        <v>0.20998057079919608</v>
      </c>
      <c r="J12" s="7">
        <f>+KWOp.!M32</f>
        <v>0.19965239819930541</v>
      </c>
      <c r="K12" s="7">
        <f>+KWOp.!N32</f>
        <v>0.2004250261228985</v>
      </c>
      <c r="L12" s="7">
        <f>+KWOp.!O32</f>
        <v>0.20285895429076087</v>
      </c>
      <c r="M12" s="7">
        <f>+KWOp.!P32</f>
        <v>0.20253363066648447</v>
      </c>
      <c r="N12" s="7">
        <f>+KWOp.!Q32</f>
        <v>0.2020932967620665</v>
      </c>
      <c r="O12" s="7">
        <f>+KWOp.!R32</f>
        <v>0.20260474094445063</v>
      </c>
      <c r="P12" s="7">
        <f>+KWOp.!S32</f>
        <v>0.20282797674318617</v>
      </c>
      <c r="Q12" s="7">
        <f>+KWOp.!T32</f>
        <v>0</v>
      </c>
      <c r="R12" s="7"/>
      <c r="S12" s="48">
        <f t="shared" si="2"/>
        <v>0.19939505610065583</v>
      </c>
      <c r="T12" s="48">
        <f t="shared" si="3"/>
        <v>4.5801741128236442E-2</v>
      </c>
      <c r="U12" s="48">
        <f t="shared" si="4"/>
        <v>0.22970349427879219</v>
      </c>
    </row>
    <row r="13" spans="1:21">
      <c r="A13" s="28" t="s">
        <v>1165</v>
      </c>
      <c r="B13" s="7">
        <f>+(KWOp.!D8+KWOp.!D9-KWOp.!D17)/Resultados!C6</f>
        <v>0.28952936511986682</v>
      </c>
      <c r="C13" s="7">
        <f>+(KWOp.!E8+KWOp.!E9-KWOp.!E17)/Resultados!D6</f>
        <v>0.3272192686483979</v>
      </c>
      <c r="D13" s="7">
        <f>+(KWOp.!F8+KWOp.!F9-KWOp.!F17)/Resultados!E6</f>
        <v>0.32526729458754006</v>
      </c>
      <c r="E13" s="7">
        <f>+(KWOp.!G8+KWOp.!G9-KWOp.!G17)/Resultados!F6</f>
        <v>0.33600913439112184</v>
      </c>
      <c r="F13" s="7">
        <f>+(KWOp.!H8+KWOp.!H9-KWOp.!H17)/Resultados!G6</f>
        <v>0.34008647449296336</v>
      </c>
      <c r="G13" s="7">
        <f>+(KWOp.!I8+KWOp.!I9-KWOp.!I17)/Resultados!H6</f>
        <v>0.279487096943279</v>
      </c>
      <c r="H13" s="7">
        <f>+(KWOp.!J8+KWOp.!J9-KWOp.!J17)/Resultados!I6</f>
        <v>0.27391355264658585</v>
      </c>
      <c r="I13" s="7">
        <f>+(KWOp.!K8+KWOp.!K9-KWOp.!K17)/Resultados!J6</f>
        <v>0.2681109956368431</v>
      </c>
      <c r="J13" s="7">
        <f>+(KWOp.!L8+KWOp.!L9-KWOp.!L17)/Resultados!K6</f>
        <v>0.26169922795933942</v>
      </c>
      <c r="K13" s="7">
        <f>+(KWOp.!M8+KWOp.!M9-KWOp.!M17)/Resultados!L6</f>
        <v>0.25517487892953317</v>
      </c>
      <c r="L13" s="7">
        <f>+(KWOp.!N8+KWOp.!N9-KWOp.!N17)/Resultados!M6</f>
        <v>0.24901580638424398</v>
      </c>
      <c r="M13" s="7">
        <f>+(KWOp.!O8+KWOp.!O9-KWOp.!O17)/Resultados!N6</f>
        <v>0.25045972695057683</v>
      </c>
      <c r="N13" s="7">
        <f>+(KWOp.!P8+KWOp.!P9-KWOp.!P17)/Resultados!O6</f>
        <v>0.25054602105324997</v>
      </c>
      <c r="O13" s="7">
        <f>+(KWOp.!Q8+KWOp.!Q9-KWOp.!Q17)/Resultados!P6</f>
        <v>0.25036452497631423</v>
      </c>
      <c r="P13" s="7">
        <f>+(KWOp.!R8+KWOp.!R9-KWOp.!R17)/Resultados!Q6</f>
        <v>0.25036126376020246</v>
      </c>
      <c r="Q13" s="7">
        <f>+(KWOp.!S8+KWOp.!S9-KWOp.!S17)/Resultados!R6</f>
        <v>0.25036264604609826</v>
      </c>
      <c r="R13" s="7"/>
      <c r="S13" s="48">
        <f t="shared" si="2"/>
        <v>0.27860045490788482</v>
      </c>
      <c r="T13" s="48">
        <f t="shared" si="3"/>
        <v>2.0015463443044078E-2</v>
      </c>
      <c r="U13" s="48">
        <f>+T13/S13</f>
        <v>7.1842895768644374E-2</v>
      </c>
    </row>
    <row r="14" spans="1:21">
      <c r="A14" s="159" t="s">
        <v>70</v>
      </c>
      <c r="B14" s="7">
        <f>+CapitalFijo!C15</f>
        <v>2.6379734710941703E-2</v>
      </c>
      <c r="C14" s="7">
        <f>+CapitalFijo!D15</f>
        <v>8.8206730143473595E-3</v>
      </c>
      <c r="D14" s="7">
        <f>+CapitalFijo!E15</f>
        <v>2.9106059455892744E-2</v>
      </c>
      <c r="E14" s="7">
        <f>+CapitalFijo!F15</f>
        <v>0.12629757785467127</v>
      </c>
      <c r="F14" s="7">
        <f>+CapitalFijo!H15</f>
        <v>5.8727399314983135E-3</v>
      </c>
      <c r="G14" s="7">
        <f>+CapitalFijo!I15</f>
        <v>5.5136224372616211E-3</v>
      </c>
      <c r="H14" s="7">
        <f>+CapitalFijo!J15</f>
        <v>5.1814954675559457E-3</v>
      </c>
      <c r="I14" s="7">
        <f>+CapitalFijo!K15</f>
        <v>3.8532630939260393E-3</v>
      </c>
      <c r="J14" s="7">
        <f>+CapitalFijo!L15</f>
        <v>2.3867101750429877E-3</v>
      </c>
      <c r="K14" s="7">
        <f>+CapitalFijo!M15</f>
        <v>1.9618997739247232E-2</v>
      </c>
      <c r="L14" s="7">
        <f>+CapitalFijo!N15</f>
        <v>1.8649279024742119E-2</v>
      </c>
      <c r="M14" s="7">
        <f>+CapitalFijo!O15</f>
        <v>1.7723745373679593E-2</v>
      </c>
      <c r="N14" s="7">
        <f>+CapitalFijo!P15</f>
        <v>1.6840608471031856E-2</v>
      </c>
      <c r="O14" s="7">
        <f>+CapitalFijo!Q15</f>
        <v>1.5998140435279206E-2</v>
      </c>
      <c r="P14" s="7">
        <f>+CapitalFijo!R15</f>
        <v>8.9445113199129928E-4</v>
      </c>
      <c r="Q14" s="7">
        <f>+CapitalFijo!S15</f>
        <v>0</v>
      </c>
      <c r="R14" s="7"/>
      <c r="S14" s="48">
        <f t="shared" si="2"/>
        <v>1.894606864481933E-2</v>
      </c>
      <c r="T14" s="48">
        <f t="shared" si="3"/>
        <v>4.9713678230779858E-2</v>
      </c>
      <c r="U14" s="48">
        <f t="shared" si="4"/>
        <v>2.6239574638284506</v>
      </c>
    </row>
    <row r="15" spans="1:21">
      <c r="A15" s="28" t="s">
        <v>186</v>
      </c>
      <c r="B15" s="7">
        <f>+CapitalFijo!C6/Resultados!C6</f>
        <v>1.5535583200191567</v>
      </c>
      <c r="C15" s="7">
        <f>+CapitalFijo!D6/Resultados!D6</f>
        <v>1.3296021519371772</v>
      </c>
      <c r="D15" s="7">
        <f>+CapitalFijo!E6/Resultados!E6</f>
        <v>1.1922915219003463</v>
      </c>
      <c r="E15" s="7">
        <f>+CapitalFijo!F6/Resultados!F6</f>
        <v>1.5478615638467483</v>
      </c>
      <c r="F15" s="7">
        <f>+CapitalFijo!H6/Resultados!H6</f>
        <v>1.5812684064481524</v>
      </c>
      <c r="G15" s="7">
        <f>+CapitalFijo!I6/Resultados!I6</f>
        <v>1.4900876146148965</v>
      </c>
      <c r="H15" s="7">
        <f>+CapitalFijo!J6/Resultados!J6</f>
        <v>1.410149086174588</v>
      </c>
      <c r="I15" s="7">
        <f>+CapitalFijo!K6/Resultados!K6</f>
        <v>1.3373128327815982</v>
      </c>
      <c r="J15" s="7">
        <f>+CapitalFijo!L6/Resultados!L6</f>
        <v>1.2757751520644023</v>
      </c>
      <c r="K15" s="7">
        <f>+CapitalFijo!M6/Resultados!M6</f>
        <v>1.2320240102243631</v>
      </c>
      <c r="L15" s="7">
        <f>+CapitalFijo!N6/Resultados!N6</f>
        <v>1.189777378290096</v>
      </c>
      <c r="M15" s="7">
        <f>+CapitalFijo!O6/Resultados!O6</f>
        <v>1.1484543905745586</v>
      </c>
      <c r="N15" s="7">
        <f>+CapitalFijo!P6/Resultados!P6</f>
        <v>1.1080699356100405</v>
      </c>
      <c r="O15" s="7">
        <f>+CapitalFijo!Q6/Resultados!Q6</f>
        <v>1.0686357854760331</v>
      </c>
      <c r="P15" s="7">
        <f>+CapitalFijo!R6/Resultados!R6</f>
        <v>1.015860572678527</v>
      </c>
      <c r="Q15" s="7" t="e">
        <f>+CapitalFijo!S6/Resultados!S6</f>
        <v>#DIV/0!</v>
      </c>
      <c r="R15" s="7"/>
      <c r="S15" s="48" t="e">
        <f t="shared" si="2"/>
        <v>#DIV/0!</v>
      </c>
      <c r="T15" s="48">
        <f t="shared" si="3"/>
        <v>0.17177699770464988</v>
      </c>
      <c r="U15" s="48" t="e">
        <f t="shared" si="4"/>
        <v>#DIV/0!</v>
      </c>
    </row>
    <row r="16" spans="1:21">
      <c r="A16" s="28" t="s">
        <v>187</v>
      </c>
      <c r="B16" s="7">
        <f>+CapitalFijo!C16</f>
        <v>3.3313539942641281E-2</v>
      </c>
      <c r="C16" s="7">
        <f>+CapitalFijo!D16</f>
        <v>3.1207485981355327E-2</v>
      </c>
      <c r="D16" s="7">
        <f>+CapitalFijo!E16</f>
        <v>2.7879334030418715E-2</v>
      </c>
      <c r="E16" s="7">
        <f>+CapitalFijo!F16</f>
        <v>2.4309116424677497E-2</v>
      </c>
      <c r="F16" s="7">
        <f>+CapitalFijo!H16</f>
        <v>3.6093842138955889E-2</v>
      </c>
      <c r="G16" s="7">
        <f>+CapitalFijo!I16</f>
        <v>3.5960287698322706E-2</v>
      </c>
      <c r="H16" s="7">
        <f>+CapitalFijo!J16</f>
        <v>3.5709850479158568E-2</v>
      </c>
      <c r="I16" s="7">
        <f>+CapitalFijo!K16</f>
        <v>2.8002292661286902E-2</v>
      </c>
      <c r="J16" s="7">
        <f>+CapitalFijo!L16</f>
        <v>1.8181239375713438E-2</v>
      </c>
      <c r="K16" s="7">
        <f>+CapitalFijo!M16</f>
        <v>1.5475888246899619E-2</v>
      </c>
      <c r="L16" s="7">
        <f>+CapitalFijo!N16</f>
        <v>1.5233309960122185E-2</v>
      </c>
      <c r="M16" s="7">
        <f>+CapitalFijo!O16</f>
        <v>1.4998218946367195E-2</v>
      </c>
      <c r="N16" s="7">
        <f>+CapitalFijo!P16</f>
        <v>1.4770273827632857E-2</v>
      </c>
      <c r="O16" s="7">
        <f>+CapitalFijo!Q16</f>
        <v>1.4549153668478969E-2</v>
      </c>
      <c r="P16" s="7">
        <f>+CapitalFijo!R16</f>
        <v>8.5569787320240219E-4</v>
      </c>
      <c r="Q16" s="7">
        <f>+CapitalFijo!S16</f>
        <v>0</v>
      </c>
      <c r="R16" s="7"/>
      <c r="S16" s="48">
        <f t="shared" si="2"/>
        <v>2.1658720703452095E-2</v>
      </c>
      <c r="T16" s="48">
        <f t="shared" si="3"/>
        <v>4.6066295282139822E-3</v>
      </c>
      <c r="U16" s="48">
        <f t="shared" si="4"/>
        <v>0.21269167238856126</v>
      </c>
    </row>
    <row r="17" spans="1:21">
      <c r="A17" s="62"/>
      <c r="B17" s="62"/>
      <c r="C17" s="62"/>
      <c r="D17" s="62"/>
      <c r="E17" s="62"/>
    </row>
    <row r="18" spans="1:21">
      <c r="A18" s="62" t="s">
        <v>188</v>
      </c>
      <c r="B18" s="63">
        <f>+AnalVr.!D18</f>
        <v>8.4475349863538704E-2</v>
      </c>
      <c r="C18" s="63">
        <f>+AnalVr.!F18</f>
        <v>8.501020354012187E-2</v>
      </c>
      <c r="D18" s="63">
        <f>+AnalVr.!H18</f>
        <v>9.6814195872331629E-2</v>
      </c>
      <c r="E18" s="63">
        <f>+AnalVr.!J18</f>
        <v>8.7088184854228715E-2</v>
      </c>
      <c r="F18" s="63">
        <f>+AnalVr.!L18</f>
        <v>8.2273225790695917E-2</v>
      </c>
      <c r="G18" s="63"/>
      <c r="H18" s="63"/>
      <c r="I18" s="63"/>
      <c r="J18" s="63"/>
      <c r="K18" s="63"/>
      <c r="L18" s="63"/>
      <c r="M18" s="63"/>
      <c r="N18" s="63"/>
      <c r="O18" s="63"/>
      <c r="P18" s="63"/>
      <c r="Q18" s="63"/>
      <c r="R18" s="48"/>
      <c r="S18" s="48">
        <f>AVERAGE(B18:R18)</f>
        <v>8.7132231984183364E-2</v>
      </c>
      <c r="T18" s="48">
        <f>STDEV(B18:F18)</f>
        <v>5.6770224015283977E-3</v>
      </c>
      <c r="U18" s="48">
        <f t="shared" si="4"/>
        <v>6.51541028187929E-2</v>
      </c>
    </row>
    <row r="19" spans="1:21">
      <c r="A19" s="62" t="s">
        <v>189</v>
      </c>
      <c r="B19" s="63">
        <f>+AnalVr.!D19</f>
        <v>0</v>
      </c>
      <c r="C19" s="63">
        <f>+AnalVr.!F19</f>
        <v>0</v>
      </c>
      <c r="D19" s="63">
        <f>+AnalVr.!H19</f>
        <v>3.1306898146781226E-2</v>
      </c>
      <c r="E19" s="63">
        <f>+AnalVr.!J19</f>
        <v>0.13127989890784367</v>
      </c>
      <c r="F19" s="63">
        <f>+AnalVr.!L19</f>
        <v>0.19505978784528424</v>
      </c>
      <c r="G19" s="63"/>
      <c r="H19" s="63"/>
      <c r="I19" s="63"/>
      <c r="J19" s="63"/>
      <c r="K19" s="63"/>
      <c r="L19" s="63"/>
      <c r="M19" s="63"/>
      <c r="N19" s="63"/>
      <c r="O19" s="63"/>
      <c r="P19" s="63"/>
      <c r="Q19" s="63"/>
      <c r="R19" s="48"/>
      <c r="S19" s="48">
        <f>AVERAGE(B19:R19)</f>
        <v>7.1529316979981827E-2</v>
      </c>
      <c r="T19" s="48">
        <f>STDEV(B19:F19)</f>
        <v>8.7579447681748218E-2</v>
      </c>
      <c r="U19" s="48">
        <f t="shared" si="4"/>
        <v>1.2243853482657772</v>
      </c>
    </row>
    <row r="20" spans="1:21">
      <c r="A20" s="62" t="s">
        <v>190</v>
      </c>
      <c r="B20" s="63">
        <f>+AnalVr.!D26</f>
        <v>0.91552465013646134</v>
      </c>
      <c r="C20" s="63">
        <f>+AnalVr.!F26</f>
        <v>0.9149897964598781</v>
      </c>
      <c r="D20" s="63">
        <f>+AnalVr.!H26</f>
        <v>0.87187890598088713</v>
      </c>
      <c r="E20" s="63">
        <f>+AnalVr.!J26</f>
        <v>0.7816319162379276</v>
      </c>
      <c r="F20" s="63">
        <f>+AnalVr.!L26</f>
        <v>0.72266698636401983</v>
      </c>
      <c r="G20" s="63"/>
      <c r="H20" s="63"/>
      <c r="I20" s="63"/>
      <c r="J20" s="63"/>
      <c r="K20" s="63"/>
      <c r="L20" s="63"/>
      <c r="M20" s="63"/>
      <c r="N20" s="63"/>
      <c r="O20" s="63"/>
      <c r="P20" s="63"/>
      <c r="Q20" s="63"/>
      <c r="R20" s="48"/>
      <c r="S20" s="48">
        <f>AVERAGE(B20:R20)</f>
        <v>0.84133845103583482</v>
      </c>
      <c r="T20" s="48">
        <f>STDEV(B20:F20)</f>
        <v>8.5890364757852611E-2</v>
      </c>
      <c r="U20" s="48">
        <f t="shared" si="4"/>
        <v>0.10208776818901662</v>
      </c>
    </row>
    <row r="21" spans="1:21">
      <c r="A21" s="62"/>
      <c r="B21" s="84"/>
      <c r="C21" s="84"/>
      <c r="D21" s="84"/>
      <c r="E21" s="84"/>
      <c r="F21" s="84"/>
      <c r="G21" s="84"/>
      <c r="H21" s="84"/>
      <c r="I21" s="84"/>
      <c r="J21" s="84"/>
      <c r="K21" s="84"/>
      <c r="L21" s="84"/>
      <c r="M21" s="84"/>
      <c r="N21" s="84"/>
      <c r="O21" s="84"/>
      <c r="P21" s="84"/>
      <c r="Q21" s="84"/>
      <c r="R21" s="84"/>
      <c r="S21" s="84"/>
      <c r="T21" s="48"/>
      <c r="U21" s="48"/>
    </row>
    <row r="22" spans="1:21">
      <c r="A22" s="160" t="s">
        <v>191</v>
      </c>
      <c r="B22" s="63">
        <v>6.1966666666666684E-2</v>
      </c>
      <c r="C22" s="63">
        <v>3.6615254237288133E-2</v>
      </c>
      <c r="D22" s="63">
        <v>4.1764705882352947E-2</v>
      </c>
      <c r="E22" s="63">
        <v>5.3329090909090909E-2</v>
      </c>
      <c r="F22" s="63">
        <v>7.7899999999999997E-2</v>
      </c>
      <c r="G22" s="63"/>
      <c r="H22" s="63"/>
      <c r="I22" s="63"/>
      <c r="J22" s="63"/>
      <c r="K22" s="63"/>
      <c r="L22" s="63"/>
      <c r="M22" s="63"/>
      <c r="N22" s="63"/>
      <c r="O22" s="63"/>
      <c r="P22" s="63"/>
      <c r="Q22" s="63"/>
      <c r="R22" s="63"/>
      <c r="S22" s="84"/>
      <c r="T22" s="48"/>
      <c r="U22" s="48"/>
    </row>
    <row r="23" spans="1:21">
      <c r="A23" s="162" t="s">
        <v>192</v>
      </c>
      <c r="B23" s="163">
        <f>-0.5*B22</f>
        <v>-3.0983333333333342E-2</v>
      </c>
      <c r="C23" s="163">
        <f>-0.5*C22</f>
        <v>-1.8307627118644067E-2</v>
      </c>
      <c r="D23" s="163">
        <f>-0.5*D22</f>
        <v>-2.0882352941176473E-2</v>
      </c>
      <c r="E23" s="163">
        <f>-0.5*E22</f>
        <v>-2.6664545454545455E-2</v>
      </c>
      <c r="F23" s="163">
        <v>0.08</v>
      </c>
      <c r="G23" s="163"/>
      <c r="H23" s="163"/>
      <c r="I23" s="163"/>
      <c r="J23" s="163"/>
      <c r="K23" s="163"/>
      <c r="L23" s="163"/>
      <c r="M23" s="163"/>
      <c r="N23" s="163"/>
      <c r="O23" s="163"/>
      <c r="P23" s="163"/>
      <c r="Q23" s="163"/>
      <c r="R23" s="63"/>
      <c r="S23" s="84"/>
      <c r="T23" s="48"/>
      <c r="U23" s="48"/>
    </row>
    <row r="24" spans="1:21">
      <c r="A24" t="s">
        <v>193</v>
      </c>
      <c r="B24" s="48">
        <f>(B22+B23)*(1+Impuestos!C27)</f>
        <v>2.0758833333333337E-2</v>
      </c>
      <c r="C24" s="48">
        <f>(C22+C23)*(1+Impuestos!D27)</f>
        <v>1.2266110169491523E-2</v>
      </c>
      <c r="D24" s="48">
        <f>(D22+D23)*(1+Impuestos!E27)</f>
        <v>1.3991176470588236E-2</v>
      </c>
      <c r="E24" s="48">
        <f>(E22+E23)*(1+Impuestos!F27)</f>
        <v>1.7865245454545452E-2</v>
      </c>
      <c r="F24" s="48">
        <f>(F22+F23)*(1+Impuestos!H27)</f>
        <v>0.11842499999999999</v>
      </c>
      <c r="G24" s="48"/>
      <c r="H24" s="48"/>
      <c r="I24" s="48"/>
      <c r="J24" s="48"/>
      <c r="K24" s="48"/>
      <c r="L24" s="48"/>
      <c r="M24" s="48"/>
      <c r="N24" s="48"/>
      <c r="O24" s="48"/>
      <c r="P24" s="48"/>
      <c r="Q24" s="48"/>
      <c r="R24" s="48"/>
      <c r="S24" s="48"/>
      <c r="T24" s="48"/>
      <c r="U24" s="48"/>
    </row>
    <row r="25" spans="1:21">
      <c r="A25" s="161" t="s">
        <v>113</v>
      </c>
      <c r="B25" s="48">
        <v>2.5564854683168473E-4</v>
      </c>
      <c r="C25" s="48">
        <v>-1.8086908466352259E-4</v>
      </c>
      <c r="D25" s="48">
        <v>2.7812917754510558E-2</v>
      </c>
      <c r="E25" s="48">
        <v>-2.5780742961765133E-4</v>
      </c>
      <c r="F25" s="48">
        <v>-3.022211052119006E-2</v>
      </c>
      <c r="G25" s="48"/>
      <c r="H25" s="48"/>
      <c r="I25" s="48"/>
      <c r="J25" s="48"/>
      <c r="K25" s="48"/>
      <c r="L25" s="48"/>
      <c r="M25" s="48"/>
      <c r="N25" s="48"/>
      <c r="O25" s="48"/>
      <c r="P25" s="48"/>
      <c r="Q25" s="48"/>
      <c r="R25" s="48"/>
      <c r="S25" s="48"/>
      <c r="T25" s="48"/>
      <c r="U25" s="48"/>
    </row>
    <row r="26" spans="1:21">
      <c r="A26" s="161" t="s">
        <v>194</v>
      </c>
      <c r="B26" s="164">
        <f>+((1+1.1%)*(1+3.75%))-1</f>
        <v>4.8912499999999914E-2</v>
      </c>
      <c r="C26" s="164">
        <f>+((1+0.5%)*(1+3.75%))-1</f>
        <v>4.2687499999999989E-2</v>
      </c>
      <c r="D26" s="48">
        <f>+((1+0.5%)*(1+3.75%))-1</f>
        <v>4.2687499999999989E-2</v>
      </c>
      <c r="E26" s="48">
        <f>+((1+0.7%)*(1+3.75%))-1</f>
        <v>4.4762500000000038E-2</v>
      </c>
      <c r="F26" s="48">
        <v>7.0000000000000007E-2</v>
      </c>
      <c r="G26" s="48"/>
      <c r="H26" s="48"/>
      <c r="I26" s="48"/>
      <c r="J26" s="48"/>
      <c r="K26" s="48"/>
      <c r="L26" s="48"/>
      <c r="M26" s="48"/>
      <c r="N26" s="48"/>
      <c r="O26" s="48"/>
      <c r="P26" s="48"/>
      <c r="Q26" s="48"/>
      <c r="R26" s="48"/>
      <c r="S26" s="48"/>
      <c r="T26" s="48"/>
      <c r="U26" s="48"/>
    </row>
    <row r="27" spans="1:21">
      <c r="A27" t="s">
        <v>195</v>
      </c>
      <c r="B27" s="48">
        <f>(B26+B25+(B26*B25))*(1+Impuestos!C27)</f>
        <v>3.295103748077359E-2</v>
      </c>
      <c r="C27" s="48">
        <f>(C26+C25+(C26*C25))*(1+Impuestos!D27)</f>
        <v>2.8474269744410877E-2</v>
      </c>
      <c r="D27" s="48">
        <f>(D26+D25+(D26*D25))*(1+Impuestos!E27)</f>
        <v>4.8030746726374661E-2</v>
      </c>
      <c r="E27" s="48">
        <f>(E26+E25+(E26*E25))*(1+Impuestos!F27)</f>
        <v>2.9810412151760463E-2</v>
      </c>
      <c r="F27" s="48">
        <f>(F26+F25+(F26*F25))*(1+Impuestos!H27)</f>
        <v>2.8246756306744981E-2</v>
      </c>
      <c r="G27" s="48"/>
      <c r="H27" s="48"/>
      <c r="I27" s="48"/>
      <c r="J27" s="48"/>
      <c r="K27" s="48"/>
      <c r="L27" s="48"/>
      <c r="M27" s="48"/>
      <c r="N27" s="48"/>
      <c r="O27" s="48"/>
      <c r="P27" s="48"/>
      <c r="Q27" s="48"/>
      <c r="R27" s="48"/>
      <c r="S27" s="48"/>
      <c r="T27" s="48"/>
      <c r="U27" s="48"/>
    </row>
    <row r="28" spans="1:21">
      <c r="A28" s="165" t="s">
        <v>196</v>
      </c>
      <c r="B28" s="166">
        <v>0.05</v>
      </c>
      <c r="C28" s="166">
        <v>0.05</v>
      </c>
      <c r="D28" s="166">
        <v>0.05</v>
      </c>
      <c r="E28" s="166">
        <v>0.05</v>
      </c>
      <c r="F28" s="166">
        <v>0.1</v>
      </c>
      <c r="G28" s="166"/>
      <c r="H28" s="166"/>
      <c r="I28" s="166"/>
      <c r="J28" s="166"/>
      <c r="K28" s="166"/>
      <c r="L28" s="166"/>
      <c r="M28" s="166"/>
      <c r="N28" s="166"/>
      <c r="O28" s="166"/>
      <c r="P28" s="166"/>
      <c r="Q28" s="166"/>
      <c r="R28" s="48"/>
      <c r="S28" s="48"/>
      <c r="T28" s="48"/>
      <c r="U28" s="48"/>
    </row>
    <row r="29" spans="1:21">
      <c r="A29" t="s">
        <v>197</v>
      </c>
      <c r="B29" s="48">
        <f>B6+B28+(B6*B28)</f>
        <v>7.1000000000000008E-2</v>
      </c>
      <c r="C29" s="48">
        <f>C6+C28+(C6*C28)</f>
        <v>8.3284999999999998E-2</v>
      </c>
      <c r="D29" s="48">
        <f>D6+D28+(D6*D28)</f>
        <v>8.906E-2</v>
      </c>
      <c r="E29" s="48">
        <f>E6+E28+(E6*E28)</f>
        <v>7.5620000000000007E-2</v>
      </c>
      <c r="F29" s="48">
        <f>F6+F28+(F6*F28)</f>
        <v>0.12167</v>
      </c>
      <c r="G29" s="48"/>
      <c r="H29" s="48"/>
      <c r="I29" s="48"/>
      <c r="J29" s="48"/>
      <c r="K29" s="48"/>
      <c r="L29" s="48"/>
      <c r="M29" s="48"/>
      <c r="N29" s="48"/>
      <c r="O29" s="48"/>
      <c r="P29" s="48"/>
      <c r="Q29" s="48"/>
      <c r="R29" s="48"/>
      <c r="S29" s="48"/>
      <c r="T29" s="48"/>
      <c r="U29" s="48"/>
    </row>
    <row r="30" spans="1:21">
      <c r="A30" t="s">
        <v>165</v>
      </c>
      <c r="B30" s="63">
        <f>(B18*B24)+(B19*B27)+(B20*B29)</f>
        <v>6.6755859868280989E-2</v>
      </c>
      <c r="C30" s="63">
        <f>(C18*C24)+(C19*C27)+(C20*C29)</f>
        <v>7.7247669720314979E-2</v>
      </c>
      <c r="D30" s="63">
        <f>(D18*D24)+(D19*D27)+(D20*D29)</f>
        <v>8.0507773561642154E-2</v>
      </c>
      <c r="E30" s="63">
        <f>(E18*E24)+(E19*E27)+(E20*E29)</f>
        <v>6.4576365198207974E-2</v>
      </c>
      <c r="F30" s="63">
        <f>(F18*F24)+(F19*F27)+(F20*F29)</f>
        <v>0.10317990528768459</v>
      </c>
      <c r="G30" s="63"/>
      <c r="H30" s="63"/>
      <c r="I30" s="63"/>
      <c r="J30" s="63"/>
      <c r="K30" s="63"/>
      <c r="L30" s="63"/>
      <c r="M30" s="63"/>
      <c r="N30" s="63"/>
      <c r="O30" s="63"/>
      <c r="P30" s="63"/>
      <c r="Q30" s="63"/>
      <c r="R30" s="63"/>
      <c r="S30" s="48"/>
      <c r="T30" s="48"/>
      <c r="U30" s="48"/>
    </row>
    <row r="31" spans="1:21">
      <c r="A31" s="62"/>
      <c r="B31" s="62"/>
      <c r="C31" s="62"/>
      <c r="D31" s="62"/>
      <c r="E31" s="62"/>
      <c r="S31" s="48"/>
    </row>
    <row r="32" spans="1:21">
      <c r="A32" s="62" t="s">
        <v>198</v>
      </c>
      <c r="B32" s="62"/>
      <c r="C32" s="63">
        <f>(Resultados!D34/Resultados!C34)-1</f>
        <v>-1.0427664857904901</v>
      </c>
      <c r="D32" s="63">
        <f>(Resultados!E34/Resultados!D34)-1</f>
        <v>-27.843010752688173</v>
      </c>
      <c r="E32" s="63">
        <f>(Resultados!F34/Resultados!E34)-1</f>
        <v>-0.68066015061688834</v>
      </c>
      <c r="F32" s="48">
        <f>(Resultados!H34/Resultados!F34)-1</f>
        <v>2.3355793021049482</v>
      </c>
      <c r="G32" s="48"/>
      <c r="H32" s="48"/>
      <c r="I32" s="48"/>
      <c r="J32" s="48"/>
      <c r="K32" s="48"/>
      <c r="L32" s="48"/>
      <c r="M32" s="48"/>
      <c r="N32" s="48"/>
      <c r="O32" s="48"/>
      <c r="P32" s="48"/>
      <c r="Q32" s="48"/>
      <c r="R32" s="48"/>
    </row>
    <row r="33" spans="1:18">
      <c r="A33" s="62" t="s">
        <v>199</v>
      </c>
      <c r="B33" s="62"/>
      <c r="C33" s="63" t="e">
        <f>(FCL!D45/FCL!C45)-1</f>
        <v>#DIV/0!</v>
      </c>
      <c r="D33" s="63" t="e">
        <f>(FCL!E45/FCL!D45)-1</f>
        <v>#DIV/0!</v>
      </c>
      <c r="E33" s="63" t="e">
        <f>(FCL!F45/FCL!E45)-1</f>
        <v>#DIV/0!</v>
      </c>
      <c r="F33" s="48">
        <f>(FCL!H45/FCL!F45)-1</f>
        <v>-1</v>
      </c>
      <c r="G33" s="48"/>
      <c r="H33" s="48"/>
      <c r="I33" s="48"/>
      <c r="J33" s="48"/>
      <c r="K33" s="48"/>
      <c r="L33" s="48"/>
      <c r="M33" s="48"/>
      <c r="N33" s="48"/>
      <c r="O33" s="48"/>
      <c r="P33" s="48"/>
      <c r="Q33" s="48"/>
      <c r="R33" s="48"/>
    </row>
    <row r="36" spans="1:18">
      <c r="A36" s="53" t="s">
        <v>365</v>
      </c>
      <c r="B36" s="164">
        <v>7.9500000000000001E-2</v>
      </c>
      <c r="C36" s="164">
        <v>7.9500000000000001E-2</v>
      </c>
      <c r="D36" s="164">
        <v>7.9500000000000001E-2</v>
      </c>
      <c r="E36" s="164">
        <v>7.9500000000000001E-2</v>
      </c>
    </row>
    <row r="37" spans="1:18">
      <c r="A37" s="53" t="s">
        <v>366</v>
      </c>
      <c r="B37" s="48">
        <f>+(1+0.0000756186111842991)^252-1</f>
        <v>1.9237877976477247E-2</v>
      </c>
      <c r="C37" s="48">
        <f>+(1+0.00051328156163727)^252-1</f>
        <v>0.13804715227718534</v>
      </c>
      <c r="D37" s="48">
        <f>+(1+0.000691688677481846)^252-1</f>
        <v>0.19034751264243033</v>
      </c>
      <c r="E37" s="48">
        <f>+(1+0.000317990952091912)^252-1</f>
        <v>8.3418133545027917E-2</v>
      </c>
    </row>
    <row r="38" spans="1:18">
      <c r="A38" s="53" t="s">
        <v>367</v>
      </c>
      <c r="B38" s="167">
        <v>0.42913750352227725</v>
      </c>
      <c r="C38" s="167">
        <v>0.49209521304041542</v>
      </c>
      <c r="D38" s="167">
        <v>0.60462284300741409</v>
      </c>
      <c r="E38" s="167">
        <v>0.5034648053668479</v>
      </c>
    </row>
    <row r="39" spans="1:18">
      <c r="A39" s="53" t="s">
        <v>368</v>
      </c>
      <c r="B39" s="48">
        <f>+B36+(B37-B36)*B38</f>
        <v>5.3639263397870604E-2</v>
      </c>
      <c r="C39" s="48">
        <f>+C36+(C37-C36)*C38</f>
        <v>0.10831077337275116</v>
      </c>
      <c r="D39" s="48">
        <f>+D36+(D37-D36)*D38</f>
        <v>0.14652093823416651</v>
      </c>
      <c r="E39" s="48">
        <f>+E36+(E37-E36)*E38</f>
        <v>8.1472642342648796E-2</v>
      </c>
    </row>
  </sheetData>
  <phoneticPr fontId="0" type="noConversion"/>
  <printOptions horizontalCentered="1" verticalCentered="1"/>
  <pageMargins left="0.78740157480314965" right="0.78740157480314965" top="0.98425196850393704" bottom="0.98425196850393704" header="0.51181102362204722" footer="0.51181102362204722"/>
  <pageSetup scale="79" firstPageNumber="14" orientation="landscape" blackAndWhite="1" horizontalDpi="300" verticalDpi="300"/>
  <headerFooter>
    <oddHeader>&amp;A</oddHeader>
    <oddFooter>&amp;CCia.Modelo -  EVA&amp;RPágina &amp;P</oddFooter>
  </headerFooter>
</worksheet>
</file>

<file path=xl/worksheets/sheet3.xml><?xml version="1.0" encoding="utf-8"?>
<worksheet xmlns="http://schemas.openxmlformats.org/spreadsheetml/2006/main" xmlns:r="http://schemas.openxmlformats.org/officeDocument/2006/relationships">
  <dimension ref="A1:O95"/>
  <sheetViews>
    <sheetView showGridLines="0" zoomScale="70" zoomScaleNormal="70" zoomScalePageLayoutView="70" workbookViewId="0">
      <pane xSplit="1" ySplit="4" topLeftCell="B5" activePane="bottomRight" state="frozen"/>
      <selection activeCell="O84" sqref="O84"/>
      <selection pane="topRight" activeCell="O84" sqref="O84"/>
      <selection pane="bottomLeft" activeCell="O84" sqref="O84"/>
      <selection pane="bottomRight" activeCell="B10" sqref="B10"/>
    </sheetView>
  </sheetViews>
  <sheetFormatPr baseColWidth="10" defaultRowHeight="15" outlineLevelRow="1"/>
  <cols>
    <col min="1" max="1" width="49.6640625" style="282" customWidth="1"/>
    <col min="2" max="2" width="18.109375" style="282" bestFit="1" customWidth="1"/>
    <col min="3" max="3" width="11.33203125" style="282" customWidth="1"/>
    <col min="4" max="12" width="11.5546875" style="282"/>
    <col min="13" max="13" width="0" style="282" hidden="1" customWidth="1"/>
    <col min="14" max="14" width="100" style="282" hidden="1" customWidth="1"/>
    <col min="15" max="16384" width="11.5546875" style="282"/>
  </cols>
  <sheetData>
    <row r="1" spans="1:15" ht="15.75">
      <c r="A1" s="403" t="str">
        <f>+WACC!B1</f>
        <v>ENKA de Colombia S.A.</v>
      </c>
    </row>
    <row r="2" spans="1:15" ht="15.75">
      <c r="A2" s="403" t="s">
        <v>1152</v>
      </c>
    </row>
    <row r="4" spans="1:15" ht="16.5" thickBot="1">
      <c r="B4" s="424">
        <v>2014</v>
      </c>
      <c r="C4" s="424">
        <f>+B4+1</f>
        <v>2015</v>
      </c>
      <c r="D4" s="424">
        <f t="shared" ref="D4:L4" si="0">+C4+1</f>
        <v>2016</v>
      </c>
      <c r="E4" s="424">
        <f t="shared" si="0"/>
        <v>2017</v>
      </c>
      <c r="F4" s="424">
        <f t="shared" si="0"/>
        <v>2018</v>
      </c>
      <c r="G4" s="424">
        <f t="shared" si="0"/>
        <v>2019</v>
      </c>
      <c r="H4" s="424">
        <f t="shared" si="0"/>
        <v>2020</v>
      </c>
      <c r="I4" s="424">
        <f t="shared" si="0"/>
        <v>2021</v>
      </c>
      <c r="J4" s="424">
        <f t="shared" si="0"/>
        <v>2022</v>
      </c>
      <c r="K4" s="424">
        <f t="shared" si="0"/>
        <v>2023</v>
      </c>
      <c r="L4" s="424">
        <f t="shared" si="0"/>
        <v>2024</v>
      </c>
      <c r="O4" s="364" t="s">
        <v>1164</v>
      </c>
    </row>
    <row r="5" spans="1:15">
      <c r="B5" s="542"/>
      <c r="C5" s="542"/>
      <c r="D5" s="542"/>
      <c r="E5" s="542"/>
      <c r="F5" s="542"/>
      <c r="G5" s="542"/>
      <c r="H5" s="542"/>
      <c r="I5" s="542"/>
      <c r="J5" s="542"/>
      <c r="K5" s="542"/>
      <c r="L5" s="542"/>
    </row>
    <row r="6" spans="1:15" ht="15.75">
      <c r="A6" s="283" t="s">
        <v>928</v>
      </c>
      <c r="B6" s="541"/>
      <c r="C6" s="541"/>
      <c r="D6" s="541"/>
      <c r="E6" s="541"/>
      <c r="F6" s="541"/>
      <c r="G6" s="541"/>
      <c r="H6" s="541"/>
      <c r="I6" s="541"/>
      <c r="J6" s="541"/>
      <c r="K6" s="541"/>
      <c r="L6" s="554"/>
      <c r="M6" s="286"/>
      <c r="N6" s="286"/>
      <c r="O6" s="558"/>
    </row>
    <row r="7" spans="1:15" ht="20.100000000000001" customHeight="1">
      <c r="A7" s="546" t="s">
        <v>922</v>
      </c>
      <c r="B7" s="547">
        <f>(1+'Anex Proyecc'!E27)*(1+$O$7)-1</f>
        <v>0.1366282087493278</v>
      </c>
      <c r="C7" s="547">
        <f>(1+'Anex Proyecc'!F27)*(1+$O$7)-1</f>
        <v>6.5132768578736844E-2</v>
      </c>
      <c r="D7" s="547">
        <f>(1+'Anex Proyecc'!G27)*(1+$O$7)-1</f>
        <v>6.0585044431543666E-2</v>
      </c>
      <c r="E7" s="547">
        <f>(1+'Anex Proyecc'!H27)*(1+$O$7)-1</f>
        <v>5.7511692315409535E-2</v>
      </c>
      <c r="F7" s="547">
        <f>(1+'Anex Proyecc'!I27)*(1+$O$7)-1</f>
        <v>5.0200228610048248E-2</v>
      </c>
      <c r="G7" s="547">
        <f>(1+'Anex Proyecc'!J27)*(1+$O$7)-1</f>
        <v>5.2268127339224701E-2</v>
      </c>
      <c r="H7" s="547">
        <f>(1+'Anex Proyecc'!K27)*(1+$O$7)-1</f>
        <v>5.199765166356185E-2</v>
      </c>
      <c r="I7" s="547">
        <f>(1+'Anex Proyecc'!L27)*(1+$O$7)-1</f>
        <v>5.2219981248254888E-2</v>
      </c>
      <c r="J7" s="547">
        <f>(1+'Anex Proyecc'!M27)*(1+$O$7)-1</f>
        <v>5.2440914125340576E-2</v>
      </c>
      <c r="K7" s="547">
        <f>(1+'Anex Proyecc'!N27)*(1+$O$7)-1</f>
        <v>5.2660372570221492E-2</v>
      </c>
      <c r="L7" s="555">
        <f>(1+'Anex Proyecc'!O27)*(1+$O$7)-1</f>
        <v>5.2878281146684136E-2</v>
      </c>
      <c r="M7" s="545"/>
      <c r="N7" s="545"/>
      <c r="O7" s="559">
        <v>0</v>
      </c>
    </row>
    <row r="8" spans="1:15" ht="20.100000000000001" customHeight="1">
      <c r="A8" s="287" t="s">
        <v>1163</v>
      </c>
      <c r="B8" s="288">
        <f>+'Sup Macroec'!B5</f>
        <v>2.8000000000000001E-2</v>
      </c>
      <c r="C8" s="288">
        <f>+'Sup Macroec'!C5</f>
        <v>3.4299999999999997E-2</v>
      </c>
      <c r="D8" s="288">
        <f>+'Sup Macroec'!D5</f>
        <v>3.6299999999999999E-2</v>
      </c>
      <c r="E8" s="288">
        <f>+'Sup Macroec'!E5</f>
        <v>3.4799999999999998E-2</v>
      </c>
      <c r="F8" s="288">
        <f>+'Sup Macroec'!F5</f>
        <v>3.3300000000000003E-2</v>
      </c>
      <c r="G8" s="288">
        <f>+'Sup Macroec'!G5</f>
        <v>3.1899999999999998E-2</v>
      </c>
      <c r="H8" s="288">
        <f>+'Sup Macroec'!H5</f>
        <v>3.1899999999999998E-2</v>
      </c>
      <c r="I8" s="288">
        <f>+'Sup Macroec'!I5</f>
        <v>3.1899999999999998E-2</v>
      </c>
      <c r="J8" s="288">
        <f>+'Sup Macroec'!J5</f>
        <v>3.1899999999999998E-2</v>
      </c>
      <c r="K8" s="288">
        <f>+'Sup Macroec'!K5</f>
        <v>3.1899999999999998E-2</v>
      </c>
      <c r="L8" s="556">
        <f>+'Sup Macroec'!L5</f>
        <v>3.1899999999999998E-2</v>
      </c>
      <c r="M8" s="286"/>
      <c r="N8" s="286"/>
      <c r="O8" s="560"/>
    </row>
    <row r="9" spans="1:15" ht="20.100000000000001" customHeight="1">
      <c r="A9" s="287" t="s">
        <v>182</v>
      </c>
      <c r="B9" s="288">
        <f t="shared" ref="B9:L9" si="1">+(1+B7)/(1+B8)-1</f>
        <v>0.10566946376393749</v>
      </c>
      <c r="C9" s="288">
        <f t="shared" si="1"/>
        <v>2.9810276108224842E-2</v>
      </c>
      <c r="D9" s="288">
        <f t="shared" si="1"/>
        <v>2.343437656233105E-2</v>
      </c>
      <c r="E9" s="288">
        <f t="shared" si="1"/>
        <v>2.1947905213963725E-2</v>
      </c>
      <c r="F9" s="288">
        <f t="shared" si="1"/>
        <v>1.6355587544806038E-2</v>
      </c>
      <c r="G9" s="288">
        <f t="shared" si="1"/>
        <v>1.9738470141704267E-2</v>
      </c>
      <c r="H9" s="288">
        <f t="shared" si="1"/>
        <v>1.9476355910031717E-2</v>
      </c>
      <c r="I9" s="288">
        <f t="shared" si="1"/>
        <v>1.9691812431684053E-2</v>
      </c>
      <c r="J9" s="288">
        <f t="shared" si="1"/>
        <v>1.9905915423336085E-2</v>
      </c>
      <c r="K9" s="288">
        <f t="shared" si="1"/>
        <v>2.0118589563156819E-2</v>
      </c>
      <c r="L9" s="556">
        <f t="shared" si="1"/>
        <v>2.0329761746956221E-2</v>
      </c>
      <c r="M9" s="286"/>
      <c r="N9" s="286"/>
      <c r="O9" s="560"/>
    </row>
    <row r="10" spans="1:15" ht="20.100000000000001" customHeight="1">
      <c r="A10" s="546" t="s">
        <v>923</v>
      </c>
      <c r="B10" s="548">
        <f>(1+'Anex Proyecc'!E33)*(1+$O$10)-1</f>
        <v>0.87540364559417227</v>
      </c>
      <c r="C10" s="548">
        <f>(1+'Anex Proyecc'!F33)*(1+$O$10)-1</f>
        <v>0.87102662736620151</v>
      </c>
      <c r="D10" s="548">
        <f>(1+'Anex Proyecc'!G33)*(1+$O$10)-1</f>
        <v>0.86667149422937051</v>
      </c>
      <c r="E10" s="548">
        <f>(1+'Anex Proyecc'!H33)*(1+$O$10)-1</f>
        <v>0.86233813675822368</v>
      </c>
      <c r="F10" s="548">
        <f>(1+'Anex Proyecc'!I33)*(1+$O$10)-1</f>
        <v>0.85802644607443268</v>
      </c>
      <c r="G10" s="548">
        <f>(1+'Anex Proyecc'!J33)*(1+$O$10)-1</f>
        <v>0.85373631384406057</v>
      </c>
      <c r="H10" s="548">
        <f>(1+'Anex Proyecc'!K33)*(1+$O$10)-1</f>
        <v>0.84946763227484023</v>
      </c>
      <c r="I10" s="548">
        <f>(1+'Anex Proyecc'!L33)*(1+$O$10)-1</f>
        <v>0.84522029411346589</v>
      </c>
      <c r="J10" s="548">
        <f>(1+'Anex Proyecc'!M33)*(1+$O$10)-1</f>
        <v>0.84099419264289854</v>
      </c>
      <c r="K10" s="548">
        <f>(1+'Anex Proyecc'!N33)*(1+$O$10)-1</f>
        <v>0.84166698799701267</v>
      </c>
      <c r="L10" s="557">
        <f>(1+'Anex Proyecc'!O33)*(1+$O$10)-1</f>
        <v>0.85538615990136413</v>
      </c>
      <c r="M10" s="545"/>
      <c r="N10" s="545"/>
      <c r="O10" s="559">
        <v>0</v>
      </c>
    </row>
    <row r="11" spans="1:15" ht="20.100000000000001" customHeight="1">
      <c r="A11" s="546" t="s">
        <v>924</v>
      </c>
      <c r="B11" s="548">
        <f>(1+'Anex Proyecc'!E42)*(1+$O$11)-1</f>
        <v>4.9211879694557314E-2</v>
      </c>
      <c r="C11" s="548">
        <f>(1+'Anex Proyecc'!F42)*(1+$O$11)-1</f>
        <v>4.7787326302991096E-2</v>
      </c>
      <c r="D11" s="548">
        <f>(1+'Anex Proyecc'!G42)*(1+$O$11)-1</f>
        <v>4.6693102554857147E-2</v>
      </c>
      <c r="E11" s="548">
        <f>(1+'Anex Proyecc'!H42)*(1+$O$11)-1</f>
        <v>4.5690296263272812E-2</v>
      </c>
      <c r="F11" s="548">
        <f>(1+'Anex Proyecc'!I42)*(1+$O$11)-1</f>
        <v>4.4955030329145274E-2</v>
      </c>
      <c r="G11" s="548">
        <f>(1+'Anex Proyecc'!J42)*(1+$O$11)-1</f>
        <v>4.4084862585304085E-2</v>
      </c>
      <c r="H11" s="548">
        <f>(1+'Anex Proyecc'!K42)*(1+$O$11)-1</f>
        <v>4.324265327953758E-2</v>
      </c>
      <c r="I11" s="548">
        <f>(1+'Anex Proyecc'!L42)*(1+$O$11)-1</f>
        <v>4.2407571339045935E-2</v>
      </c>
      <c r="J11" s="548">
        <f>(1+'Anex Proyecc'!M42)*(1+$O$11)-1</f>
        <v>4.1579885651946258E-2</v>
      </c>
      <c r="K11" s="548">
        <f>(1+'Anex Proyecc'!N42)*(1+$O$11)-1</f>
        <v>4.0759854861337264E-2</v>
      </c>
      <c r="L11" s="557">
        <f>(1+'Anex Proyecc'!O42)*(1+$O$11)-1</f>
        <v>3.9947727087319418E-2</v>
      </c>
      <c r="M11" s="545"/>
      <c r="N11" s="549" t="s">
        <v>952</v>
      </c>
      <c r="O11" s="559">
        <v>0</v>
      </c>
    </row>
    <row r="12" spans="1:15" ht="20.100000000000001" customHeight="1">
      <c r="A12" s="546" t="s">
        <v>949</v>
      </c>
      <c r="B12" s="548">
        <f>(1+'Anex Proyecc'!E44)*(1+$O$12)-1</f>
        <v>4.2826163196249212E-2</v>
      </c>
      <c r="C12" s="548">
        <f>(1+'Anex Proyecc'!F44)*(1+$O$12)-1</f>
        <v>4.1586459360353434E-2</v>
      </c>
      <c r="D12" s="548">
        <f>(1+'Anex Proyecc'!G44)*(1+$O$12)-1</f>
        <v>4.0634221707541718E-2</v>
      </c>
      <c r="E12" s="548">
        <f>(1+'Anex Proyecc'!H44)*(1+$O$12)-1</f>
        <v>3.9761539213717834E-2</v>
      </c>
      <c r="F12" s="548">
        <f>(1+'Anex Proyecc'!I44)*(1+$O$12)-1</f>
        <v>3.9121681133046149E-2</v>
      </c>
      <c r="G12" s="548">
        <f>(1+'Anex Proyecc'!J44)*(1+$O$12)-1</f>
        <v>3.8364426054858791E-2</v>
      </c>
      <c r="H12" s="548">
        <f>(1+'Anex Proyecc'!K44)*(1+$O$12)-1</f>
        <v>3.7631501537485734E-2</v>
      </c>
      <c r="I12" s="548">
        <f>(1+'Anex Proyecc'!L44)*(1+$O$12)-1</f>
        <v>3.6904779540933186E-2</v>
      </c>
      <c r="J12" s="548">
        <f>(1+'Anex Proyecc'!M44)*(1+$O$12)-1</f>
        <v>3.6184494062488914E-2</v>
      </c>
      <c r="K12" s="548">
        <f>(1+'Anex Proyecc'!N44)*(1+$O$12)-1</f>
        <v>3.5470870183812897E-2</v>
      </c>
      <c r="L12" s="557">
        <f>(1+'Anex Proyecc'!O44)*(1+$O$12)-1</f>
        <v>3.4764123829027049E-2</v>
      </c>
      <c r="M12" s="545"/>
      <c r="N12" s="545"/>
      <c r="O12" s="559">
        <v>0</v>
      </c>
    </row>
    <row r="13" spans="1:15" ht="20.100000000000001" customHeight="1">
      <c r="A13" s="287" t="s">
        <v>37</v>
      </c>
      <c r="B13" s="289">
        <f>AVERAGE(Resultados!E24/Resultados!E6,Resultados!F24/Resultados!F6,Resultados!G24/Resultados!G6)</f>
        <v>8.0483274695889312E-3</v>
      </c>
      <c r="C13" s="289">
        <f>AVERAGE(Resultados!F24/Resultados!F6,Resultados!G24/Resultados!G6,Resultados!H24/Resultados!H6)</f>
        <v>7.1407309726268381E-3</v>
      </c>
      <c r="D13" s="289">
        <f>AVERAGE(Resultados!G24/Resultados!G6,Resultados!H24/Resultados!H6,Resultados!I24/Resultados!I6)</f>
        <v>3.7282676085034568E-3</v>
      </c>
      <c r="E13" s="289">
        <f>AVERAGE(Resultados!H24/Resultados!H6,Resultados!I24/Resultados!I6,Resultados!J24/Resultados!J6)</f>
        <v>2.7662689901287942E-3</v>
      </c>
      <c r="F13" s="289">
        <f>AVERAGE(Resultados!I24/Resultados!I6,Resultados!J24/Resultados!J6,Resultados!K24/Resultados!K6)</f>
        <v>2.8364414197395494E-3</v>
      </c>
      <c r="G13" s="289">
        <f>AVERAGE(Resultados!J24/Resultados!J6,Resultados!K24/Resultados!K6,Resultados!L24/Resultados!L6)</f>
        <v>2.7906233419011765E-3</v>
      </c>
      <c r="H13" s="289">
        <f>AVERAGE(Resultados!K24/Resultados!K6,Resultados!L24/Resultados!L6,Resultados!M24/Resultados!M6)</f>
        <v>2.7431501998123283E-3</v>
      </c>
      <c r="I13" s="289">
        <f>AVERAGE(Resultados!L24/Resultados!L6,Resultados!M24/Resultados!M6,Resultados!N24/Resultados!N6)</f>
        <v>2.7438319629306943E-3</v>
      </c>
      <c r="J13" s="289">
        <f>AVERAGE(Resultados!M24/Resultados!M6,Resultados!N24/Resultados!N6,Resultados!O24/Resultados!O6)</f>
        <v>2.7286127373168552E-3</v>
      </c>
      <c r="K13" s="289">
        <f>AVERAGE(Resultados!N24/Resultados!N6,Resultados!O24/Resultados!O6,Resultados!P24/Resultados!P6)</f>
        <v>2.7263748457963099E-3</v>
      </c>
      <c r="L13" s="290">
        <f>AVERAGE(Resultados!O24/Resultados!O6,Resultados!P24/Resultados!P6,Resultados!Q24/Resultados!Q6)</f>
        <v>2.7298468257471874E-3</v>
      </c>
      <c r="M13" s="286"/>
      <c r="N13" s="286"/>
      <c r="O13" s="560"/>
    </row>
    <row r="14" spans="1:15" ht="20.100000000000001" customHeight="1">
      <c r="A14" s="291" t="s">
        <v>41</v>
      </c>
      <c r="B14" s="289">
        <f>+AVERAGE(Resultados!C28:G28)/AVERAGE(Resultados!C6:G6)</f>
        <v>7.4713207985064225E-3</v>
      </c>
      <c r="C14" s="289">
        <f>+AVERAGE(Resultados!D28:H28)/AVERAGE(Resultados!D6:H6)</f>
        <v>7.7254590141111077E-3</v>
      </c>
      <c r="D14" s="289">
        <f>+AVERAGE(Resultados!E28:I28)/AVERAGE(Resultados!E6:I6)</f>
        <v>7.5621794194012139E-3</v>
      </c>
      <c r="E14" s="289">
        <f>+AVERAGE(Resultados!F28:J28)/AVERAGE(Resultados!F6:J6)</f>
        <v>7.6340907807204861E-3</v>
      </c>
      <c r="F14" s="289">
        <f>+AVERAGE(Resultados!G28:K28)/AVERAGE(Resultados!G6:K6)</f>
        <v>6.6379829660438436E-3</v>
      </c>
      <c r="G14" s="289">
        <f>+AVERAGE(Resultados!H28:L28)/AVERAGE(Resultados!H6:L6)</f>
        <v>6.3657327302416153E-3</v>
      </c>
      <c r="H14" s="289">
        <f>+AVERAGE(Resultados!I28:M28)/AVERAGE(Resultados!I6:M6)</f>
        <v>6.2292111499077651E-3</v>
      </c>
      <c r="I14" s="289">
        <f>+AVERAGE(Resultados!J28:N28)/AVERAGE(Resultados!J6:N6)</f>
        <v>6.1068400043804861E-3</v>
      </c>
      <c r="J14" s="289">
        <f>+AVERAGE(Resultados!K28:O28)/AVERAGE(Resultados!K6:O6)</f>
        <v>5.990611847117128E-3</v>
      </c>
      <c r="K14" s="289">
        <f>+AVERAGE(Resultados!L28:P28)/AVERAGE(Resultados!L6:P6)</f>
        <v>5.8783785186230404E-3</v>
      </c>
      <c r="L14" s="290">
        <f>+AVERAGE(Resultados!M28:Q28)/AVERAGE(Resultados!M6:Q6)</f>
        <v>5.7642545180305108E-3</v>
      </c>
      <c r="M14" s="286"/>
      <c r="N14" s="297" t="s">
        <v>953</v>
      </c>
      <c r="O14" s="560"/>
    </row>
    <row r="15" spans="1:15" ht="20.100000000000001" customHeight="1">
      <c r="A15" s="292" t="s">
        <v>42</v>
      </c>
      <c r="B15" s="578">
        <f>AVERAGE(Resultados!C29:G29)/AVERAGE(Resultados!C6:G6)</f>
        <v>-1.4679658795264113E-2</v>
      </c>
      <c r="C15" s="578">
        <f>AVERAGE(Resultados!D29:H29)/AVERAGE(Resultados!D6:H6)</f>
        <v>-9.1522992948298836E-3</v>
      </c>
      <c r="D15" s="578">
        <f>AVERAGE(Resultados!E29:I29)/AVERAGE(Resultados!E6:I6)</f>
        <v>-7.3335275738435129E-3</v>
      </c>
      <c r="E15" s="578">
        <f>AVERAGE(Resultados!F29:J29)/AVERAGE(Resultados!F6:J6)</f>
        <v>-4.8318558129613201E-3</v>
      </c>
      <c r="F15" s="578">
        <f>AVERAGE(Resultados!G29:K29)/AVERAGE(Resultados!G6:K6)</f>
        <v>-3.6382864643664885E-3</v>
      </c>
      <c r="G15" s="578">
        <f>AVERAGE(Resultados!H29:L29)/AVERAGE(Resultados!H6:L6)</f>
        <v>-2.3292115417669875E-3</v>
      </c>
      <c r="H15" s="578">
        <f>AVERAGE(Resultados!I29:M29)/AVERAGE(Resultados!I6:M6)</f>
        <v>-1.5818605388860866E-3</v>
      </c>
      <c r="I15" s="578">
        <f>AVERAGE(Resultados!J29:N29)/AVERAGE(Resultados!J6:N6)</f>
        <v>-1.2054942089645023E-3</v>
      </c>
      <c r="J15" s="578">
        <f>AVERAGE(Resultados!K29:O29)/AVERAGE(Resultados!K6:O6)</f>
        <v>-1.0076850372139519E-3</v>
      </c>
      <c r="K15" s="578">
        <f>AVERAGE(Resultados!L29:P29)/AVERAGE(Resultados!L6:P6)</f>
        <v>-8.2080889157013035E-4</v>
      </c>
      <c r="L15" s="579">
        <f>AVERAGE(Resultados!M29:Q29)/AVERAGE(Resultados!M6:Q6)</f>
        <v>-8.0534168366430876E-4</v>
      </c>
      <c r="M15" s="286"/>
      <c r="N15" s="286"/>
      <c r="O15" s="561"/>
    </row>
    <row r="16" spans="1:15" ht="20.100000000000001" customHeight="1">
      <c r="A16" s="293"/>
      <c r="B16" s="294"/>
      <c r="C16" s="294"/>
      <c r="D16" s="294"/>
      <c r="E16" s="294"/>
      <c r="F16" s="294"/>
      <c r="G16" s="294"/>
      <c r="H16" s="294"/>
      <c r="I16" s="294"/>
      <c r="J16" s="294"/>
      <c r="K16" s="294"/>
      <c r="L16" s="294"/>
      <c r="M16" s="286"/>
      <c r="N16" s="286"/>
    </row>
    <row r="17" spans="1:15" ht="20.100000000000001" customHeight="1">
      <c r="A17" s="425" t="s">
        <v>1151</v>
      </c>
      <c r="B17" s="426">
        <f>+AVERAGE(Balance!D9/Resultados!C6*360,Balance!E9/Resultados!D6*360,Balance!F9/Resultados!E6*360,Balance!G9/Resultados!F6*360,Balance!H9/Resultados!G6*360)</f>
        <v>85.897379856749666</v>
      </c>
      <c r="C17" s="284"/>
      <c r="D17" s="284"/>
      <c r="E17" s="284"/>
      <c r="F17" s="284"/>
      <c r="G17" s="284"/>
      <c r="H17" s="284"/>
      <c r="I17" s="284"/>
      <c r="J17" s="284"/>
      <c r="K17" s="284"/>
      <c r="L17" s="285"/>
      <c r="M17" s="286"/>
      <c r="N17" s="286"/>
      <c r="O17" s="558"/>
    </row>
    <row r="18" spans="1:15" ht="20.100000000000001" hidden="1" customHeight="1" outlineLevel="1">
      <c r="A18" s="427"/>
      <c r="B18" s="428"/>
      <c r="C18" s="428"/>
      <c r="D18" s="428"/>
      <c r="E18" s="428"/>
      <c r="F18" s="428"/>
      <c r="G18" s="428"/>
      <c r="H18" s="428"/>
      <c r="I18" s="428"/>
      <c r="J18" s="428"/>
      <c r="K18" s="428"/>
      <c r="L18" s="429"/>
      <c r="M18" s="286"/>
      <c r="N18" s="286"/>
      <c r="O18" s="562"/>
    </row>
    <row r="19" spans="1:15" ht="20.100000000000001" hidden="1" customHeight="1" outlineLevel="1">
      <c r="A19" s="427"/>
      <c r="B19" s="430"/>
      <c r="C19" s="431"/>
      <c r="D19" s="431"/>
      <c r="E19" s="431"/>
      <c r="F19" s="431"/>
      <c r="G19" s="431"/>
      <c r="H19" s="431"/>
      <c r="I19" s="431"/>
      <c r="J19" s="431"/>
      <c r="K19" s="431"/>
      <c r="L19" s="432"/>
      <c r="M19" s="286"/>
      <c r="N19" s="286"/>
      <c r="O19" s="562"/>
    </row>
    <row r="20" spans="1:15" ht="20.100000000000001" hidden="1" customHeight="1" outlineLevel="1">
      <c r="A20" s="427"/>
      <c r="B20" s="430"/>
      <c r="C20" s="431"/>
      <c r="D20" s="431"/>
      <c r="E20" s="431"/>
      <c r="F20" s="431"/>
      <c r="G20" s="431"/>
      <c r="H20" s="431"/>
      <c r="I20" s="431"/>
      <c r="J20" s="431"/>
      <c r="K20" s="431"/>
      <c r="L20" s="432"/>
      <c r="M20" s="286"/>
      <c r="N20" s="286"/>
      <c r="O20" s="562"/>
    </row>
    <row r="21" spans="1:15" ht="20.100000000000001" hidden="1" customHeight="1" outlineLevel="1">
      <c r="A21" s="427"/>
      <c r="B21" s="430">
        <f>+(Balance!H9/Resultados!G6)*360</f>
        <v>82.204401603121013</v>
      </c>
      <c r="C21" s="431"/>
      <c r="D21" s="431"/>
      <c r="E21" s="431"/>
      <c r="F21" s="431"/>
      <c r="G21" s="431"/>
      <c r="H21" s="431"/>
      <c r="I21" s="431"/>
      <c r="J21" s="431"/>
      <c r="K21" s="431"/>
      <c r="L21" s="432"/>
      <c r="M21" s="286"/>
      <c r="N21" s="286"/>
      <c r="O21" s="562"/>
    </row>
    <row r="22" spans="1:15" ht="20.100000000000001" hidden="1" customHeight="1" outlineLevel="1">
      <c r="A22" s="427"/>
      <c r="B22" s="587">
        <f>+(Balance!I9/Resultados!H6)*360</f>
        <v>83.999999999999986</v>
      </c>
      <c r="C22" s="431"/>
      <c r="D22" s="431"/>
      <c r="E22" s="431"/>
      <c r="F22" s="431"/>
      <c r="G22" s="431"/>
      <c r="H22" s="431"/>
      <c r="I22" s="431"/>
      <c r="J22" s="431"/>
      <c r="K22" s="431"/>
      <c r="L22" s="432"/>
      <c r="M22" s="286"/>
      <c r="N22" s="286"/>
      <c r="O22" s="562"/>
    </row>
    <row r="23" spans="1:15" ht="20.100000000000001" customHeight="1" collapsed="1">
      <c r="A23" s="433" t="s">
        <v>1149</v>
      </c>
      <c r="B23" s="587">
        <v>85</v>
      </c>
      <c r="C23" s="431"/>
      <c r="D23" s="431"/>
      <c r="E23" s="431"/>
      <c r="F23" s="431"/>
      <c r="G23" s="431"/>
      <c r="H23" s="431"/>
      <c r="I23" s="431"/>
      <c r="J23" s="431"/>
      <c r="K23" s="431"/>
      <c r="L23" s="432"/>
      <c r="M23" s="286"/>
      <c r="N23" s="286"/>
      <c r="O23" s="562"/>
    </row>
    <row r="24" spans="1:15" ht="20.100000000000001" hidden="1" customHeight="1" outlineLevel="1">
      <c r="A24" s="427"/>
      <c r="B24" s="431"/>
      <c r="C24" s="431"/>
      <c r="D24" s="431"/>
      <c r="E24" s="431"/>
      <c r="F24" s="431"/>
      <c r="G24" s="431"/>
      <c r="H24" s="431"/>
      <c r="I24" s="431"/>
      <c r="J24" s="431"/>
      <c r="K24" s="431"/>
      <c r="L24" s="432"/>
      <c r="M24" s="286"/>
      <c r="N24" s="286"/>
      <c r="O24" s="562"/>
    </row>
    <row r="25" spans="1:15" ht="20.100000000000001" hidden="1" customHeight="1" outlineLevel="1">
      <c r="A25" s="427"/>
      <c r="B25" s="430"/>
      <c r="C25" s="431"/>
      <c r="D25" s="431"/>
      <c r="E25" s="431"/>
      <c r="F25" s="431"/>
      <c r="G25" s="431"/>
      <c r="H25" s="431"/>
      <c r="I25" s="431"/>
      <c r="J25" s="431"/>
      <c r="K25" s="431"/>
      <c r="L25" s="432"/>
      <c r="M25" s="286"/>
      <c r="N25" s="286"/>
      <c r="O25" s="562"/>
    </row>
    <row r="26" spans="1:15" ht="20.100000000000001" hidden="1" customHeight="1" outlineLevel="1">
      <c r="A26" s="427"/>
      <c r="B26" s="430">
        <f>+(Balance!H10/-Resultados!G8)*360</f>
        <v>103.56920070647476</v>
      </c>
      <c r="C26" s="431"/>
      <c r="D26" s="431"/>
      <c r="E26" s="431"/>
      <c r="F26" s="431"/>
      <c r="G26" s="431"/>
      <c r="H26" s="431"/>
      <c r="I26" s="431"/>
      <c r="J26" s="431"/>
      <c r="K26" s="431"/>
      <c r="L26" s="432"/>
      <c r="M26" s="286"/>
      <c r="N26" s="286"/>
      <c r="O26" s="562"/>
    </row>
    <row r="27" spans="1:15" ht="20.100000000000001" hidden="1" customHeight="1" outlineLevel="1">
      <c r="A27" s="427"/>
      <c r="B27" s="430">
        <f>-(Balance!I10/Resultados!H8)*360</f>
        <v>62.585220241179869</v>
      </c>
      <c r="C27" s="431"/>
      <c r="D27" s="431"/>
      <c r="E27" s="431"/>
      <c r="F27" s="431"/>
      <c r="G27" s="431"/>
      <c r="H27" s="431"/>
      <c r="I27" s="431"/>
      <c r="J27" s="431"/>
      <c r="K27" s="431"/>
      <c r="L27" s="432"/>
      <c r="M27" s="286"/>
      <c r="N27" s="286"/>
      <c r="O27" s="562"/>
    </row>
    <row r="28" spans="1:15" ht="20.100000000000001" customHeight="1" collapsed="1">
      <c r="A28" s="433" t="s">
        <v>1148</v>
      </c>
      <c r="B28" s="430">
        <v>60</v>
      </c>
      <c r="C28" s="431"/>
      <c r="D28" s="431"/>
      <c r="E28" s="431"/>
      <c r="F28" s="431"/>
      <c r="G28" s="431"/>
      <c r="H28" s="431"/>
      <c r="I28" s="431"/>
      <c r="J28" s="431"/>
      <c r="K28" s="431"/>
      <c r="L28" s="432"/>
      <c r="M28" s="286"/>
      <c r="N28" s="286"/>
      <c r="O28" s="562"/>
    </row>
    <row r="29" spans="1:15" ht="20.100000000000001" hidden="1" customHeight="1" outlineLevel="1">
      <c r="A29" s="427"/>
      <c r="B29" s="431"/>
      <c r="C29" s="431"/>
      <c r="D29" s="431"/>
      <c r="E29" s="431"/>
      <c r="F29" s="431"/>
      <c r="G29" s="431"/>
      <c r="H29" s="431"/>
      <c r="I29" s="431"/>
      <c r="J29" s="431"/>
      <c r="K29" s="431"/>
      <c r="L29" s="432"/>
      <c r="M29" s="286"/>
      <c r="N29" s="286"/>
      <c r="O29" s="562"/>
    </row>
    <row r="30" spans="1:15" ht="20.100000000000001" hidden="1" customHeight="1" outlineLevel="1">
      <c r="A30" s="427"/>
      <c r="B30" s="430"/>
      <c r="C30" s="431"/>
      <c r="D30" s="431"/>
      <c r="E30" s="431"/>
      <c r="F30" s="431"/>
      <c r="G30" s="431"/>
      <c r="H30" s="431"/>
      <c r="I30" s="431"/>
      <c r="J30" s="431"/>
      <c r="K30" s="431"/>
      <c r="L30" s="432"/>
      <c r="M30" s="286"/>
      <c r="N30" s="286"/>
      <c r="O30" s="562"/>
    </row>
    <row r="31" spans="1:15" ht="20.100000000000001" hidden="1" customHeight="1" outlineLevel="1">
      <c r="A31" s="427"/>
      <c r="B31" s="430">
        <f>-((Balance!H34+Balance!H35+Balance!H45+Balance!H46)/(Resultados!G8+(Resultados!G14-Resultados!G15)+(Resultados!G16-Resultados!G17-Resultados!G18))*360)</f>
        <v>66.368352447531421</v>
      </c>
      <c r="C31" s="431"/>
      <c r="D31" s="431"/>
      <c r="E31" s="431"/>
      <c r="F31" s="431"/>
      <c r="G31" s="431"/>
      <c r="H31" s="431"/>
      <c r="I31" s="431"/>
      <c r="J31" s="431"/>
      <c r="K31" s="431"/>
      <c r="L31" s="432"/>
      <c r="M31" s="286"/>
      <c r="N31" s="286"/>
      <c r="O31" s="562"/>
    </row>
    <row r="32" spans="1:15" ht="20.100000000000001" hidden="1" customHeight="1" outlineLevel="1">
      <c r="A32" s="427"/>
      <c r="B32" s="430">
        <f>-((Balance!I34+Balance!I35+Balance!I45+Balance!I46)/(Resultados!H8+(Resultados!H14-Resultados!H15)+(Resultados!H16-Resultados!H17-Resultados!H18)))*360</f>
        <v>51.053978679552344</v>
      </c>
      <c r="C32" s="431"/>
      <c r="D32" s="431"/>
      <c r="E32" s="431"/>
      <c r="F32" s="431"/>
      <c r="G32" s="431"/>
      <c r="H32" s="431"/>
      <c r="I32" s="431"/>
      <c r="J32" s="431"/>
      <c r="K32" s="431"/>
      <c r="L32" s="432"/>
      <c r="M32" s="286"/>
      <c r="N32" s="286"/>
      <c r="O32" s="562"/>
    </row>
    <row r="33" spans="1:15" ht="20.100000000000001" customHeight="1" collapsed="1" thickBot="1">
      <c r="A33" s="576" t="s">
        <v>1150</v>
      </c>
      <c r="B33" s="577">
        <v>35</v>
      </c>
      <c r="C33" s="431"/>
      <c r="D33" s="431"/>
      <c r="E33" s="431"/>
      <c r="F33" s="431"/>
      <c r="G33" s="431"/>
      <c r="H33" s="431"/>
      <c r="I33" s="431"/>
      <c r="J33" s="431"/>
      <c r="K33" s="431"/>
      <c r="L33" s="432"/>
      <c r="M33" s="286"/>
      <c r="N33" s="286"/>
      <c r="O33" s="562"/>
    </row>
    <row r="34" spans="1:15" ht="20.100000000000001" customHeight="1">
      <c r="A34" s="287" t="s">
        <v>1174</v>
      </c>
      <c r="B34" s="430">
        <f>+B23+B28-B33</f>
        <v>110</v>
      </c>
      <c r="C34" s="430">
        <f>+B22+B27-B32</f>
        <v>95.53124156162751</v>
      </c>
      <c r="D34" s="430"/>
      <c r="E34" s="430"/>
      <c r="F34" s="430"/>
      <c r="G34" s="430"/>
      <c r="H34" s="430"/>
      <c r="I34" s="430"/>
      <c r="J34" s="430"/>
      <c r="K34" s="430"/>
      <c r="L34" s="434"/>
      <c r="M34" s="286"/>
      <c r="N34" s="286"/>
      <c r="O34" s="562"/>
    </row>
    <row r="35" spans="1:15" ht="20.100000000000001" customHeight="1">
      <c r="A35" s="427"/>
      <c r="B35" s="430"/>
      <c r="C35" s="430"/>
      <c r="D35" s="430"/>
      <c r="E35" s="430"/>
      <c r="F35" s="430"/>
      <c r="G35" s="430"/>
      <c r="H35" s="430"/>
      <c r="I35" s="430"/>
      <c r="J35" s="430"/>
      <c r="K35" s="430"/>
      <c r="L35" s="434"/>
      <c r="M35" s="286"/>
      <c r="N35" s="286"/>
      <c r="O35" s="562"/>
    </row>
    <row r="36" spans="1:15" ht="20.100000000000001" customHeight="1">
      <c r="A36" s="435" t="s">
        <v>929</v>
      </c>
      <c r="B36" s="584">
        <v>1</v>
      </c>
      <c r="C36" s="584">
        <f t="shared" ref="C36:L36" si="2">+B36</f>
        <v>1</v>
      </c>
      <c r="D36" s="584">
        <f t="shared" si="2"/>
        <v>1</v>
      </c>
      <c r="E36" s="584">
        <f t="shared" si="2"/>
        <v>1</v>
      </c>
      <c r="F36" s="584">
        <f t="shared" si="2"/>
        <v>1</v>
      </c>
      <c r="G36" s="584">
        <f t="shared" si="2"/>
        <v>1</v>
      </c>
      <c r="H36" s="584">
        <v>0</v>
      </c>
      <c r="I36" s="584">
        <f t="shared" si="2"/>
        <v>0</v>
      </c>
      <c r="J36" s="584">
        <f t="shared" si="2"/>
        <v>0</v>
      </c>
      <c r="K36" s="584">
        <f t="shared" si="2"/>
        <v>0</v>
      </c>
      <c r="L36" s="585">
        <f t="shared" si="2"/>
        <v>0</v>
      </c>
      <c r="M36" s="286"/>
      <c r="N36" s="286"/>
      <c r="O36" s="562"/>
    </row>
    <row r="37" spans="1:15" ht="20.100000000000001" customHeight="1">
      <c r="A37" s="538" t="s">
        <v>937</v>
      </c>
      <c r="B37" s="539">
        <f>+B23-B36+O37</f>
        <v>84</v>
      </c>
      <c r="C37" s="539">
        <f>+B37-C36+O37</f>
        <v>83</v>
      </c>
      <c r="D37" s="539">
        <f t="shared" ref="D37:L37" si="3">+C37-D36+P37</f>
        <v>82</v>
      </c>
      <c r="E37" s="539">
        <f t="shared" si="3"/>
        <v>81</v>
      </c>
      <c r="F37" s="539">
        <f t="shared" si="3"/>
        <v>80</v>
      </c>
      <c r="G37" s="539">
        <f t="shared" si="3"/>
        <v>79</v>
      </c>
      <c r="H37" s="539">
        <f t="shared" si="3"/>
        <v>79</v>
      </c>
      <c r="I37" s="539">
        <f t="shared" si="3"/>
        <v>79</v>
      </c>
      <c r="J37" s="539">
        <f t="shared" si="3"/>
        <v>79</v>
      </c>
      <c r="K37" s="539">
        <f t="shared" si="3"/>
        <v>79</v>
      </c>
      <c r="L37" s="539">
        <f t="shared" si="3"/>
        <v>79</v>
      </c>
      <c r="M37" s="545"/>
      <c r="N37" s="545"/>
      <c r="O37" s="563">
        <v>0</v>
      </c>
    </row>
    <row r="38" spans="1:15" ht="20.100000000000001" customHeight="1">
      <c r="A38" s="538" t="s">
        <v>938</v>
      </c>
      <c r="B38" s="539">
        <f>+B28-B36+O38</f>
        <v>59</v>
      </c>
      <c r="C38" s="539">
        <f>+B38-C36+O38</f>
        <v>58</v>
      </c>
      <c r="D38" s="539">
        <f t="shared" ref="D38:L38" si="4">+C38-D36+P38</f>
        <v>57</v>
      </c>
      <c r="E38" s="539">
        <f t="shared" si="4"/>
        <v>56</v>
      </c>
      <c r="F38" s="539">
        <f t="shared" si="4"/>
        <v>55</v>
      </c>
      <c r="G38" s="539">
        <f t="shared" si="4"/>
        <v>54</v>
      </c>
      <c r="H38" s="539">
        <f t="shared" si="4"/>
        <v>54</v>
      </c>
      <c r="I38" s="539">
        <f t="shared" si="4"/>
        <v>54</v>
      </c>
      <c r="J38" s="539">
        <f t="shared" si="4"/>
        <v>54</v>
      </c>
      <c r="K38" s="539">
        <f t="shared" si="4"/>
        <v>54</v>
      </c>
      <c r="L38" s="539">
        <f t="shared" si="4"/>
        <v>54</v>
      </c>
      <c r="M38" s="545"/>
      <c r="N38" s="545"/>
      <c r="O38" s="563">
        <v>0</v>
      </c>
    </row>
    <row r="39" spans="1:15" ht="20.100000000000001" customHeight="1">
      <c r="A39" s="439" t="s">
        <v>957</v>
      </c>
      <c r="B39" s="289">
        <f>+AVERAGE(Balance!D11/Resultados!$C$6,Balance!E11/Resultados!$D$6,Balance!F11/Resultados!$E$6,Balance!G11/Resultados!$F$6,Balance!H11/Resultados!$G$6)</f>
        <v>2.3326514562376978E-2</v>
      </c>
      <c r="C39" s="289">
        <f>+B39</f>
        <v>2.3326514562376978E-2</v>
      </c>
      <c r="D39" s="289">
        <f t="shared" ref="D39:L39" si="5">+C39</f>
        <v>2.3326514562376978E-2</v>
      </c>
      <c r="E39" s="289">
        <f t="shared" si="5"/>
        <v>2.3326514562376978E-2</v>
      </c>
      <c r="F39" s="289">
        <f t="shared" si="5"/>
        <v>2.3326514562376978E-2</v>
      </c>
      <c r="G39" s="289">
        <f t="shared" si="5"/>
        <v>2.3326514562376978E-2</v>
      </c>
      <c r="H39" s="289">
        <f t="shared" si="5"/>
        <v>2.3326514562376978E-2</v>
      </c>
      <c r="I39" s="289">
        <f t="shared" si="5"/>
        <v>2.3326514562376978E-2</v>
      </c>
      <c r="J39" s="289">
        <f t="shared" si="5"/>
        <v>2.3326514562376978E-2</v>
      </c>
      <c r="K39" s="289">
        <f t="shared" si="5"/>
        <v>2.3326514562376978E-2</v>
      </c>
      <c r="L39" s="290">
        <f t="shared" si="5"/>
        <v>2.3326514562376978E-2</v>
      </c>
      <c r="M39" s="305" t="s">
        <v>984</v>
      </c>
      <c r="N39" s="286"/>
      <c r="O39" s="562"/>
    </row>
    <row r="40" spans="1:15" ht="20.100000000000001" customHeight="1">
      <c r="A40" s="439" t="s">
        <v>958</v>
      </c>
      <c r="B40" s="289">
        <f>+AVERAGE(Balance!D12/Resultados!$C$6,Balance!E12/Resultados!$D$6,Balance!F12/Resultados!$E$6,Balance!H12/Resultados!$G$6)</f>
        <v>4.8764326285385623E-3</v>
      </c>
      <c r="C40" s="289">
        <f t="shared" ref="C40:L42" si="6">+B40</f>
        <v>4.8764326285385623E-3</v>
      </c>
      <c r="D40" s="289">
        <f t="shared" si="6"/>
        <v>4.8764326285385623E-3</v>
      </c>
      <c r="E40" s="289">
        <f t="shared" si="6"/>
        <v>4.8764326285385623E-3</v>
      </c>
      <c r="F40" s="289">
        <f t="shared" si="6"/>
        <v>4.8764326285385623E-3</v>
      </c>
      <c r="G40" s="289">
        <f t="shared" si="6"/>
        <v>4.8764326285385623E-3</v>
      </c>
      <c r="H40" s="289">
        <f t="shared" si="6"/>
        <v>4.8764326285385623E-3</v>
      </c>
      <c r="I40" s="289">
        <f t="shared" si="6"/>
        <v>4.8764326285385623E-3</v>
      </c>
      <c r="J40" s="289">
        <f t="shared" si="6"/>
        <v>4.8764326285385623E-3</v>
      </c>
      <c r="K40" s="289">
        <f t="shared" si="6"/>
        <v>4.8764326285385623E-3</v>
      </c>
      <c r="L40" s="290">
        <f t="shared" si="6"/>
        <v>4.8764326285385623E-3</v>
      </c>
      <c r="M40" s="305" t="s">
        <v>985</v>
      </c>
      <c r="N40" s="286"/>
      <c r="O40" s="562"/>
    </row>
    <row r="41" spans="1:15" ht="20.100000000000001" customHeight="1">
      <c r="A41" s="436" t="s">
        <v>303</v>
      </c>
      <c r="B41" s="289">
        <f>+AVERAGE(Balance!D13/Resultados!C6,Balance!E13/Resultados!$D$6,Balance!F13/Resultados!$E$6,Balance!G13/Resultados!$F$6,Balance!H13/Resultados!$G$6)</f>
        <v>2.5193806753363961E-3</v>
      </c>
      <c r="C41" s="289">
        <f t="shared" si="6"/>
        <v>2.5193806753363961E-3</v>
      </c>
      <c r="D41" s="289">
        <f t="shared" si="6"/>
        <v>2.5193806753363961E-3</v>
      </c>
      <c r="E41" s="289">
        <f t="shared" si="6"/>
        <v>2.5193806753363961E-3</v>
      </c>
      <c r="F41" s="289">
        <f t="shared" si="6"/>
        <v>2.5193806753363961E-3</v>
      </c>
      <c r="G41" s="289">
        <f t="shared" si="6"/>
        <v>2.5193806753363961E-3</v>
      </c>
      <c r="H41" s="289">
        <f t="shared" si="6"/>
        <v>2.5193806753363961E-3</v>
      </c>
      <c r="I41" s="289">
        <f t="shared" si="6"/>
        <v>2.5193806753363961E-3</v>
      </c>
      <c r="J41" s="289">
        <f t="shared" si="6"/>
        <v>2.5193806753363961E-3</v>
      </c>
      <c r="K41" s="289">
        <f t="shared" si="6"/>
        <v>2.5193806753363961E-3</v>
      </c>
      <c r="L41" s="290">
        <f t="shared" si="6"/>
        <v>2.5193806753363961E-3</v>
      </c>
      <c r="M41" s="305" t="s">
        <v>986</v>
      </c>
      <c r="N41" s="286"/>
      <c r="O41" s="562"/>
    </row>
    <row r="42" spans="1:15" ht="20.100000000000001" customHeight="1">
      <c r="A42" s="436" t="s">
        <v>304</v>
      </c>
      <c r="B42" s="289">
        <f>+AVERAGE(Balance!D14/Resultados!C6,Balance!E14/Resultados!$D$6,Balance!F14/Resultados!$E$6,Balance!H14/Resultados!$G$6)</f>
        <v>5.0327136099854817E-3</v>
      </c>
      <c r="C42" s="289">
        <f t="shared" si="6"/>
        <v>5.0327136099854817E-3</v>
      </c>
      <c r="D42" s="289">
        <f t="shared" si="6"/>
        <v>5.0327136099854817E-3</v>
      </c>
      <c r="E42" s="289">
        <f t="shared" si="6"/>
        <v>5.0327136099854817E-3</v>
      </c>
      <c r="F42" s="289">
        <f t="shared" si="6"/>
        <v>5.0327136099854817E-3</v>
      </c>
      <c r="G42" s="289">
        <f t="shared" si="6"/>
        <v>5.0327136099854817E-3</v>
      </c>
      <c r="H42" s="289">
        <f t="shared" si="6"/>
        <v>5.0327136099854817E-3</v>
      </c>
      <c r="I42" s="289">
        <f t="shared" si="6"/>
        <v>5.0327136099854817E-3</v>
      </c>
      <c r="J42" s="289">
        <f t="shared" si="6"/>
        <v>5.0327136099854817E-3</v>
      </c>
      <c r="K42" s="289">
        <f t="shared" si="6"/>
        <v>5.0327136099854817E-3</v>
      </c>
      <c r="L42" s="290">
        <f t="shared" si="6"/>
        <v>5.0327136099854817E-3</v>
      </c>
      <c r="M42" s="305" t="s">
        <v>987</v>
      </c>
      <c r="N42" s="286"/>
      <c r="O42" s="562"/>
    </row>
    <row r="43" spans="1:15" ht="20.100000000000001" customHeight="1">
      <c r="A43" s="538" t="s">
        <v>939</v>
      </c>
      <c r="B43" s="539">
        <f>+B33+B36+O43</f>
        <v>36</v>
      </c>
      <c r="C43" s="539">
        <f>+B43+C36+O43</f>
        <v>37</v>
      </c>
      <c r="D43" s="539">
        <f t="shared" ref="D43:L43" si="7">+C43+D36+P43</f>
        <v>38</v>
      </c>
      <c r="E43" s="539">
        <f t="shared" si="7"/>
        <v>39</v>
      </c>
      <c r="F43" s="539">
        <f t="shared" si="7"/>
        <v>40</v>
      </c>
      <c r="G43" s="539">
        <f t="shared" si="7"/>
        <v>41</v>
      </c>
      <c r="H43" s="539">
        <f t="shared" si="7"/>
        <v>41</v>
      </c>
      <c r="I43" s="539">
        <f t="shared" si="7"/>
        <v>41</v>
      </c>
      <c r="J43" s="539">
        <f t="shared" si="7"/>
        <v>41</v>
      </c>
      <c r="K43" s="539">
        <f t="shared" si="7"/>
        <v>41</v>
      </c>
      <c r="L43" s="539">
        <f t="shared" si="7"/>
        <v>41</v>
      </c>
      <c r="N43" s="286"/>
      <c r="O43" s="563">
        <v>0</v>
      </c>
    </row>
    <row r="44" spans="1:15" ht="20.100000000000001" customHeight="1">
      <c r="A44" s="436" t="s">
        <v>930</v>
      </c>
      <c r="B44" s="437">
        <f>(AVERAGE(Balance!D35/ABS(Resultados!C$14+Resultados!C$16)*360,Balance!E35/ABS(Resultados!D$14+Resultados!D$16)*360,Balance!F35/ABS(Resultados!E$14+Resultados!E$16)*360,Balance!G35/ABS(Resultados!F$14+Resultados!F$16)*360,Balance!H35/ABS(Resultados!G$14+Resultados!G$16)*360))</f>
        <v>91.38830213815865</v>
      </c>
      <c r="C44" s="437">
        <f>(AVERAGE(Balance!E35/ABS(Resultados!D$14+Resultados!D$16)*360,Balance!F35/ABS(Resultados!E$14+Resultados!E$16)*360,Balance!G35/ABS(Resultados!F$14+Resultados!F$16)*360,Balance!H35/ABS(Resultados!G$14+Resultados!G$16)*360,Balance!I35/ABS(Resultados!H$14+Resultados!H$16)*360))</f>
        <v>89.267247755508876</v>
      </c>
      <c r="D44" s="437">
        <f>(AVERAGE(Balance!F35/ABS(Resultados!E$14+Resultados!E$16)*360,Balance!G35/ABS(Resultados!F$14+Resultados!F$16)*360,Balance!H35/ABS(Resultados!G$14+Resultados!G$16)*360,Balance!I35/ABS(Resultados!H$14+Resultados!H$16)*360,Balance!J35/ABS(Resultados!I$14+Resultados!I$16)*360))</f>
        <v>90.184266440845349</v>
      </c>
      <c r="E44" s="437">
        <f>(AVERAGE(Balance!G35/ABS(Resultados!F$14+Resultados!F$16)*360,Balance!H35/ABS(Resultados!G$14+Resultados!G$16)*360,Balance!I35/ABS(Resultados!H$14+Resultados!H$16)*360,Balance!J35/ABS(Resultados!I$14+Resultados!I$16)*360,Balance!K35/ABS(Resultados!J$14+Resultados!J$16)*360))</f>
        <v>92.386922837822709</v>
      </c>
      <c r="F44" s="437">
        <f>(AVERAGE(Balance!H35/ABS(Resultados!G$14+Resultados!G$16)*360,Balance!I35/ABS(Resultados!H$14+Resultados!H$16)*360,Balance!J35/ABS(Resultados!I$14+Resultados!I$16)*360,Balance!K35/ABS(Resultados!J$14+Resultados!J$16)*360,Balance!L35/ABS(Resultados!K$14+Resultados!K$16)*360))</f>
        <v>93.679785781185771</v>
      </c>
      <c r="G44" s="437">
        <f>(AVERAGE(Balance!I35/ABS(Resultados!H$14+Resultados!H$16)*360,Balance!J35/ABS(Resultados!I$14+Resultados!I$16)*360,Balance!K35/ABS(Resultados!J$14+Resultados!J$16)*360,Balance!L35/ABS(Resultados!K$14+Resultados!K$16)*360,Balance!M35/ABS(Resultados!L$14+Resultados!L$16)*360))</f>
        <v>91.381304990704251</v>
      </c>
      <c r="H44" s="437">
        <f>(AVERAGE(Balance!J35/ABS(Resultados!I$14+Resultados!I$16)*360,Balance!K35/ABS(Resultados!J$14+Resultados!J$16)*360,Balance!L35/ABS(Resultados!K$14+Resultados!K$16)*360,Balance!M35/ABS(Resultados!L$14+Resultados!L$16)*360,Balance!N35/ABS(Resultados!M$14+Resultados!M$16)*360))</f>
        <v>91.379905561213405</v>
      </c>
      <c r="I44" s="437">
        <f>(AVERAGE(Balance!K35/ABS(Resultados!J$14+Resultados!J$16)*360,Balance!L35/ABS(Resultados!K$14+Resultados!K$16)*360,Balance!M35/ABS(Resultados!L$14+Resultados!L$16)*360,Balance!N35/ABS(Resultados!M$14+Resultados!M$16)*360,Balance!O35/ABS(Resultados!N$14+Resultados!N$16)*360))</f>
        <v>91.802437122354291</v>
      </c>
      <c r="J44" s="437">
        <f>(AVERAGE(Balance!L35/ABS(Resultados!K$14+Resultados!K$16)*360,Balance!M35/ABS(Resultados!L$14+Resultados!L$16)*360,Balance!N35/ABS(Resultados!M$14+Resultados!M$16)*360,Balance!O35/ABS(Resultados!N$14+Resultados!N$16)*360,Balance!P35/ABS(Resultados!O$14+Resultados!O$16)*360))</f>
        <v>92.126071258656069</v>
      </c>
      <c r="K44" s="437">
        <f>(AVERAGE(Balance!M35/ABS(Resultados!L$14+Resultados!L$16)*360,Balance!N35/ABS(Resultados!M$14+Resultados!M$16)*360,Balance!O35/ABS(Resultados!N$14+Resultados!N$16)*360,Balance!P35/ABS(Resultados!O$14+Resultados!O$16)*360,Balance!Q35/ABS(Resultados!P$14+Resultados!P$16)*360))</f>
        <v>92.073900942822746</v>
      </c>
      <c r="L44" s="438">
        <f>(AVERAGE(Balance!N35/ABS(Resultados!M$14+Resultados!M$16)*360,Balance!O35/ABS(Resultados!N$14+Resultados!N$16)*360,Balance!P35/ABS(Resultados!O$14+Resultados!O$16)*360,Balance!Q35/ABS(Resultados!P$14+Resultados!P$16)*360,Balance!R35/ABS(Resultados!Q$14+Resultados!Q$16)*360))</f>
        <v>91.752723975150133</v>
      </c>
      <c r="M44" s="305" t="s">
        <v>990</v>
      </c>
      <c r="N44" s="286"/>
      <c r="O44" s="562"/>
    </row>
    <row r="45" spans="1:15" ht="20.100000000000001" customHeight="1">
      <c r="A45" s="436" t="s">
        <v>931</v>
      </c>
      <c r="B45" s="437">
        <f>+AVERAGE(Balance!D36/ABS(Resultados!C7+Resultados!C14+Resultados!C16)*360,Balance!E36/ABS(Resultados!D7+Resultados!D14+Resultados!D16)*360,Balance!F36/ABS(Resultados!E7+Resultados!E14+Resultados!E16)*360,Balance!G36/ABS(Resultados!F7+Resultados!F14+Resultados!F16)*360,Balance!H36/ABS(Resultados!G7+Resultados!G16+Resultados!G14)*360)</f>
        <v>8.979003278046287</v>
      </c>
      <c r="C45" s="437">
        <f>+AVERAGE(Balance!E36/ABS(Resultados!D7+Resultados!D14+Resultados!D16)*360,Balance!F36/ABS(Resultados!E7+Resultados!E14+Resultados!E16)*360,Balance!G36/ABS(Resultados!F7+Resultados!F14+Resultados!F16)*360,Balance!H36/ABS(Resultados!G7+Resultados!G14+Resultados!G16)*360,Balance!I36/ABS(Resultados!H7+Resultados!H16+Resultados!H14)*360)</f>
        <v>8.6763353469702658</v>
      </c>
      <c r="D45" s="437">
        <f>+AVERAGE(Balance!F36/ABS(Resultados!E7+Resultados!E14+Resultados!E16)*360,Balance!G36/ABS(Resultados!F7+Resultados!F14+Resultados!F16)*360,Balance!H36/ABS(Resultados!G7+Resultados!G14+Resultados!G16)*360,Balance!I36/ABS(Resultados!H7+Resultados!H14+Resultados!H16)*360,Balance!J36/ABS(Resultados!I7+Resultados!I16+Resultados!I14)*360)</f>
        <v>9.0659623044765763</v>
      </c>
      <c r="E45" s="437">
        <f>+AVERAGE(Balance!G36/ABS(Resultados!F7+Resultados!F14+Resultados!F16)*360,Balance!H36/ABS(Resultados!G7+Resultados!G14+Resultados!G16)*360,Balance!I36/ABS(Resultados!H7+Resultados!H14+Resultados!H16)*360,Balance!J36/ABS(Resultados!I7+Resultados!I14+Resultados!I16)*360,Balance!K36/ABS(Resultados!J7+Resultados!J16+Resultados!J14)*360)</f>
        <v>9.6682371618938969</v>
      </c>
      <c r="F45" s="437">
        <f>+AVERAGE(Balance!H36/ABS(Resultados!G7+Resultados!G14+Resultados!G16)*360,Balance!I36/ABS(Resultados!H7+Resultados!H14+Resultados!H16)*360,Balance!J36/ABS(Resultados!I7+Resultados!I14+Resultados!I16)*360,Balance!K36/ABS(Resultados!J7+Resultados!J14+Resultados!J16)*360,Balance!L36/ABS(Resultados!K7+Resultados!K16+Resultados!K14)*360)</f>
        <v>9.4848131472565456</v>
      </c>
      <c r="G45" s="437">
        <f>+AVERAGE(Balance!I36/ABS(Resultados!H7+Resultados!H14+Resultados!H16)*360,Balance!J36/ABS(Resultados!I7+Resultados!I14+Resultados!I16)*360,Balance!K36/ABS(Resultados!J7+Resultados!J14+Resultados!J16)*360,Balance!L36/ABS(Resultados!K7+Resultados!K14+Resultados!K16)*360,Balance!M36/ABS(Resultados!L7+Resultados!L16+Resultados!L14)*360)</f>
        <v>9.1748702477287161</v>
      </c>
      <c r="H45" s="437">
        <f>+AVERAGE(Balance!J36/ABS(Resultados!I7+Resultados!I14+Resultados!I16)*360,Balance!K36/ABS(Resultados!J7+Resultados!J14+Resultados!J16)*360,Balance!L36/ABS(Resultados!K7+Resultados!K14+Resultados!K16)*360,Balance!M36/ABS(Resultados!L7+Resultados!L14+Resultados!L16)*360,Balance!N36/ABS(Resultados!M7+Resultados!M16+Resultados!M14)*360)</f>
        <v>9.2140436416651994</v>
      </c>
      <c r="I45" s="437">
        <f>+AVERAGE(Balance!K36/ABS(Resultados!J7+Resultados!J14+Resultados!J16)*360,Balance!L36/ABS(Resultados!K7+Resultados!K14+Resultados!K16)*360,Balance!M36/ABS(Resultados!L7+Resultados!L14+Resultados!L16)*360,Balance!N36/ABS(Resultados!M7+Resultados!M14+Resultados!M16)*360,Balance!O36/ABS(Resultados!N7+Resultados!N16+Resultados!N14)*360)</f>
        <v>9.3215853006041876</v>
      </c>
      <c r="J45" s="437">
        <f>+AVERAGE(Balance!L36/ABS(Resultados!K7+Resultados!K14+Resultados!K16)*360,Balance!M36/ABS(Resultados!L7+Resultados!L14+Resultados!L16)*360,Balance!N36/ABS(Resultados!M7+Resultados!M14+Resultados!M16)*360,Balance!O36/ABS(Resultados!N7+Resultados!N14+Resultados!N16)*360,Balance!P36/ABS(Resultados!O7+Resultados!O16+Resultados!O14)*360)</f>
        <v>9.3727098998297098</v>
      </c>
      <c r="K45" s="437">
        <f>+AVERAGE(Balance!M36/ABS(Resultados!L7+Resultados!L14+Resultados!L16)*360,Balance!N36/ABS(Resultados!M7+Resultados!M14+Resultados!M16)*360,Balance!O36/ABS(Resultados!N7+Resultados!N14+Resultados!N16)*360,Balance!P36/ABS(Resultados!O7+Resultados!O14+Resultados!O16)*360,Balance!Q36/ABS(Resultados!P7+Resultados!P16+Resultados!P14)*360)</f>
        <v>9.3136044474168713</v>
      </c>
      <c r="L45" s="438">
        <f>+AVERAGE(Balance!N36/ABS(Resultados!M7+Resultados!M14+Resultados!M16)*360,Balance!O36/ABS(Resultados!N7+Resultados!N14+Resultados!N16)*360,Balance!P36/ABS(Resultados!O7+Resultados!O14+Resultados!O16)*360,Balance!Q36/ABS(Resultados!P7+Resultados!P14+Resultados!P16)*360,Balance!R36/ABS(Resultados!Q7+Resultados!Q16+Resultados!Q14)*360)</f>
        <v>9.2793627074489358</v>
      </c>
      <c r="M45" s="305" t="s">
        <v>991</v>
      </c>
      <c r="N45" s="286"/>
      <c r="O45" s="562"/>
    </row>
    <row r="46" spans="1:15" ht="20.100000000000001" customHeight="1">
      <c r="A46" s="436" t="s">
        <v>932</v>
      </c>
      <c r="B46" s="304">
        <f>+AVERAGE(Balance!F38/Resultados!E6,Balance!G38/Resultados!F6,Balance!H38/Resultados!G6)</f>
        <v>3.0437546046526778E-2</v>
      </c>
      <c r="C46" s="304">
        <f>+AVERAGE(Balance!G38/Resultados!F6,Balance!H38/Resultados!G6,Balance!I38/Resultados!H6)</f>
        <v>3.0846339027488377E-2</v>
      </c>
      <c r="D46" s="304">
        <f>+AVERAGE(Balance!H38/Resultados!G6,Balance!I38/Resultados!H6,Balance!J38/Resultados!I6)</f>
        <v>2.8793775000965315E-2</v>
      </c>
      <c r="E46" s="304">
        <f>+AVERAGE(Balance!I38/Resultados!H6,Balance!J38/Resultados!I6,Balance!K38/Resultados!J6)</f>
        <v>3.0025886691660158E-2</v>
      </c>
      <c r="F46" s="304">
        <f>+AVERAGE(Balance!J38/Resultados!I6,Balance!K38/Resultados!J6,Balance!L38/Resultados!K6)</f>
        <v>2.9888666906704619E-2</v>
      </c>
      <c r="G46" s="304">
        <f t="shared" ref="G46:L46" si="8">+F46</f>
        <v>2.9888666906704619E-2</v>
      </c>
      <c r="H46" s="304">
        <f t="shared" si="8"/>
        <v>2.9888666906704619E-2</v>
      </c>
      <c r="I46" s="304">
        <f t="shared" si="8"/>
        <v>2.9888666906704619E-2</v>
      </c>
      <c r="J46" s="304">
        <f t="shared" si="8"/>
        <v>2.9888666906704619E-2</v>
      </c>
      <c r="K46" s="304">
        <f t="shared" si="8"/>
        <v>2.9888666906704619E-2</v>
      </c>
      <c r="L46" s="440">
        <f t="shared" si="8"/>
        <v>2.9888666906704619E-2</v>
      </c>
      <c r="M46" s="286"/>
      <c r="N46" s="286"/>
      <c r="O46" s="562"/>
    </row>
    <row r="47" spans="1:15" ht="20.100000000000001" customHeight="1">
      <c r="A47" s="436" t="s">
        <v>940</v>
      </c>
      <c r="B47" s="437">
        <v>660</v>
      </c>
      <c r="C47" s="437">
        <v>660</v>
      </c>
      <c r="D47" s="437">
        <v>660</v>
      </c>
      <c r="E47" s="437">
        <v>660</v>
      </c>
      <c r="F47" s="437">
        <v>660</v>
      </c>
      <c r="G47" s="437">
        <v>660</v>
      </c>
      <c r="H47" s="437">
        <v>660</v>
      </c>
      <c r="I47" s="437">
        <v>116</v>
      </c>
      <c r="J47" s="437"/>
      <c r="K47" s="437"/>
      <c r="L47" s="438"/>
      <c r="M47" s="305" t="s">
        <v>992</v>
      </c>
      <c r="N47" s="286"/>
      <c r="O47" s="562"/>
    </row>
    <row r="48" spans="1:15" ht="20.100000000000001" customHeight="1">
      <c r="A48" s="436" t="s">
        <v>933</v>
      </c>
      <c r="B48" s="437">
        <v>357</v>
      </c>
      <c r="C48" s="437">
        <f>+B48-0.08%</f>
        <v>356.99919999999997</v>
      </c>
      <c r="D48" s="437">
        <f>+C48-0.08%</f>
        <v>356.99839999999995</v>
      </c>
      <c r="E48" s="437">
        <f>+D48-0.08%</f>
        <v>356.99759999999992</v>
      </c>
      <c r="F48" s="437">
        <f>+E48-0.08%</f>
        <v>356.99679999999989</v>
      </c>
      <c r="G48" s="437">
        <f>+F48-0.08%</f>
        <v>356.99599999999987</v>
      </c>
      <c r="H48" s="437">
        <v>358</v>
      </c>
      <c r="I48" s="437"/>
      <c r="J48" s="437"/>
      <c r="K48" s="437"/>
      <c r="L48" s="438"/>
      <c r="M48" s="305" t="s">
        <v>992</v>
      </c>
      <c r="N48" s="286"/>
      <c r="O48" s="562"/>
    </row>
    <row r="49" spans="1:15" ht="20.100000000000001" customHeight="1">
      <c r="A49" s="436" t="s">
        <v>934</v>
      </c>
      <c r="B49" s="437">
        <v>564</v>
      </c>
      <c r="C49" s="437">
        <v>564</v>
      </c>
      <c r="D49" s="437">
        <v>584</v>
      </c>
      <c r="E49" s="437">
        <v>263</v>
      </c>
      <c r="F49" s="437">
        <v>155</v>
      </c>
      <c r="G49" s="437"/>
      <c r="H49" s="437"/>
      <c r="I49" s="437"/>
      <c r="J49" s="437"/>
      <c r="K49" s="437"/>
      <c r="L49" s="438"/>
      <c r="M49" s="305" t="s">
        <v>992</v>
      </c>
      <c r="N49" s="286"/>
      <c r="O49" s="562"/>
    </row>
    <row r="50" spans="1:15" ht="20.100000000000001" customHeight="1">
      <c r="A50" s="436" t="s">
        <v>935</v>
      </c>
      <c r="B50" s="437">
        <v>1213</v>
      </c>
      <c r="C50" s="437"/>
      <c r="D50" s="437"/>
      <c r="E50" s="437"/>
      <c r="F50" s="437"/>
      <c r="G50" s="437"/>
      <c r="H50" s="437"/>
      <c r="I50" s="437"/>
      <c r="J50" s="437"/>
      <c r="K50" s="437"/>
      <c r="L50" s="438"/>
      <c r="M50" s="305" t="s">
        <v>992</v>
      </c>
      <c r="N50" s="286"/>
      <c r="O50" s="562"/>
    </row>
    <row r="51" spans="1:15" ht="20.100000000000001" customHeight="1">
      <c r="A51" s="441" t="s">
        <v>936</v>
      </c>
      <c r="B51" s="442">
        <v>0</v>
      </c>
      <c r="C51" s="442">
        <v>0</v>
      </c>
      <c r="D51" s="442">
        <v>0</v>
      </c>
      <c r="E51" s="442">
        <v>0</v>
      </c>
      <c r="F51" s="442">
        <v>0</v>
      </c>
      <c r="G51" s="442">
        <v>0</v>
      </c>
      <c r="H51" s="442">
        <v>0</v>
      </c>
      <c r="I51" s="442">
        <v>0</v>
      </c>
      <c r="J51" s="442">
        <v>0</v>
      </c>
      <c r="K51" s="442">
        <v>0</v>
      </c>
      <c r="L51" s="443">
        <v>0</v>
      </c>
      <c r="M51" s="305" t="s">
        <v>992</v>
      </c>
      <c r="N51" s="286"/>
      <c r="O51" s="561"/>
    </row>
    <row r="52" spans="1:15" ht="20.100000000000001" customHeight="1">
      <c r="A52" s="295"/>
      <c r="B52" s="286"/>
      <c r="C52" s="286"/>
      <c r="D52" s="286"/>
      <c r="E52" s="286"/>
      <c r="F52" s="286"/>
      <c r="G52" s="286"/>
      <c r="H52" s="286"/>
      <c r="I52" s="286"/>
      <c r="J52" s="286"/>
      <c r="K52" s="286"/>
      <c r="L52" s="286"/>
      <c r="M52" s="286"/>
      <c r="N52" s="286"/>
    </row>
    <row r="53" spans="1:15" ht="20.100000000000001" customHeight="1">
      <c r="A53" s="444" t="s">
        <v>941</v>
      </c>
      <c r="B53" s="284"/>
      <c r="C53" s="284"/>
      <c r="D53" s="284"/>
      <c r="E53" s="284"/>
      <c r="F53" s="284"/>
      <c r="G53" s="284"/>
      <c r="H53" s="284"/>
      <c r="I53" s="284"/>
      <c r="J53" s="284"/>
      <c r="K53" s="284"/>
      <c r="L53" s="285"/>
      <c r="M53" s="286"/>
      <c r="N53" s="286"/>
      <c r="O53" s="558"/>
    </row>
    <row r="54" spans="1:15" ht="20.100000000000001" customHeight="1">
      <c r="A54" s="291" t="s">
        <v>1129</v>
      </c>
      <c r="B54" s="445">
        <f>+ABS(CapitalFijo!H84)*B56</f>
        <v>1817.0950000000028</v>
      </c>
      <c r="C54" s="445">
        <f>+ABS(CapitalFijo!I84)*C56</f>
        <v>1817.0950000000028</v>
      </c>
      <c r="D54" s="445">
        <f>+ABS(CapitalFijo!J84)*D56</f>
        <v>1811.0949999999968</v>
      </c>
      <c r="E54" s="445">
        <f>+ABS(CapitalFijo!K84)*E56</f>
        <v>1424.2950000000023</v>
      </c>
      <c r="F54" s="445">
        <f>+ABS(CapitalFijo!L84)*F56</f>
        <v>926.49500000000194</v>
      </c>
      <c r="G54" s="445">
        <f>+ABS(CapitalFijo!M84)*G56</f>
        <v>8013.9500000000116</v>
      </c>
      <c r="H54" s="445">
        <f>+ABS(CapitalFijo!N84)*H56</f>
        <v>8013.9500000000116</v>
      </c>
      <c r="I54" s="445">
        <f>+ABS(CapitalFijo!O84)*I56</f>
        <v>8013.9499999999534</v>
      </c>
      <c r="J54" s="445">
        <f>+ABS(CapitalFijo!P84)*J56</f>
        <v>8013.9500000000116</v>
      </c>
      <c r="K54" s="445">
        <f>+ABS(CapitalFijo!Q84)*K56</f>
        <v>8013.9500000000116</v>
      </c>
      <c r="L54" s="446">
        <f>+ABS(CapitalFijo!R84)*L56</f>
        <v>471.75</v>
      </c>
      <c r="M54" s="286"/>
      <c r="N54" s="296" t="s">
        <v>955</v>
      </c>
      <c r="O54" s="562"/>
    </row>
    <row r="55" spans="1:15" ht="20.100000000000001" customHeight="1">
      <c r="A55" s="291"/>
      <c r="B55" s="289"/>
      <c r="C55" s="289"/>
      <c r="D55" s="289"/>
      <c r="E55" s="289"/>
      <c r="F55" s="289"/>
      <c r="G55" s="289"/>
      <c r="H55" s="289"/>
      <c r="I55" s="289"/>
      <c r="J55" s="289"/>
      <c r="K55" s="289"/>
      <c r="L55" s="290"/>
      <c r="N55" s="297" t="s">
        <v>954</v>
      </c>
      <c r="O55" s="562"/>
    </row>
    <row r="56" spans="1:15" ht="20.100000000000001" customHeight="1">
      <c r="A56" s="543" t="s">
        <v>1128</v>
      </c>
      <c r="B56" s="544">
        <f>+(1+10%)*(1+$O$56)-1</f>
        <v>0.10000000000000009</v>
      </c>
      <c r="C56" s="544">
        <f>+(1+10%)*(1+$O$56)-1</f>
        <v>0.10000000000000009</v>
      </c>
      <c r="D56" s="544">
        <f t="shared" ref="D56:F56" si="9">+(1+10%)*(1+$O$56)-1</f>
        <v>0.10000000000000009</v>
      </c>
      <c r="E56" s="544">
        <f t="shared" si="9"/>
        <v>0.10000000000000009</v>
      </c>
      <c r="F56" s="544">
        <f t="shared" si="9"/>
        <v>0.10000000000000009</v>
      </c>
      <c r="G56" s="544">
        <f t="shared" ref="G56:L56" si="10">+(1+100%)*(1+$O$56)-1</f>
        <v>1</v>
      </c>
      <c r="H56" s="544">
        <f t="shared" si="10"/>
        <v>1</v>
      </c>
      <c r="I56" s="544">
        <f t="shared" si="10"/>
        <v>1</v>
      </c>
      <c r="J56" s="544">
        <f t="shared" si="10"/>
        <v>1</v>
      </c>
      <c r="K56" s="544">
        <f t="shared" si="10"/>
        <v>1</v>
      </c>
      <c r="L56" s="564">
        <f t="shared" si="10"/>
        <v>1</v>
      </c>
      <c r="M56" s="545"/>
      <c r="N56" s="545"/>
      <c r="O56" s="565">
        <v>0</v>
      </c>
    </row>
    <row r="57" spans="1:15" ht="20.100000000000001" customHeight="1">
      <c r="A57" s="295"/>
      <c r="B57" s="286"/>
      <c r="C57" s="286"/>
      <c r="D57" s="286"/>
      <c r="E57" s="286"/>
      <c r="F57" s="286"/>
      <c r="G57" s="286"/>
      <c r="H57" s="286"/>
      <c r="I57" s="286"/>
      <c r="J57" s="286"/>
      <c r="K57" s="286"/>
      <c r="L57" s="286"/>
      <c r="M57" s="286"/>
      <c r="N57" s="286"/>
    </row>
    <row r="58" spans="1:15" ht="20.100000000000001" customHeight="1">
      <c r="A58" s="444" t="s">
        <v>942</v>
      </c>
      <c r="B58" s="284"/>
      <c r="C58" s="284"/>
      <c r="D58" s="284"/>
      <c r="E58" s="284"/>
      <c r="F58" s="284"/>
      <c r="G58" s="284"/>
      <c r="H58" s="284"/>
      <c r="I58" s="284"/>
      <c r="J58" s="284"/>
      <c r="K58" s="284"/>
      <c r="L58" s="285"/>
      <c r="M58" s="286"/>
      <c r="N58" s="286"/>
      <c r="O58" s="558"/>
    </row>
    <row r="59" spans="1:15" ht="20.100000000000001" customHeight="1">
      <c r="A59" s="436" t="s">
        <v>943</v>
      </c>
      <c r="B59" s="447">
        <v>0</v>
      </c>
      <c r="C59" s="447">
        <v>0</v>
      </c>
      <c r="D59" s="447">
        <v>0</v>
      </c>
      <c r="E59" s="447">
        <v>0</v>
      </c>
      <c r="F59" s="447">
        <v>0</v>
      </c>
      <c r="G59" s="447">
        <v>0</v>
      </c>
      <c r="H59" s="447">
        <v>0</v>
      </c>
      <c r="I59" s="447">
        <v>0</v>
      </c>
      <c r="J59" s="447">
        <v>0</v>
      </c>
      <c r="K59" s="447">
        <v>0</v>
      </c>
      <c r="L59" s="448">
        <v>0</v>
      </c>
      <c r="M59" s="286"/>
      <c r="N59" s="286"/>
      <c r="O59" s="562"/>
    </row>
    <row r="60" spans="1:15" ht="20.100000000000001" customHeight="1">
      <c r="A60" s="441" t="s">
        <v>139</v>
      </c>
      <c r="B60" s="449">
        <v>0</v>
      </c>
      <c r="C60" s="449">
        <v>0</v>
      </c>
      <c r="D60" s="449">
        <v>0</v>
      </c>
      <c r="E60" s="449">
        <v>0</v>
      </c>
      <c r="F60" s="449">
        <v>0</v>
      </c>
      <c r="G60" s="449">
        <v>0</v>
      </c>
      <c r="H60" s="449">
        <v>0</v>
      </c>
      <c r="I60" s="449">
        <v>0</v>
      </c>
      <c r="J60" s="449">
        <v>0</v>
      </c>
      <c r="K60" s="449">
        <v>0</v>
      </c>
      <c r="L60" s="450">
        <v>0</v>
      </c>
      <c r="M60" s="286"/>
      <c r="N60" s="286"/>
      <c r="O60" s="561"/>
    </row>
    <row r="61" spans="1:15" ht="20.100000000000001" customHeight="1">
      <c r="A61" s="286"/>
      <c r="B61" s="286"/>
      <c r="C61" s="286"/>
      <c r="D61" s="286"/>
      <c r="E61" s="286"/>
      <c r="F61" s="286"/>
      <c r="G61" s="286"/>
      <c r="H61" s="286"/>
      <c r="I61" s="286"/>
      <c r="J61" s="286"/>
      <c r="K61" s="286"/>
      <c r="L61" s="286"/>
      <c r="M61" s="286"/>
      <c r="N61" s="286"/>
    </row>
    <row r="62" spans="1:15" ht="20.100000000000001" customHeight="1">
      <c r="A62" s="283" t="s">
        <v>944</v>
      </c>
      <c r="B62" s="284"/>
      <c r="C62" s="284"/>
      <c r="D62" s="284"/>
      <c r="E62" s="284"/>
      <c r="F62" s="284"/>
      <c r="G62" s="284"/>
      <c r="H62" s="284"/>
      <c r="I62" s="284"/>
      <c r="J62" s="284"/>
      <c r="K62" s="284"/>
      <c r="L62" s="285"/>
      <c r="M62" s="286"/>
      <c r="N62" s="286"/>
      <c r="O62" s="558"/>
    </row>
    <row r="63" spans="1:15" ht="20.100000000000001" customHeight="1">
      <c r="A63" s="287" t="s">
        <v>993</v>
      </c>
      <c r="B63" s="437">
        <f>+B37+B38-B43</f>
        <v>107</v>
      </c>
      <c r="C63" s="437">
        <f t="shared" ref="C63:L63" si="11">+C37+C38-C43</f>
        <v>104</v>
      </c>
      <c r="D63" s="437">
        <f t="shared" si="11"/>
        <v>101</v>
      </c>
      <c r="E63" s="437">
        <f t="shared" si="11"/>
        <v>98</v>
      </c>
      <c r="F63" s="437">
        <f t="shared" si="11"/>
        <v>95</v>
      </c>
      <c r="G63" s="437">
        <f t="shared" si="11"/>
        <v>92</v>
      </c>
      <c r="H63" s="437">
        <f t="shared" si="11"/>
        <v>92</v>
      </c>
      <c r="I63" s="437">
        <f t="shared" si="11"/>
        <v>92</v>
      </c>
      <c r="J63" s="437">
        <f t="shared" si="11"/>
        <v>92</v>
      </c>
      <c r="K63" s="437">
        <f t="shared" si="11"/>
        <v>92</v>
      </c>
      <c r="L63" s="437">
        <f t="shared" si="11"/>
        <v>92</v>
      </c>
      <c r="M63" s="286"/>
      <c r="N63" s="296" t="s">
        <v>956</v>
      </c>
      <c r="O63" s="562"/>
    </row>
    <row r="64" spans="1:15">
      <c r="A64" s="451"/>
      <c r="B64" s="452"/>
      <c r="C64" s="452"/>
      <c r="D64" s="452"/>
      <c r="E64" s="452"/>
      <c r="F64" s="452"/>
      <c r="G64" s="452"/>
      <c r="H64" s="452"/>
      <c r="I64" s="452"/>
      <c r="J64" s="452"/>
      <c r="K64" s="452"/>
      <c r="L64" s="453"/>
      <c r="O64" s="562"/>
    </row>
    <row r="65" spans="1:15">
      <c r="A65" s="454" t="s">
        <v>1096</v>
      </c>
      <c r="B65" s="452" t="s">
        <v>1097</v>
      </c>
      <c r="C65" s="452"/>
      <c r="D65" s="452"/>
      <c r="E65" s="452"/>
      <c r="F65" s="452"/>
      <c r="G65" s="452"/>
      <c r="H65" s="452"/>
      <c r="I65" s="452"/>
      <c r="J65" s="452"/>
      <c r="K65" s="452"/>
      <c r="L65" s="453"/>
      <c r="O65" s="562"/>
    </row>
    <row r="66" spans="1:15">
      <c r="A66" s="455" t="s">
        <v>1098</v>
      </c>
      <c r="B66" s="456" t="s">
        <v>1099</v>
      </c>
      <c r="C66" s="452"/>
      <c r="D66" s="452"/>
      <c r="E66" s="452"/>
      <c r="F66" s="452"/>
      <c r="G66" s="452"/>
      <c r="H66" s="452"/>
      <c r="I66" s="452"/>
      <c r="J66" s="452"/>
      <c r="K66" s="452"/>
      <c r="L66" s="453"/>
      <c r="O66" s="562"/>
    </row>
    <row r="67" spans="1:15" ht="15.75">
      <c r="A67" s="457"/>
      <c r="B67" s="452"/>
      <c r="C67" s="452"/>
      <c r="D67" s="452"/>
      <c r="E67" s="452"/>
      <c r="F67" s="452"/>
      <c r="G67" s="452"/>
      <c r="H67" s="452"/>
      <c r="I67" s="452"/>
      <c r="J67" s="452"/>
      <c r="K67" s="452"/>
      <c r="L67" s="453"/>
      <c r="O67" s="562"/>
    </row>
    <row r="68" spans="1:15" ht="15.75">
      <c r="A68" s="457"/>
      <c r="B68" s="458"/>
      <c r="C68" s="452"/>
      <c r="D68" s="452"/>
      <c r="E68" s="452"/>
      <c r="F68" s="452"/>
      <c r="G68" s="452"/>
      <c r="H68" s="452"/>
      <c r="I68" s="452"/>
      <c r="J68" s="452"/>
      <c r="K68" s="452"/>
      <c r="L68" s="453"/>
      <c r="O68" s="562"/>
    </row>
    <row r="69" spans="1:15">
      <c r="A69" s="455" t="s">
        <v>1100</v>
      </c>
      <c r="B69" s="456" t="s">
        <v>1104</v>
      </c>
      <c r="C69" s="452"/>
      <c r="D69" s="452"/>
      <c r="E69" s="452"/>
      <c r="F69" s="452"/>
      <c r="G69" s="452"/>
      <c r="H69" s="452"/>
      <c r="I69" s="452"/>
      <c r="J69" s="452"/>
      <c r="K69" s="452"/>
      <c r="L69" s="453"/>
      <c r="O69" s="562"/>
    </row>
    <row r="70" spans="1:15">
      <c r="A70" s="455" t="s">
        <v>1101</v>
      </c>
      <c r="B70" s="456" t="s">
        <v>1105</v>
      </c>
      <c r="C70" s="452"/>
      <c r="D70" s="452"/>
      <c r="E70" s="452"/>
      <c r="F70" s="452"/>
      <c r="G70" s="452"/>
      <c r="H70" s="452"/>
      <c r="I70" s="452"/>
      <c r="J70" s="452"/>
      <c r="K70" s="452"/>
      <c r="L70" s="453"/>
      <c r="O70" s="562"/>
    </row>
    <row r="71" spans="1:15">
      <c r="A71" s="455" t="s">
        <v>1102</v>
      </c>
      <c r="B71" s="456" t="s">
        <v>1103</v>
      </c>
      <c r="C71" s="452"/>
      <c r="D71" s="452"/>
      <c r="E71" s="452"/>
      <c r="F71" s="452"/>
      <c r="G71" s="452"/>
      <c r="H71" s="452"/>
      <c r="I71" s="452"/>
      <c r="J71" s="452"/>
      <c r="K71" s="452"/>
      <c r="L71" s="453"/>
      <c r="O71" s="562"/>
    </row>
    <row r="72" spans="1:15">
      <c r="A72" s="459"/>
      <c r="B72" s="452"/>
      <c r="C72" s="452"/>
      <c r="D72" s="452"/>
      <c r="E72" s="452"/>
      <c r="F72" s="452"/>
      <c r="G72" s="452"/>
      <c r="H72" s="452"/>
      <c r="I72" s="452"/>
      <c r="J72" s="452"/>
      <c r="K72" s="452"/>
      <c r="L72" s="453"/>
      <c r="O72" s="562"/>
    </row>
    <row r="73" spans="1:15">
      <c r="A73" s="455" t="s">
        <v>1100</v>
      </c>
      <c r="B73" s="460">
        <f>+Resultados!H8+Resultados!H14+Resultados!H16+Resultados!H25+Resultados!H29</f>
        <v>-303349.66413997737</v>
      </c>
      <c r="C73" s="460">
        <f>+Resultados!I8+Resultados!I14+Resultados!I16+Resultados!I25+Resultados!I29</f>
        <v>-319561.42083359679</v>
      </c>
      <c r="D73" s="460">
        <f>+Resultados!J8+Resultados!J14+Resultados!J16+Resultados!J25+Resultados!J29</f>
        <v>-335946.82181884302</v>
      </c>
      <c r="E73" s="460">
        <f>+Resultados!K8+Resultados!K14+Resultados!K16+Resultados!K25+Resultados!K29</f>
        <v>-352566.67807153129</v>
      </c>
      <c r="F73" s="460">
        <f>+Resultados!L8+Resultados!L14+Resultados!L16+Resultados!L25+Resultados!L29</f>
        <v>-367299.80303954473</v>
      </c>
      <c r="G73" s="460">
        <f>+Resultados!M8+Resultados!M14+Resultados!M16+Resultados!M25+Resultados!M29</f>
        <v>-383714.11082574184</v>
      </c>
      <c r="H73" s="460">
        <f>+Resultados!N8+Resultados!N14+Resultados!N16+Resultados!N25+Resultados!N29</f>
        <v>-400895.83319740894</v>
      </c>
      <c r="I73" s="460">
        <f>+Resultados!O8+Resultados!O14+Resultados!O16+Resultados!O25+Resultados!O29</f>
        <v>-418955.09445140528</v>
      </c>
      <c r="J73" s="460">
        <f>+Resultados!P8+Resultados!P14+Resultados!P16+Resultados!P25+Resultados!P29</f>
        <v>-437939.57658472593</v>
      </c>
      <c r="K73" s="460">
        <f>+Resultados!Q8+Resultados!Q14+Resultados!Q16+Resultados!Q25+Resultados!Q29</f>
        <v>-460367.37776810257</v>
      </c>
      <c r="L73" s="461">
        <f>+Resultados!R8+Resultados!R14+Resultados!R16+Resultados!R25+Resultados!R29</f>
        <v>-490951.53044727375</v>
      </c>
      <c r="O73" s="562"/>
    </row>
    <row r="74" spans="1:15">
      <c r="A74" s="455" t="s">
        <v>1101</v>
      </c>
      <c r="B74" s="462">
        <f>360/B63</f>
        <v>3.3644859813084111</v>
      </c>
      <c r="C74" s="462">
        <f t="shared" ref="C74:L74" si="12">360/C63</f>
        <v>3.4615384615384617</v>
      </c>
      <c r="D74" s="462">
        <f t="shared" si="12"/>
        <v>3.5643564356435644</v>
      </c>
      <c r="E74" s="462">
        <f t="shared" si="12"/>
        <v>3.6734693877551021</v>
      </c>
      <c r="F74" s="462">
        <f t="shared" si="12"/>
        <v>3.7894736842105261</v>
      </c>
      <c r="G74" s="462">
        <f t="shared" si="12"/>
        <v>3.9130434782608696</v>
      </c>
      <c r="H74" s="462">
        <f t="shared" si="12"/>
        <v>3.9130434782608696</v>
      </c>
      <c r="I74" s="462">
        <f t="shared" si="12"/>
        <v>3.9130434782608696</v>
      </c>
      <c r="J74" s="462">
        <f t="shared" si="12"/>
        <v>3.9130434782608696</v>
      </c>
      <c r="K74" s="462">
        <f t="shared" si="12"/>
        <v>3.9130434782608696</v>
      </c>
      <c r="L74" s="463">
        <f t="shared" si="12"/>
        <v>3.9130434782608696</v>
      </c>
      <c r="O74" s="562"/>
    </row>
    <row r="75" spans="1:15" ht="15.75">
      <c r="A75" s="464" t="s">
        <v>1106</v>
      </c>
      <c r="B75" s="460">
        <f>-B73/B74</f>
        <v>90162.26128604883</v>
      </c>
      <c r="C75" s="460">
        <f t="shared" ref="C75:L75" si="13">-C73/C74</f>
        <v>92317.743796372408</v>
      </c>
      <c r="D75" s="460">
        <f t="shared" si="13"/>
        <v>94251.747232508729</v>
      </c>
      <c r="E75" s="460">
        <f t="shared" si="13"/>
        <v>95976.484586139079</v>
      </c>
      <c r="F75" s="460">
        <f t="shared" si="13"/>
        <v>96926.336913213192</v>
      </c>
      <c r="G75" s="460">
        <f t="shared" si="13"/>
        <v>98060.272766578462</v>
      </c>
      <c r="H75" s="460">
        <f t="shared" si="13"/>
        <v>102451.15737267116</v>
      </c>
      <c r="I75" s="460">
        <f t="shared" si="13"/>
        <v>107066.30191535913</v>
      </c>
      <c r="J75" s="460">
        <f t="shared" si="13"/>
        <v>111917.8917938744</v>
      </c>
      <c r="K75" s="460">
        <f t="shared" si="13"/>
        <v>117649.44098518176</v>
      </c>
      <c r="L75" s="461">
        <f t="shared" si="13"/>
        <v>125465.39111430329</v>
      </c>
      <c r="O75" s="562"/>
    </row>
    <row r="76" spans="1:15" ht="15.75">
      <c r="A76" s="464" t="s">
        <v>1107</v>
      </c>
      <c r="B76" s="460">
        <f>+Balance!I7</f>
        <v>15674.170002972947</v>
      </c>
      <c r="C76" s="460">
        <f>+Balance!J7</f>
        <v>11346.269253165798</v>
      </c>
      <c r="D76" s="460">
        <f>+Balance!K7</f>
        <v>11766.986153600745</v>
      </c>
      <c r="E76" s="460">
        <f>+Balance!L7</f>
        <v>18654.226546341</v>
      </c>
      <c r="F76" s="460">
        <f>+Balance!M7</f>
        <v>29597.186315124367</v>
      </c>
      <c r="G76" s="460">
        <f>+Balance!N7</f>
        <v>36318.621654397793</v>
      </c>
      <c r="H76" s="460">
        <f>+Balance!O7</f>
        <v>46080.199962642444</v>
      </c>
      <c r="I76" s="460">
        <f>+Balance!P7</f>
        <v>60923.029318377303</v>
      </c>
      <c r="J76" s="460">
        <f>+Balance!Q7</f>
        <v>81223.274778407969</v>
      </c>
      <c r="K76" s="460">
        <f>+Balance!R7</f>
        <v>103409.89978319222</v>
      </c>
      <c r="L76" s="461">
        <f>+Balance!S7</f>
        <v>132749.91058530868</v>
      </c>
      <c r="O76" s="562"/>
    </row>
    <row r="77" spans="1:15" ht="15.75">
      <c r="A77" s="465" t="s">
        <v>1108</v>
      </c>
      <c r="B77" s="466">
        <f t="shared" ref="B77:L77" si="14">+B75-B76</f>
        <v>74488.09128307589</v>
      </c>
      <c r="C77" s="466">
        <f t="shared" si="14"/>
        <v>80971.474543206612</v>
      </c>
      <c r="D77" s="466">
        <f t="shared" si="14"/>
        <v>82484.761078907992</v>
      </c>
      <c r="E77" s="466">
        <f t="shared" si="14"/>
        <v>77322.258039798078</v>
      </c>
      <c r="F77" s="466">
        <f t="shared" si="14"/>
        <v>67329.150598088832</v>
      </c>
      <c r="G77" s="466">
        <f t="shared" si="14"/>
        <v>61741.651112180669</v>
      </c>
      <c r="H77" s="466">
        <f t="shared" si="14"/>
        <v>56370.957410028721</v>
      </c>
      <c r="I77" s="466">
        <f t="shared" si="14"/>
        <v>46143.272596981828</v>
      </c>
      <c r="J77" s="466">
        <f t="shared" si="14"/>
        <v>30694.617015466429</v>
      </c>
      <c r="K77" s="466">
        <f t="shared" si="14"/>
        <v>14239.541201989545</v>
      </c>
      <c r="L77" s="467">
        <f t="shared" si="14"/>
        <v>-7284.5194710053911</v>
      </c>
      <c r="O77" s="561"/>
    </row>
    <row r="78" spans="1:15" ht="15.75">
      <c r="A78" s="552"/>
      <c r="B78" s="553"/>
      <c r="C78" s="553"/>
      <c r="D78" s="553"/>
      <c r="E78" s="553"/>
      <c r="F78" s="553"/>
      <c r="G78" s="553"/>
      <c r="H78" s="553"/>
      <c r="I78" s="553"/>
      <c r="J78" s="553"/>
      <c r="K78" s="553"/>
      <c r="L78" s="553"/>
    </row>
    <row r="79" spans="1:15">
      <c r="A79" s="566"/>
      <c r="B79" s="567"/>
      <c r="C79" s="567"/>
      <c r="D79" s="567"/>
      <c r="E79" s="567"/>
      <c r="F79" s="567"/>
      <c r="G79" s="567"/>
      <c r="H79" s="567"/>
      <c r="I79" s="567"/>
      <c r="J79" s="567"/>
      <c r="K79" s="567"/>
      <c r="L79" s="568"/>
      <c r="O79" s="558"/>
    </row>
    <row r="80" spans="1:15">
      <c r="A80" s="569" t="s">
        <v>165</v>
      </c>
      <c r="B80" s="570">
        <f>+(1+WACC!H30)*(1+Proyecciones!$O$80)-1</f>
        <v>0.12136750586087719</v>
      </c>
      <c r="C80" s="570">
        <f>+(1+WACC!I30)*(1+Proyecciones!$O$80)-1</f>
        <v>0.11660496481028981</v>
      </c>
      <c r="D80" s="570">
        <f>+(1+WACC!J30)*(1+Proyecciones!$O$80)-1</f>
        <v>0.11854457043821198</v>
      </c>
      <c r="E80" s="570">
        <f>+(1+WACC!K30)*(1+Proyecciones!$O$80)-1</f>
        <v>0.12015777640710756</v>
      </c>
      <c r="F80" s="570">
        <f>+(1+WACC!L30)*(1+Proyecciones!$O$80)-1</f>
        <v>0.12208140832765024</v>
      </c>
      <c r="G80" s="570">
        <f>+(1+WACC!M30)*(1+Proyecciones!$O$80)-1</f>
        <v>0.12267692409830366</v>
      </c>
      <c r="H80" s="570">
        <f>+(1+WACC!N30)*(1+Proyecciones!$O$80)-1</f>
        <v>0.12485633344957536</v>
      </c>
      <c r="I80" s="570">
        <f>+(1+WACC!O30)*(1+Proyecciones!$O$80)-1</f>
        <v>0.12377970313073328</v>
      </c>
      <c r="J80" s="570">
        <f>+(1+WACC!P30)*(1+Proyecciones!$O$80)-1</f>
        <v>0.12875249001806122</v>
      </c>
      <c r="K80" s="570">
        <f>+(1+WACC!Q30)*(1+Proyecciones!$O$80)-1</f>
        <v>0.12733817781205281</v>
      </c>
      <c r="L80" s="571">
        <f>+(1+WACC!R30)*(1+Proyecciones!$O$80)-1</f>
        <v>0.12733817781205281</v>
      </c>
      <c r="M80" s="551"/>
      <c r="N80" s="551"/>
      <c r="O80" s="575">
        <v>0</v>
      </c>
    </row>
    <row r="81" spans="1:15">
      <c r="A81" s="572"/>
      <c r="B81" s="573"/>
      <c r="C81" s="573"/>
      <c r="D81" s="573"/>
      <c r="E81" s="573"/>
      <c r="F81" s="573"/>
      <c r="G81" s="573"/>
      <c r="H81" s="573"/>
      <c r="I81" s="573"/>
      <c r="J81" s="573"/>
      <c r="K81" s="573"/>
      <c r="L81" s="574"/>
      <c r="O81" s="561"/>
    </row>
    <row r="84" spans="1:15">
      <c r="B84" s="588">
        <f>+Resultados!G8+Resultados!G14+Resultados!G16+Resultados!G25+Resultados!G29</f>
        <v>-270545</v>
      </c>
    </row>
    <row r="85" spans="1:15">
      <c r="B85" s="588">
        <f>360/(B21+B26-B31)</f>
        <v>3.0149428137863961</v>
      </c>
      <c r="D85" s="376"/>
    </row>
    <row r="86" spans="1:15">
      <c r="B86" s="589">
        <f>-B84/B85</f>
        <v>89734.703677589452</v>
      </c>
    </row>
    <row r="87" spans="1:15">
      <c r="B87" s="588">
        <f>+Balance!H7</f>
        <v>21287</v>
      </c>
    </row>
    <row r="88" spans="1:15">
      <c r="B88" s="588">
        <f>+B86/B87</f>
        <v>4.2154697081594144</v>
      </c>
    </row>
    <row r="89" spans="1:15">
      <c r="B89" s="364"/>
    </row>
    <row r="90" spans="1:15">
      <c r="B90" s="589">
        <f>+B22+B27-B32</f>
        <v>95.53124156162751</v>
      </c>
      <c r="C90" s="589">
        <f>+B90-C36</f>
        <v>94.53124156162751</v>
      </c>
      <c r="D90" s="589">
        <f t="shared" ref="D90:L90" si="15">+C90-D36</f>
        <v>93.53124156162751</v>
      </c>
      <c r="E90" s="589">
        <f t="shared" si="15"/>
        <v>92.53124156162751</v>
      </c>
      <c r="F90" s="589">
        <f t="shared" si="15"/>
        <v>91.53124156162751</v>
      </c>
      <c r="G90" s="589">
        <f t="shared" si="15"/>
        <v>90.53124156162751</v>
      </c>
      <c r="H90" s="589">
        <f t="shared" si="15"/>
        <v>90.53124156162751</v>
      </c>
      <c r="I90" s="589">
        <f t="shared" si="15"/>
        <v>90.53124156162751</v>
      </c>
      <c r="J90" s="589">
        <f t="shared" si="15"/>
        <v>90.53124156162751</v>
      </c>
      <c r="K90" s="589">
        <f t="shared" si="15"/>
        <v>90.53124156162751</v>
      </c>
      <c r="L90" s="589">
        <f t="shared" si="15"/>
        <v>90.53124156162751</v>
      </c>
    </row>
    <row r="91" spans="1:15">
      <c r="B91" s="589">
        <f>+B73</f>
        <v>-303349.66413997737</v>
      </c>
      <c r="C91" s="589">
        <f t="shared" ref="C91:L91" si="16">+C73</f>
        <v>-319561.42083359679</v>
      </c>
      <c r="D91" s="589">
        <f t="shared" si="16"/>
        <v>-335946.82181884302</v>
      </c>
      <c r="E91" s="589">
        <f t="shared" si="16"/>
        <v>-352566.67807153129</v>
      </c>
      <c r="F91" s="589">
        <f t="shared" si="16"/>
        <v>-367299.80303954473</v>
      </c>
      <c r="G91" s="589">
        <f t="shared" si="16"/>
        <v>-383714.11082574184</v>
      </c>
      <c r="H91" s="589">
        <f t="shared" si="16"/>
        <v>-400895.83319740894</v>
      </c>
      <c r="I91" s="589">
        <f t="shared" si="16"/>
        <v>-418955.09445140528</v>
      </c>
      <c r="J91" s="589">
        <f t="shared" si="16"/>
        <v>-437939.57658472593</v>
      </c>
      <c r="K91" s="589">
        <f t="shared" si="16"/>
        <v>-460367.37776810257</v>
      </c>
      <c r="L91" s="589">
        <f t="shared" si="16"/>
        <v>-490951.53044727375</v>
      </c>
    </row>
    <row r="92" spans="1:15">
      <c r="B92" s="589">
        <f>360/B90</f>
        <v>3.7684007254083771</v>
      </c>
      <c r="C92" s="589">
        <f t="shared" ref="C92:L92" si="17">360/C90</f>
        <v>3.8082648027563049</v>
      </c>
      <c r="D92" s="589">
        <f t="shared" si="17"/>
        <v>3.8489813028173785</v>
      </c>
      <c r="E92" s="589">
        <f t="shared" si="17"/>
        <v>3.8905778623994078</v>
      </c>
      <c r="F92" s="589">
        <f t="shared" si="17"/>
        <v>3.933083326064291</v>
      </c>
      <c r="G92" s="589">
        <f t="shared" si="17"/>
        <v>3.9765278128317338</v>
      </c>
      <c r="H92" s="589">
        <f t="shared" si="17"/>
        <v>3.9765278128317338</v>
      </c>
      <c r="I92" s="589">
        <f t="shared" si="17"/>
        <v>3.9765278128317338</v>
      </c>
      <c r="J92" s="589">
        <f t="shared" si="17"/>
        <v>3.9765278128317338</v>
      </c>
      <c r="K92" s="589">
        <f t="shared" si="17"/>
        <v>3.9765278128317338</v>
      </c>
      <c r="L92" s="589">
        <f t="shared" si="17"/>
        <v>3.9765278128317338</v>
      </c>
    </row>
    <row r="93" spans="1:15">
      <c r="B93" s="589">
        <f>-B91/B92</f>
        <v>80498.250118318756</v>
      </c>
      <c r="C93" s="589">
        <f t="shared" ref="C93:L93" si="18">-C91/C92</f>
        <v>83912.605184993459</v>
      </c>
      <c r="D93" s="589">
        <f t="shared" si="18"/>
        <v>87282.00928722012</v>
      </c>
      <c r="E93" s="589">
        <f t="shared" si="18"/>
        <v>90620.645708937285</v>
      </c>
      <c r="F93" s="589">
        <f t="shared" si="18"/>
        <v>93387.24165986327</v>
      </c>
      <c r="G93" s="589">
        <f t="shared" si="18"/>
        <v>96494.763493806517</v>
      </c>
      <c r="H93" s="589">
        <f t="shared" si="18"/>
        <v>100815.54865623488</v>
      </c>
      <c r="I93" s="589">
        <f t="shared" si="18"/>
        <v>105357.01349792955</v>
      </c>
      <c r="J93" s="589">
        <f t="shared" si="18"/>
        <v>110131.1488810797</v>
      </c>
      <c r="K93" s="589">
        <f t="shared" si="18"/>
        <v>115771.19523282532</v>
      </c>
      <c r="L93" s="589">
        <f t="shared" si="18"/>
        <v>123462.36554992462</v>
      </c>
    </row>
    <row r="94" spans="1:15">
      <c r="A94" s="590" t="s">
        <v>1194</v>
      </c>
      <c r="B94" s="589">
        <f>+Balance!H7+Balance!H8</f>
        <v>23069</v>
      </c>
      <c r="C94" s="589">
        <f>+B95</f>
        <v>57429.250118318756</v>
      </c>
      <c r="D94" s="589">
        <f t="shared" ref="D94:L94" si="19">+C95</f>
        <v>26483.355066674703</v>
      </c>
      <c r="E94" s="589">
        <f t="shared" si="19"/>
        <v>60798.654220545417</v>
      </c>
      <c r="F94" s="589">
        <f t="shared" si="19"/>
        <v>29821.991488391868</v>
      </c>
      <c r="G94" s="589">
        <f t="shared" si="19"/>
        <v>63565.250171471402</v>
      </c>
      <c r="H94" s="589">
        <f t="shared" si="19"/>
        <v>32929.513322335115</v>
      </c>
      <c r="I94" s="589">
        <f t="shared" si="19"/>
        <v>67886.035333899767</v>
      </c>
      <c r="J94" s="589">
        <f t="shared" si="19"/>
        <v>37470.978164029788</v>
      </c>
      <c r="K94" s="589">
        <f t="shared" si="19"/>
        <v>72660.170717049914</v>
      </c>
      <c r="L94" s="589">
        <f t="shared" si="19"/>
        <v>43111.024515775411</v>
      </c>
    </row>
    <row r="95" spans="1:15" ht="15.75">
      <c r="A95" s="591" t="s">
        <v>1195</v>
      </c>
      <c r="B95" s="592">
        <f>+B93-B94</f>
        <v>57429.250118318756</v>
      </c>
      <c r="C95" s="592">
        <f>+C93-C94</f>
        <v>26483.355066674703</v>
      </c>
      <c r="D95" s="592">
        <f t="shared" ref="D95:L95" si="20">+D93-D94</f>
        <v>60798.654220545417</v>
      </c>
      <c r="E95" s="592">
        <f t="shared" si="20"/>
        <v>29821.991488391868</v>
      </c>
      <c r="F95" s="592">
        <f t="shared" si="20"/>
        <v>63565.250171471402</v>
      </c>
      <c r="G95" s="592">
        <f t="shared" si="20"/>
        <v>32929.513322335115</v>
      </c>
      <c r="H95" s="592">
        <f t="shared" si="20"/>
        <v>67886.035333899767</v>
      </c>
      <c r="I95" s="592">
        <f t="shared" si="20"/>
        <v>37470.978164029788</v>
      </c>
      <c r="J95" s="592">
        <f t="shared" si="20"/>
        <v>72660.170717049914</v>
      </c>
      <c r="K95" s="592">
        <f t="shared" si="20"/>
        <v>43111.024515775411</v>
      </c>
      <c r="L95" s="592">
        <f t="shared" si="20"/>
        <v>80351.341034149213</v>
      </c>
    </row>
  </sheetData>
  <phoneticPr fontId="65" type="noConversion"/>
  <pageMargins left="0.7" right="0.7" top="0.75" bottom="0.75" header="0.3" footer="0.3"/>
  <pageSetup orientation="portrait" horizontalDpi="4294967292" verticalDpi="4294967292" r:id="rId1"/>
  <legacyDrawing r:id="rId2"/>
</worksheet>
</file>

<file path=xl/worksheets/sheet30.xml><?xml version="1.0" encoding="utf-8"?>
<worksheet xmlns="http://schemas.openxmlformats.org/spreadsheetml/2006/main" xmlns:r="http://schemas.openxmlformats.org/officeDocument/2006/relationships">
  <sheetPr transitionEvaluation="1" enableFormatConditionsCalculation="0">
    <tabColor rgb="FF002060"/>
    <pageSetUpPr fitToPage="1"/>
  </sheetPr>
  <dimension ref="A1:I40"/>
  <sheetViews>
    <sheetView zoomScale="75" workbookViewId="0">
      <selection activeCell="F24" sqref="F24"/>
    </sheetView>
  </sheetViews>
  <sheetFormatPr baseColWidth="10" defaultColWidth="11.5546875" defaultRowHeight="15"/>
  <cols>
    <col min="1" max="1" width="31.6640625" customWidth="1"/>
    <col min="2" max="9" width="8.109375" customWidth="1"/>
  </cols>
  <sheetData>
    <row r="1" spans="1:9" ht="15.75">
      <c r="A1" s="1" t="str">
        <f>+Balance!A1</f>
        <v>ENKA de Colombia S.A.</v>
      </c>
    </row>
    <row r="2" spans="1:9" ht="15.75">
      <c r="A2" s="27" t="s">
        <v>212</v>
      </c>
    </row>
    <row r="3" spans="1:9" ht="15.75">
      <c r="A3" s="27"/>
    </row>
    <row r="4" spans="1:9" ht="16.5" thickBot="1">
      <c r="A4" s="27"/>
      <c r="B4" s="68">
        <f>+Proy.Cifras!B4</f>
        <v>2014</v>
      </c>
      <c r="C4" s="68">
        <f>+Proy.Cifras!C4</f>
        <v>2015</v>
      </c>
      <c r="D4" s="68">
        <f>+Proy.Cifras!D4</f>
        <v>2016</v>
      </c>
      <c r="E4" s="68">
        <f>+Proy.Cifras!E4</f>
        <v>2017</v>
      </c>
      <c r="F4" s="68">
        <f>+Proy.Cifras!F4</f>
        <v>2018</v>
      </c>
      <c r="G4" s="68">
        <f>+Proy.Cifras!G4</f>
        <v>2019</v>
      </c>
      <c r="H4" s="68">
        <f>+Proy.Cifras!H4</f>
        <v>2020</v>
      </c>
      <c r="I4" s="68">
        <f>+Proy.Cifras!I4</f>
        <v>2021</v>
      </c>
    </row>
    <row r="6" spans="1:9">
      <c r="A6" t="s">
        <v>213</v>
      </c>
      <c r="B6" s="66">
        <v>0.33</v>
      </c>
      <c r="C6" s="66">
        <v>0.33</v>
      </c>
      <c r="D6" s="66">
        <v>0.33</v>
      </c>
      <c r="E6" s="66">
        <v>0.33</v>
      </c>
      <c r="F6" s="66">
        <v>0.33</v>
      </c>
      <c r="G6" s="66">
        <v>0.33</v>
      </c>
      <c r="H6" s="66">
        <v>0.33</v>
      </c>
      <c r="I6" s="66">
        <v>0.33</v>
      </c>
    </row>
    <row r="8" spans="1:9">
      <c r="A8" s="62" t="s">
        <v>188</v>
      </c>
      <c r="B8" s="48" t="e">
        <f>Generadores!#REF!</f>
        <v>#REF!</v>
      </c>
      <c r="C8" s="48" t="e">
        <f t="shared" ref="C8:G10" si="0">B8</f>
        <v>#REF!</v>
      </c>
      <c r="D8" s="48" t="e">
        <f t="shared" si="0"/>
        <v>#REF!</v>
      </c>
      <c r="E8" s="48" t="e">
        <f t="shared" si="0"/>
        <v>#REF!</v>
      </c>
      <c r="F8" s="48" t="e">
        <f t="shared" si="0"/>
        <v>#REF!</v>
      </c>
      <c r="G8" s="48" t="e">
        <f t="shared" si="0"/>
        <v>#REF!</v>
      </c>
      <c r="H8" s="48" t="e">
        <f t="shared" ref="H8:I10" si="1">G8</f>
        <v>#REF!</v>
      </c>
      <c r="I8" s="48" t="e">
        <f t="shared" si="1"/>
        <v>#REF!</v>
      </c>
    </row>
    <row r="9" spans="1:9">
      <c r="A9" s="62" t="s">
        <v>189</v>
      </c>
      <c r="B9" s="48" t="e">
        <f>Generadores!#REF!</f>
        <v>#REF!</v>
      </c>
      <c r="C9" s="48" t="e">
        <f t="shared" si="0"/>
        <v>#REF!</v>
      </c>
      <c r="D9" s="48" t="e">
        <f t="shared" si="0"/>
        <v>#REF!</v>
      </c>
      <c r="E9" s="48" t="e">
        <f t="shared" si="0"/>
        <v>#REF!</v>
      </c>
      <c r="F9" s="48" t="e">
        <f t="shared" si="0"/>
        <v>#REF!</v>
      </c>
      <c r="G9" s="48" t="e">
        <f t="shared" si="0"/>
        <v>#REF!</v>
      </c>
      <c r="H9" s="48" t="e">
        <f t="shared" si="1"/>
        <v>#REF!</v>
      </c>
      <c r="I9" s="48" t="e">
        <f t="shared" si="1"/>
        <v>#REF!</v>
      </c>
    </row>
    <row r="10" spans="1:9">
      <c r="A10" s="62" t="s">
        <v>190</v>
      </c>
      <c r="B10" s="48" t="e">
        <f>Generadores!#REF!</f>
        <v>#REF!</v>
      </c>
      <c r="C10" s="48" t="e">
        <f t="shared" si="0"/>
        <v>#REF!</v>
      </c>
      <c r="D10" s="48" t="e">
        <f t="shared" si="0"/>
        <v>#REF!</v>
      </c>
      <c r="E10" s="48" t="e">
        <f t="shared" si="0"/>
        <v>#REF!</v>
      </c>
      <c r="F10" s="48" t="e">
        <f t="shared" si="0"/>
        <v>#REF!</v>
      </c>
      <c r="G10" s="48" t="e">
        <f t="shared" si="0"/>
        <v>#REF!</v>
      </c>
      <c r="H10" s="48" t="e">
        <f t="shared" si="1"/>
        <v>#REF!</v>
      </c>
      <c r="I10" s="48" t="e">
        <f t="shared" si="1"/>
        <v>#REF!</v>
      </c>
    </row>
    <row r="11" spans="1:9">
      <c r="B11" s="66"/>
    </row>
    <row r="12" spans="1:9">
      <c r="A12" s="74" t="s">
        <v>214</v>
      </c>
      <c r="B12" s="66"/>
    </row>
    <row r="13" spans="1:9">
      <c r="A13" s="75" t="s">
        <v>215</v>
      </c>
      <c r="B13" s="66">
        <v>8.5000000000000006E-2</v>
      </c>
      <c r="C13" s="66">
        <v>0.08</v>
      </c>
      <c r="D13" s="66">
        <v>7.0000000000000007E-2</v>
      </c>
      <c r="E13" s="66">
        <v>0.06</v>
      </c>
      <c r="F13" s="66">
        <v>0.05</v>
      </c>
      <c r="G13" s="66">
        <v>0.05</v>
      </c>
      <c r="H13" s="66">
        <v>0.05</v>
      </c>
      <c r="I13" s="66">
        <v>0.05</v>
      </c>
    </row>
    <row r="14" spans="1:9">
      <c r="A14" s="75" t="s">
        <v>216</v>
      </c>
      <c r="B14" s="66">
        <v>0.04</v>
      </c>
      <c r="C14" s="66">
        <v>0.03</v>
      </c>
      <c r="D14" s="66">
        <v>0.02</v>
      </c>
      <c r="E14" s="66">
        <v>0.02</v>
      </c>
      <c r="F14" s="66">
        <v>0.02</v>
      </c>
      <c r="G14" s="66">
        <v>0.02</v>
      </c>
      <c r="H14" s="66">
        <v>0.02</v>
      </c>
      <c r="I14" s="66">
        <v>0.02</v>
      </c>
    </row>
    <row r="15" spans="1:9">
      <c r="A15" s="75" t="s">
        <v>191</v>
      </c>
      <c r="B15" s="48">
        <f>+Proy.Cifras!B8+B14+(Proy.Cifras!B8*B14)</f>
        <v>7.515200000000001E-2</v>
      </c>
      <c r="C15" s="48">
        <f>+Proy.Cifras!C8+C14+(Proy.Cifras!C8*C14)</f>
        <v>6.9140000000000007E-2</v>
      </c>
      <c r="D15" s="48">
        <f>+Proy.Cifras!D8+D14+(Proy.Cifras!D8*D14)</f>
        <v>5.5700000000000006E-2</v>
      </c>
      <c r="E15" s="48">
        <f>+Proy.Cifras!E8+E14+(Proy.Cifras!E8*E14)</f>
        <v>5.5700000000000006E-2</v>
      </c>
      <c r="F15" s="48">
        <f>+Proy.Cifras!F8+F14+(Proy.Cifras!F8*F14)</f>
        <v>5.5700000000000006E-2</v>
      </c>
      <c r="G15" s="48">
        <f>+Proy.Cifras!G8+G14+(Proy.Cifras!G8*G14)</f>
        <v>5.5700000000000006E-2</v>
      </c>
      <c r="H15" s="48">
        <f>+Proy.Cifras!H8+H14+(Proy.Cifras!H8*H14)</f>
        <v>5.5700000000000006E-2</v>
      </c>
      <c r="I15" s="48">
        <f>+Proy.Cifras!I8+I14+(Proy.Cifras!I8*I14)</f>
        <v>5.5700000000000006E-2</v>
      </c>
    </row>
    <row r="16" spans="1:9">
      <c r="A16" s="75" t="s">
        <v>217</v>
      </c>
      <c r="B16" s="48">
        <f t="shared" ref="B16:I16" si="2">((1+(((B13+B15)/4)/(1-((B13+B15)/4))))^4)-1</f>
        <v>0.17756213553508338</v>
      </c>
      <c r="C16" s="48">
        <f t="shared" si="2"/>
        <v>0.16415027657941539</v>
      </c>
      <c r="D16" s="48">
        <f t="shared" si="2"/>
        <v>0.13623190271215924</v>
      </c>
      <c r="E16" s="48">
        <f t="shared" si="2"/>
        <v>0.12457624643107379</v>
      </c>
      <c r="F16" s="48">
        <f t="shared" si="2"/>
        <v>0.11306966467924751</v>
      </c>
      <c r="G16" s="48">
        <f t="shared" si="2"/>
        <v>0.11306966467924751</v>
      </c>
      <c r="H16" s="48">
        <f t="shared" si="2"/>
        <v>0.11306966467924751</v>
      </c>
      <c r="I16" s="48">
        <f t="shared" si="2"/>
        <v>0.11306966467924751</v>
      </c>
    </row>
    <row r="17" spans="1:9">
      <c r="A17" s="75" t="s">
        <v>193</v>
      </c>
      <c r="B17" s="48">
        <f>+B16*(1-B6)*(1+$B$40)</f>
        <v>0.11896663080850585</v>
      </c>
      <c r="C17" s="48">
        <f t="shared" ref="C17:I17" si="3">+C16*(1-C6)*(1+$B$40)</f>
        <v>0.1099806853082083</v>
      </c>
      <c r="D17" s="48">
        <f t="shared" si="3"/>
        <v>9.1275374817146676E-2</v>
      </c>
      <c r="E17" s="48">
        <f t="shared" si="3"/>
        <v>8.3466085108819435E-2</v>
      </c>
      <c r="F17" s="48">
        <f t="shared" si="3"/>
        <v>7.5756675335095822E-2</v>
      </c>
      <c r="G17" s="48">
        <f t="shared" si="3"/>
        <v>7.5756675335095822E-2</v>
      </c>
      <c r="H17" s="48">
        <f t="shared" si="3"/>
        <v>7.5756675335095822E-2</v>
      </c>
      <c r="I17" s="48">
        <f t="shared" si="3"/>
        <v>7.5756675335095822E-2</v>
      </c>
    </row>
    <row r="18" spans="1:9">
      <c r="A18" s="75"/>
      <c r="B18" s="48"/>
      <c r="C18" s="48"/>
      <c r="D18" s="48"/>
      <c r="E18" s="48"/>
      <c r="F18" s="48"/>
      <c r="G18" s="48"/>
      <c r="H18" s="48"/>
      <c r="I18" s="48"/>
    </row>
    <row r="19" spans="1:9">
      <c r="A19" s="77" t="s">
        <v>218</v>
      </c>
      <c r="B19" s="48"/>
      <c r="C19" s="48"/>
      <c r="D19" s="48"/>
      <c r="E19" s="48"/>
      <c r="F19" s="48"/>
      <c r="G19" s="48"/>
      <c r="H19" s="48"/>
      <c r="I19" s="48"/>
    </row>
    <row r="20" spans="1:9">
      <c r="A20" s="75" t="s">
        <v>219</v>
      </c>
      <c r="B20" s="48">
        <v>3.5000000000000003E-2</v>
      </c>
      <c r="C20" s="48">
        <v>3.5000000000000003E-2</v>
      </c>
      <c r="D20" s="48">
        <v>3.5000000000000003E-2</v>
      </c>
      <c r="E20" s="48">
        <v>3.5000000000000003E-2</v>
      </c>
      <c r="F20" s="48">
        <v>3.5000000000000003E-2</v>
      </c>
      <c r="G20" s="48">
        <v>3.5000000000000003E-2</v>
      </c>
      <c r="H20" s="48">
        <v>3.5000000000000003E-2</v>
      </c>
      <c r="I20" s="48">
        <v>3.5000000000000003E-2</v>
      </c>
    </row>
    <row r="21" spans="1:9">
      <c r="A21" s="75" t="s">
        <v>113</v>
      </c>
      <c r="B21" s="48">
        <f>+Proy.Cifras!B8-Proy.WACC!B20+(Proy.Cifras!B8*-Proy.WACC!B20)</f>
        <v>-2.3830000000000066E-3</v>
      </c>
      <c r="C21" s="48">
        <f>+Proy.Cifras!C8-Proy.WACC!C20+(Proy.Cifras!C8*-Proy.WACC!C20)</f>
        <v>1.6699999999999957E-3</v>
      </c>
      <c r="D21" s="48">
        <f>+Proy.Cifras!D8-Proy.WACC!D20+(Proy.Cifras!D8*-Proy.WACC!D20)</f>
        <v>-1.2250000000000002E-3</v>
      </c>
      <c r="E21" s="48">
        <f>+Proy.Cifras!E8-Proy.WACC!E20+(Proy.Cifras!E8*-Proy.WACC!E20)</f>
        <v>-1.2250000000000002E-3</v>
      </c>
      <c r="F21" s="48">
        <f>+Proy.Cifras!F8-Proy.WACC!F20+(Proy.Cifras!F8*-Proy.WACC!F20)</f>
        <v>-1.2250000000000002E-3</v>
      </c>
      <c r="G21" s="48">
        <f>+Proy.Cifras!G8-Proy.WACC!G20+(Proy.Cifras!G8*-Proy.WACC!G20)</f>
        <v>-1.2250000000000002E-3</v>
      </c>
      <c r="H21" s="48">
        <f>+Proy.Cifras!H8-Proy.WACC!H20+(Proy.Cifras!H8*-Proy.WACC!H20)</f>
        <v>-1.2250000000000002E-3</v>
      </c>
      <c r="I21" s="48">
        <f>+Proy.Cifras!I8-Proy.WACC!I20+(Proy.Cifras!I8*-Proy.WACC!I20)</f>
        <v>-1.2250000000000002E-3</v>
      </c>
    </row>
    <row r="22" spans="1:9">
      <c r="A22" s="75" t="s">
        <v>220</v>
      </c>
      <c r="B22" s="66">
        <v>0.06</v>
      </c>
      <c r="C22" s="66">
        <v>0.06</v>
      </c>
      <c r="D22" s="66">
        <v>0.06</v>
      </c>
      <c r="E22" s="66">
        <v>0.06</v>
      </c>
      <c r="F22" s="66">
        <v>0.05</v>
      </c>
      <c r="G22" s="66">
        <v>0.05</v>
      </c>
      <c r="H22" s="66">
        <v>0.05</v>
      </c>
      <c r="I22" s="66">
        <v>0.05</v>
      </c>
    </row>
    <row r="23" spans="1:9">
      <c r="A23" s="75" t="s">
        <v>221</v>
      </c>
      <c r="B23" s="66">
        <f t="shared" ref="B23:I23" si="4">(B22+B21+(B22*B21))</f>
        <v>5.7474019999999987E-2</v>
      </c>
      <c r="C23" s="66">
        <f t="shared" si="4"/>
        <v>6.1770199999999997E-2</v>
      </c>
      <c r="D23" s="66">
        <f t="shared" si="4"/>
        <v>5.8701500000000004E-2</v>
      </c>
      <c r="E23" s="66">
        <f t="shared" si="4"/>
        <v>5.8701500000000004E-2</v>
      </c>
      <c r="F23" s="66">
        <f t="shared" si="4"/>
        <v>4.8713750000000007E-2</v>
      </c>
      <c r="G23" s="66">
        <f t="shared" si="4"/>
        <v>4.8713750000000007E-2</v>
      </c>
      <c r="H23" s="66">
        <f t="shared" si="4"/>
        <v>4.8713750000000007E-2</v>
      </c>
      <c r="I23" s="66">
        <f t="shared" si="4"/>
        <v>4.8713750000000007E-2</v>
      </c>
    </row>
    <row r="24" spans="1:9">
      <c r="A24" s="75" t="s">
        <v>195</v>
      </c>
      <c r="B24" s="66">
        <f>+B23*(1-B6)*(1+$B$40)</f>
        <v>3.8507593399999984E-2</v>
      </c>
      <c r="C24" s="66">
        <f t="shared" ref="C24:I24" si="5">+C23*(1-C6)*(1+$B$40)</f>
        <v>4.1386033999999995E-2</v>
      </c>
      <c r="D24" s="66">
        <f t="shared" si="5"/>
        <v>3.9330005000000001E-2</v>
      </c>
      <c r="E24" s="66">
        <f t="shared" si="5"/>
        <v>3.9330005000000001E-2</v>
      </c>
      <c r="F24" s="66">
        <f t="shared" si="5"/>
        <v>3.26382125E-2</v>
      </c>
      <c r="G24" s="66">
        <f t="shared" si="5"/>
        <v>3.26382125E-2</v>
      </c>
      <c r="H24" s="66">
        <f t="shared" si="5"/>
        <v>3.26382125E-2</v>
      </c>
      <c r="I24" s="66">
        <f t="shared" si="5"/>
        <v>3.26382125E-2</v>
      </c>
    </row>
    <row r="25" spans="1:9">
      <c r="A25" s="75"/>
      <c r="B25" s="83"/>
      <c r="C25" s="66"/>
      <c r="D25" s="66"/>
      <c r="E25" s="66"/>
      <c r="F25" s="66"/>
      <c r="G25" s="66"/>
      <c r="H25" s="66"/>
      <c r="I25" s="66"/>
    </row>
    <row r="26" spans="1:9">
      <c r="A26" s="78" t="s">
        <v>222</v>
      </c>
      <c r="B26" s="66"/>
      <c r="C26" s="66"/>
      <c r="D26" s="66"/>
      <c r="E26" s="66"/>
      <c r="F26" s="66"/>
      <c r="G26" s="66"/>
      <c r="H26" s="66"/>
      <c r="I26" s="66"/>
    </row>
    <row r="27" spans="1:9">
      <c r="A27" s="79" t="s">
        <v>223</v>
      </c>
      <c r="B27" s="48">
        <f>10%*(1+$B$40)</f>
        <v>0.1</v>
      </c>
      <c r="C27" s="48">
        <f t="shared" ref="C27:I27" si="6">10%*(1+$B$40)</f>
        <v>0.1</v>
      </c>
      <c r="D27" s="48">
        <f t="shared" si="6"/>
        <v>0.1</v>
      </c>
      <c r="E27" s="48">
        <f t="shared" si="6"/>
        <v>0.1</v>
      </c>
      <c r="F27" s="48">
        <f t="shared" si="6"/>
        <v>0.1</v>
      </c>
      <c r="G27" s="48">
        <f t="shared" si="6"/>
        <v>0.1</v>
      </c>
      <c r="H27" s="48">
        <f t="shared" si="6"/>
        <v>0.1</v>
      </c>
      <c r="I27" s="48">
        <f t="shared" si="6"/>
        <v>0.1</v>
      </c>
    </row>
    <row r="28" spans="1:9">
      <c r="A28" s="75" t="s">
        <v>224</v>
      </c>
      <c r="B28" s="48">
        <f>+B27+Proy.Cifras!B8+(Proy.WACC!B27*Proy.Cifras!B8)</f>
        <v>0.13718</v>
      </c>
      <c r="C28" s="48">
        <f>+C27+Proy.Cifras!C8+(Proy.WACC!C27*Proy.Cifras!C8)</f>
        <v>0.14180000000000001</v>
      </c>
      <c r="D28" s="48">
        <f>+D27+Proy.Cifras!D8+(Proy.WACC!D27*Proy.Cifras!D8)</f>
        <v>0.13850000000000001</v>
      </c>
      <c r="E28" s="48">
        <f>+E27+Proy.Cifras!E8+(Proy.WACC!E27*Proy.Cifras!E8)</f>
        <v>0.13850000000000001</v>
      </c>
      <c r="F28" s="48">
        <f>+F27+Proy.Cifras!F8+(Proy.WACC!F27*Proy.Cifras!F8)</f>
        <v>0.13850000000000001</v>
      </c>
      <c r="G28" s="48">
        <f>+G27+Proy.Cifras!G8+(Proy.WACC!G27*Proy.Cifras!G8)</f>
        <v>0.13850000000000001</v>
      </c>
      <c r="H28" s="48">
        <f>+H27+Proy.Cifras!H8+(Proy.WACC!H27*Proy.Cifras!H8)</f>
        <v>0.13850000000000001</v>
      </c>
      <c r="I28" s="48">
        <f>+I27+Proy.Cifras!I8+(Proy.WACC!I27*Proy.Cifras!I8)</f>
        <v>0.13850000000000001</v>
      </c>
    </row>
    <row r="29" spans="1:9" ht="15.75" thickBot="1">
      <c r="A29" s="75"/>
      <c r="B29" s="48"/>
      <c r="C29" s="48"/>
      <c r="D29" s="48"/>
      <c r="E29" s="48"/>
      <c r="F29" s="48"/>
      <c r="G29" s="48"/>
      <c r="H29" s="48"/>
      <c r="I29" s="48"/>
    </row>
    <row r="30" spans="1:9" ht="16.5" thickTop="1" thickBot="1">
      <c r="A30" s="80" t="s">
        <v>165</v>
      </c>
      <c r="B30" s="81" t="e">
        <f t="shared" ref="B30:G30" si="7">(B8*B17)+(B9*B24)+(B10*B28)</f>
        <v>#REF!</v>
      </c>
      <c r="C30" s="81" t="e">
        <f t="shared" si="7"/>
        <v>#REF!</v>
      </c>
      <c r="D30" s="81" t="e">
        <f t="shared" si="7"/>
        <v>#REF!</v>
      </c>
      <c r="E30" s="81" t="e">
        <f t="shared" si="7"/>
        <v>#REF!</v>
      </c>
      <c r="F30" s="81" t="e">
        <f t="shared" si="7"/>
        <v>#REF!</v>
      </c>
      <c r="G30" s="81" t="e">
        <f t="shared" si="7"/>
        <v>#REF!</v>
      </c>
      <c r="H30" s="81" t="e">
        <f>(H8*H17)+(H9*H24)+(H10*H28)</f>
        <v>#REF!</v>
      </c>
      <c r="I30" s="81" t="e">
        <f>(I8*I17)+(I9*I24)+(I10*I28)</f>
        <v>#REF!</v>
      </c>
    </row>
    <row r="31" spans="1:9" ht="15.75" thickTop="1"/>
    <row r="32" spans="1:9">
      <c r="A32" s="82" t="s">
        <v>225</v>
      </c>
    </row>
    <row r="33" spans="1:9">
      <c r="A33" t="s">
        <v>226</v>
      </c>
      <c r="B33" s="67">
        <v>-100</v>
      </c>
    </row>
    <row r="34" spans="1:9">
      <c r="A34" t="s">
        <v>227</v>
      </c>
      <c r="B34" s="67"/>
      <c r="C34" s="67" t="e">
        <f t="shared" ref="C34:I34" si="8">-B30*$B$33</f>
        <v>#REF!</v>
      </c>
      <c r="D34" s="67" t="e">
        <f t="shared" si="8"/>
        <v>#REF!</v>
      </c>
      <c r="E34" s="67" t="e">
        <f t="shared" si="8"/>
        <v>#REF!</v>
      </c>
      <c r="F34" s="67" t="e">
        <f t="shared" si="8"/>
        <v>#REF!</v>
      </c>
      <c r="G34" s="67" t="e">
        <f t="shared" si="8"/>
        <v>#REF!</v>
      </c>
      <c r="H34" s="67" t="e">
        <f t="shared" si="8"/>
        <v>#REF!</v>
      </c>
      <c r="I34" s="67" t="e">
        <f t="shared" si="8"/>
        <v>#REF!</v>
      </c>
    </row>
    <row r="35" spans="1:9" ht="15.75" thickBot="1">
      <c r="A35" t="s">
        <v>228</v>
      </c>
      <c r="B35" s="67"/>
      <c r="C35" s="67"/>
      <c r="D35" s="67"/>
      <c r="E35" s="67"/>
      <c r="F35" s="67"/>
      <c r="G35" s="67"/>
      <c r="H35" s="67"/>
      <c r="I35" s="67">
        <f>-B33</f>
        <v>100</v>
      </c>
    </row>
    <row r="36" spans="1:9" ht="15.75">
      <c r="A36" s="76" t="s">
        <v>229</v>
      </c>
      <c r="B36" s="69">
        <f t="shared" ref="B36:I36" si="9">SUM(B33:B35)</f>
        <v>-100</v>
      </c>
      <c r="C36" s="69" t="e">
        <f t="shared" si="9"/>
        <v>#REF!</v>
      </c>
      <c r="D36" s="69" t="e">
        <f t="shared" si="9"/>
        <v>#REF!</v>
      </c>
      <c r="E36" s="69" t="e">
        <f t="shared" si="9"/>
        <v>#REF!</v>
      </c>
      <c r="F36" s="69" t="e">
        <f t="shared" si="9"/>
        <v>#REF!</v>
      </c>
      <c r="G36" s="69" t="e">
        <f t="shared" si="9"/>
        <v>#REF!</v>
      </c>
      <c r="H36" s="69" t="e">
        <f t="shared" si="9"/>
        <v>#REF!</v>
      </c>
      <c r="I36" s="69" t="e">
        <f t="shared" si="9"/>
        <v>#REF!</v>
      </c>
    </row>
    <row r="37" spans="1:9" ht="15.75" thickBot="1">
      <c r="B37" s="67"/>
      <c r="C37" s="67"/>
      <c r="D37" s="67"/>
      <c r="E37" s="67"/>
      <c r="F37" s="67"/>
      <c r="G37" s="67"/>
    </row>
    <row r="38" spans="1:9" ht="16.5" thickTop="1" thickBot="1">
      <c r="A38" s="80" t="s">
        <v>230</v>
      </c>
      <c r="B38" s="81" t="e">
        <f>IRR(B36:I36)</f>
        <v>#VALUE!</v>
      </c>
    </row>
    <row r="39" spans="1:9" ht="15.75" thickTop="1"/>
    <row r="40" spans="1:9">
      <c r="A40" t="s">
        <v>297</v>
      </c>
      <c r="B40" s="48">
        <v>0</v>
      </c>
    </row>
  </sheetData>
  <phoneticPr fontId="0" type="noConversion"/>
  <printOptions horizontalCentered="1" verticalCentered="1"/>
  <pageMargins left="1" right="1" top="1" bottom="1" header="0.511811024" footer="0.511811024"/>
  <pageSetup scale="80" orientation="landscape" horizontalDpi="300" verticalDpi="300"/>
  <headerFooter>
    <oddHeader>&amp;A</oddHeader>
    <oddFooter>&amp;CCia.Modelo - EVA&amp;RPágina &amp;P</oddFooter>
  </headerFooter>
  <legacyDrawing r:id="rId1"/>
</worksheet>
</file>

<file path=xl/worksheets/sheet31.xml><?xml version="1.0" encoding="utf-8"?>
<worksheet xmlns="http://schemas.openxmlformats.org/spreadsheetml/2006/main" xmlns:r="http://schemas.openxmlformats.org/officeDocument/2006/relationships">
  <sheetPr transitionEvaluation="1" enableFormatConditionsCalculation="0"/>
  <dimension ref="A1:J44"/>
  <sheetViews>
    <sheetView topLeftCell="A26" zoomScale="87" workbookViewId="0">
      <selection activeCell="F50" sqref="F50"/>
    </sheetView>
  </sheetViews>
  <sheetFormatPr baseColWidth="10" defaultColWidth="8.88671875" defaultRowHeight="15"/>
  <cols>
    <col min="1" max="1" width="3.6640625" customWidth="1"/>
    <col min="2" max="2" width="35.33203125" customWidth="1"/>
    <col min="3" max="3" width="8.6640625" bestFit="1" customWidth="1"/>
    <col min="4" max="10" width="9.6640625" bestFit="1" customWidth="1"/>
  </cols>
  <sheetData>
    <row r="1" spans="1:10" ht="15.75">
      <c r="A1" s="1" t="str">
        <f>+Balance!A1</f>
        <v>ENKA de Colombia S.A.</v>
      </c>
      <c r="C1" s="28"/>
      <c r="D1" s="28"/>
      <c r="E1" s="28"/>
      <c r="F1" s="28"/>
      <c r="G1" s="28"/>
      <c r="H1" s="28"/>
    </row>
    <row r="2" spans="1:10" ht="15.75">
      <c r="A2" s="27" t="s">
        <v>241</v>
      </c>
      <c r="C2" s="28"/>
      <c r="D2" s="28"/>
      <c r="E2" s="28"/>
      <c r="F2" s="28"/>
      <c r="G2" s="28"/>
      <c r="H2" s="28"/>
    </row>
    <row r="4" spans="1:10" ht="16.5" thickBot="1">
      <c r="B4" s="28"/>
      <c r="C4" s="33">
        <f>Proy.Cifras!B4</f>
        <v>2014</v>
      </c>
      <c r="D4" s="33">
        <f t="shared" ref="D4:J4" si="0">+C4+1</f>
        <v>2015</v>
      </c>
      <c r="E4" s="33">
        <f t="shared" si="0"/>
        <v>2016</v>
      </c>
      <c r="F4" s="33">
        <f t="shared" si="0"/>
        <v>2017</v>
      </c>
      <c r="G4" s="33">
        <f t="shared" si="0"/>
        <v>2018</v>
      </c>
      <c r="H4" s="33">
        <f t="shared" si="0"/>
        <v>2019</v>
      </c>
      <c r="I4" s="33">
        <f t="shared" si="0"/>
        <v>2020</v>
      </c>
      <c r="J4" s="33">
        <f t="shared" si="0"/>
        <v>2021</v>
      </c>
    </row>
    <row r="6" spans="1:10" ht="15.75">
      <c r="A6" s="1" t="s">
        <v>115</v>
      </c>
    </row>
    <row r="7" spans="1:10" ht="15.75">
      <c r="A7" s="1" t="s">
        <v>242</v>
      </c>
    </row>
    <row r="8" spans="1:10">
      <c r="B8" s="28" t="s">
        <v>76</v>
      </c>
      <c r="C8" s="40">
        <f>Proy.Cifras!B16</f>
        <v>121390.63198608739</v>
      </c>
      <c r="D8" s="40">
        <f>Proy.Cifras!C16</f>
        <v>138603.82360171457</v>
      </c>
      <c r="E8" s="40">
        <f>Proy.Cifras!D16</f>
        <v>158632.07611216232</v>
      </c>
      <c r="F8" s="40">
        <f>Proy.Cifras!E16</f>
        <v>177318.93467817505</v>
      </c>
      <c r="G8" s="40">
        <f>Proy.Cifras!F16</f>
        <v>194536.60323542581</v>
      </c>
      <c r="H8" s="40">
        <f>Proy.Cifras!G16</f>
        <v>209399.19972261233</v>
      </c>
      <c r="I8" s="40">
        <f>Proy.Cifras!H16</f>
        <v>225397.29858141995</v>
      </c>
      <c r="J8" s="40">
        <f>Proy.Cifras!I16</f>
        <v>242617.65219304044</v>
      </c>
    </row>
    <row r="9" spans="1:10" ht="15.75" thickBot="1">
      <c r="B9" s="59" t="s">
        <v>243</v>
      </c>
      <c r="C9" s="40">
        <f>Proy.Cifras!B26</f>
        <v>41247.564187568001</v>
      </c>
      <c r="D9" s="40">
        <f>Proy.Cifras!C26</f>
        <v>43818.765552933146</v>
      </c>
      <c r="E9" s="40">
        <f>Proy.Cifras!D26</f>
        <v>46719.466373269832</v>
      </c>
      <c r="F9" s="40">
        <f>Proy.Cifras!E26</f>
        <v>49961.869750242171</v>
      </c>
      <c r="G9" s="40">
        <f>Proy.Cifras!F26</f>
        <v>52852.127855454208</v>
      </c>
      <c r="H9" s="40">
        <f>Proy.Cifras!G26</f>
        <v>55963.20167990445</v>
      </c>
      <c r="I9" s="40">
        <f>Proy.Cifras!H26</f>
        <v>59311.961544542697</v>
      </c>
      <c r="J9" s="40">
        <f>Proy.Cifras!I26</f>
        <v>62916.566662839301</v>
      </c>
    </row>
    <row r="10" spans="1:10" ht="15.75">
      <c r="B10" s="70" t="s">
        <v>119</v>
      </c>
      <c r="C10" s="71">
        <f t="shared" ref="C10:J10" si="1">SUM(C8:C9)</f>
        <v>162638.19617365539</v>
      </c>
      <c r="D10" s="71">
        <f t="shared" si="1"/>
        <v>182422.58915464772</v>
      </c>
      <c r="E10" s="71">
        <f t="shared" si="1"/>
        <v>205351.54248543215</v>
      </c>
      <c r="F10" s="71">
        <f t="shared" si="1"/>
        <v>227280.80442841724</v>
      </c>
      <c r="G10" s="71">
        <f t="shared" si="1"/>
        <v>247388.73109088</v>
      </c>
      <c r="H10" s="71">
        <f t="shared" si="1"/>
        <v>265362.40140251676</v>
      </c>
      <c r="I10" s="71">
        <f t="shared" si="1"/>
        <v>284709.26012596267</v>
      </c>
      <c r="J10" s="71">
        <f t="shared" si="1"/>
        <v>305534.21885587974</v>
      </c>
    </row>
    <row r="11" spans="1:10">
      <c r="B11" s="28"/>
      <c r="C11" s="40"/>
      <c r="D11" s="40"/>
      <c r="E11" s="40"/>
      <c r="F11" s="40"/>
      <c r="G11" s="40"/>
      <c r="H11" s="40"/>
      <c r="I11" s="40"/>
      <c r="J11" s="40"/>
    </row>
    <row r="12" spans="1:10" ht="15.75">
      <c r="A12" s="51" t="s">
        <v>244</v>
      </c>
      <c r="B12" s="28"/>
      <c r="C12" s="40">
        <f>KWOp.!P31-Proy.Cifras!B18</f>
        <v>-21016.816719057242</v>
      </c>
      <c r="D12" s="40">
        <f>Proy.Cifras!B18-Proy.Cifras!C18</f>
        <v>-21992.112089931659</v>
      </c>
      <c r="E12" s="40">
        <f>Proy.Cifras!C18-Proy.Cifras!D18</f>
        <v>-14981.064580278646</v>
      </c>
      <c r="F12" s="40">
        <f>Proy.Cifras!D18-Proy.Cifras!E18</f>
        <v>-15085.910438266641</v>
      </c>
      <c r="G12" s="40">
        <f>Proy.Cifras!E18-Proy.Cifras!F18</f>
        <v>-13208.740756941057</v>
      </c>
      <c r="H12" s="40">
        <f>Proy.Cifras!F18-Proy.Cifras!G18</f>
        <v>-13588.659645427688</v>
      </c>
      <c r="I12" s="40">
        <f>Proy.Cifras!G18-Proy.Cifras!H18</f>
        <v>-14626.833242338384</v>
      </c>
      <c r="J12" s="40">
        <f>Proy.Cifras!H18-Proy.Cifras!I18</f>
        <v>-15744.323302053002</v>
      </c>
    </row>
    <row r="13" spans="1:10" ht="15.75">
      <c r="A13" s="51" t="s">
        <v>245</v>
      </c>
      <c r="B13" s="28"/>
      <c r="C13" s="40">
        <f>Proy.Cifras!B17</f>
        <v>-30347.657996521848</v>
      </c>
      <c r="D13" s="40">
        <f>Proy.Cifras!C17</f>
        <v>-34650.955900428642</v>
      </c>
      <c r="E13" s="40">
        <f>Proy.Cifras!D17</f>
        <v>-39658.01902804058</v>
      </c>
      <c r="F13" s="40">
        <f>Proy.Cifras!E17</f>
        <v>-44329.733669543763</v>
      </c>
      <c r="G13" s="40">
        <f>Proy.Cifras!F17</f>
        <v>-48634.150808856451</v>
      </c>
      <c r="H13" s="40">
        <f>Proy.Cifras!G17</f>
        <v>-52349.799930653084</v>
      </c>
      <c r="I13" s="40">
        <f>Proy.Cifras!H17</f>
        <v>-56349.324645354987</v>
      </c>
      <c r="J13" s="40">
        <f>Proy.Cifras!I17</f>
        <v>-60654.41304826011</v>
      </c>
    </row>
    <row r="14" spans="1:10" ht="15.75">
      <c r="A14" s="51" t="s">
        <v>246</v>
      </c>
      <c r="B14" s="28"/>
      <c r="C14" s="40">
        <f>-Proy.Cifras!B23</f>
        <v>-28148.552344599975</v>
      </c>
      <c r="D14" s="40">
        <f>-Proy.Cifras!C23</f>
        <v>-32140.017067064251</v>
      </c>
      <c r="E14" s="40">
        <f>-Proy.Cifras!D23</f>
        <v>-36258.760254208537</v>
      </c>
      <c r="F14" s="40">
        <f>-Proy.Cifras!E23</f>
        <v>-40530.042212154302</v>
      </c>
      <c r="G14" s="40">
        <f>-Proy.Cifras!F23</f>
        <v>-36128.22631515051</v>
      </c>
      <c r="H14" s="40">
        <f>-Proy.Cifras!G23</f>
        <v>-38888.422805628012</v>
      </c>
      <c r="I14" s="40">
        <f>-Proy.Cifras!H23</f>
        <v>-41859.498307977992</v>
      </c>
      <c r="J14" s="40">
        <f>-Proy.Cifras!I23</f>
        <v>-45057.563978707512</v>
      </c>
    </row>
    <row r="15" spans="1:10" ht="15.75" thickBot="1">
      <c r="B15" s="28"/>
      <c r="C15" s="40"/>
      <c r="D15" s="40"/>
      <c r="E15" s="40"/>
      <c r="F15" s="40"/>
      <c r="G15" s="40"/>
      <c r="H15" s="40"/>
      <c r="I15" s="40"/>
      <c r="J15" s="40"/>
    </row>
    <row r="16" spans="1:10" ht="17.25" thickTop="1" thickBot="1">
      <c r="A16" s="24" t="s">
        <v>115</v>
      </c>
      <c r="B16" s="24"/>
      <c r="C16" s="43">
        <f t="shared" ref="C16:J16" si="2">SUM(C10:C15)</f>
        <v>83125.169113476324</v>
      </c>
      <c r="D16" s="43">
        <f t="shared" si="2"/>
        <v>93639.504097223151</v>
      </c>
      <c r="E16" s="43">
        <f t="shared" si="2"/>
        <v>114453.69862290438</v>
      </c>
      <c r="F16" s="43">
        <f t="shared" si="2"/>
        <v>127335.11810845253</v>
      </c>
      <c r="G16" s="43">
        <f t="shared" si="2"/>
        <v>149417.61320993199</v>
      </c>
      <c r="H16" s="43">
        <f t="shared" si="2"/>
        <v>160535.51902080796</v>
      </c>
      <c r="I16" s="43">
        <f t="shared" si="2"/>
        <v>171873.60393029131</v>
      </c>
      <c r="J16" s="43">
        <f t="shared" si="2"/>
        <v>184077.91852685908</v>
      </c>
    </row>
    <row r="17" spans="1:10" ht="15.75" thickTop="1">
      <c r="B17" s="28"/>
      <c r="C17" s="28"/>
      <c r="D17" s="28"/>
      <c r="E17" s="28"/>
      <c r="F17" s="28"/>
      <c r="G17" s="28"/>
      <c r="H17" s="28"/>
      <c r="I17" s="28"/>
      <c r="J17" s="28"/>
    </row>
    <row r="18" spans="1:10" ht="15.75">
      <c r="A18" s="1" t="s">
        <v>128</v>
      </c>
      <c r="B18" s="2"/>
    </row>
    <row r="19" spans="1:10" ht="15.75">
      <c r="A19" s="1" t="s">
        <v>129</v>
      </c>
      <c r="B19" s="2"/>
    </row>
    <row r="20" spans="1:10">
      <c r="A20" s="2"/>
      <c r="B20" s="2" t="s">
        <v>247</v>
      </c>
      <c r="C20" s="41">
        <f>-Proy.WACC!B16*((AnalVr.!Y18+AnalVr.Proy.!C14)/2)</f>
        <v>-933.06165221571507</v>
      </c>
      <c r="D20" s="41">
        <f>-Proy.WACC!C16*((AnalVr.Proy.!C14+AnalVr.Proy.!D14)/2)</f>
        <v>-1513.4493838868648</v>
      </c>
      <c r="E20" s="41">
        <f>-Proy.WACC!D16*((AnalVr.Proy.!D14+AnalVr.Proy.!E14)/2)</f>
        <v>-1180.5858110453391</v>
      </c>
      <c r="F20" s="41">
        <f>-Proy.WACC!E16*((AnalVr.Proy.!E14+AnalVr.Proy.!F14)/2)</f>
        <v>-942.36064800735767</v>
      </c>
      <c r="G20" s="41">
        <f>-Proy.WACC!F16*((AnalVr.Proy.!F14+AnalVr.Proy.!G14)/2)</f>
        <v>-673.41939628701664</v>
      </c>
      <c r="H20" s="41">
        <f>-Proy.WACC!G16*((AnalVr.Proy.!G14+AnalVr.Proy.!H14)/2)</f>
        <v>-458.20902792235415</v>
      </c>
      <c r="I20" s="41">
        <f>-Proy.WACC!H16*((AnalVr.Proy.!H14+AnalVr.Proy.!I14)/2)</f>
        <v>-254.21663000179285</v>
      </c>
      <c r="J20" s="41">
        <f>-Proy.WACC!I16*((AnalVr.Proy.!I14+AnalVr.Proy.!J14)/2)</f>
        <v>-79.553322725431102</v>
      </c>
    </row>
    <row r="21" spans="1:10">
      <c r="A21" s="2"/>
      <c r="B21" s="2" t="s">
        <v>248</v>
      </c>
      <c r="C21" s="41">
        <f>-((AnalVr.!Y19+AnalVr.Proy.!C15)/2)*Proy.WACC!B23</f>
        <v>-1655.362901805144</v>
      </c>
      <c r="D21" s="41">
        <f>-((AnalVr.Proy.!C15+AnalVr.Proy.!D15)/2)*Proy.WACC!C23</f>
        <v>-2846.5885149901383</v>
      </c>
      <c r="E21" s="41">
        <f>-((AnalVr.Proy.!D15+AnalVr.Proy.!E15)/2)*Proy.WACC!D23</f>
        <v>-2606.0377922283215</v>
      </c>
      <c r="F21" s="41">
        <f>-((AnalVr.Proy.!E15+AnalVr.Proy.!F15)/2)*Proy.WACC!E23</f>
        <v>-2331.760863434753</v>
      </c>
      <c r="G21" s="41">
        <f>-((AnalVr.Proy.!F15+AnalVr.Proy.!G15)/2)*Proy.WACC!F23</f>
        <v>-1560.9738279137532</v>
      </c>
      <c r="H21" s="41">
        <f>-((AnalVr.Proy.!G15+AnalVr.Proy.!H15)/2)*Proy.WACC!G23</f>
        <v>-1159.7906328231547</v>
      </c>
      <c r="I21" s="41">
        <f>-((AnalVr.Proy.!H15+AnalVr.Proy.!I15)/2)*Proy.WACC!H23</f>
        <v>-829.92245908336963</v>
      </c>
      <c r="J21" s="41">
        <f>-((AnalVr.Proy.!I15+AnalVr.Proy.!J15)/2)*Proy.WACC!I23</f>
        <v>-539.50002774372979</v>
      </c>
    </row>
    <row r="22" spans="1:10" ht="15.75" thickBot="1">
      <c r="A22" s="2"/>
      <c r="B22" s="2" t="s">
        <v>131</v>
      </c>
      <c r="C22" s="41">
        <f>(C20+C21)*-Proy.Cifras!B10</f>
        <v>647.10613850521474</v>
      </c>
      <c r="D22" s="41">
        <f>(D20+D21)*-Proy.Cifras!C10</f>
        <v>1090.0094747192506</v>
      </c>
      <c r="E22" s="41">
        <f>(E20+E21)*-Proy.Cifras!D10</f>
        <v>946.65590081841515</v>
      </c>
      <c r="F22" s="41">
        <f>(F20+F21)*-Proy.Cifras!E10</f>
        <v>818.53037786052766</v>
      </c>
      <c r="G22" s="41">
        <f>(G20+G21)*-Proy.Cifras!F10</f>
        <v>558.59830605019249</v>
      </c>
      <c r="H22" s="41">
        <f>(H20+H21)*-Proy.Cifras!G10</f>
        <v>404.49991518637722</v>
      </c>
      <c r="I22" s="41">
        <f>(I20+I21)*-Proy.Cifras!H10</f>
        <v>271.03477227129065</v>
      </c>
      <c r="J22" s="41">
        <f>(J20+J21)*-Proy.Cifras!I10</f>
        <v>154.76333761729023</v>
      </c>
    </row>
    <row r="23" spans="1:10" ht="15.75">
      <c r="A23" s="2"/>
      <c r="B23" s="22" t="s">
        <v>132</v>
      </c>
      <c r="C23" s="72">
        <f t="shared" ref="C23:J23" si="3">SUM(C20:C22)</f>
        <v>-1941.3184155156441</v>
      </c>
      <c r="D23" s="72">
        <f t="shared" si="3"/>
        <v>-3270.0284241577519</v>
      </c>
      <c r="E23" s="72">
        <f t="shared" si="3"/>
        <v>-2839.9677024552457</v>
      </c>
      <c r="F23" s="72">
        <f t="shared" si="3"/>
        <v>-2455.5911335815831</v>
      </c>
      <c r="G23" s="72">
        <f t="shared" si="3"/>
        <v>-1675.7949181505774</v>
      </c>
      <c r="H23" s="72">
        <f t="shared" si="3"/>
        <v>-1213.4997455591317</v>
      </c>
      <c r="I23" s="72">
        <f t="shared" si="3"/>
        <v>-813.10431681387195</v>
      </c>
      <c r="J23" s="72">
        <f t="shared" si="3"/>
        <v>-464.2900128518707</v>
      </c>
    </row>
    <row r="25" spans="1:10">
      <c r="A25" s="2"/>
      <c r="B25" s="2" t="s">
        <v>133</v>
      </c>
    </row>
    <row r="26" spans="1:10">
      <c r="A26" s="2"/>
      <c r="B26" s="2" t="s">
        <v>249</v>
      </c>
      <c r="C26" s="41">
        <f>+AnalVr.Proy.!C14-AnalVr.!Y18</f>
        <v>8171.6917133141524</v>
      </c>
      <c r="D26" s="41">
        <f>+AnalVr.Proy.!D14-AnalVr.Proy.!C14</f>
        <v>-241.58039462229135</v>
      </c>
      <c r="E26" s="41">
        <f>+AnalVr.Proy.!E14-AnalVr.Proy.!D14</f>
        <v>-866.22055062189247</v>
      </c>
      <c r="F26" s="41">
        <f>+AnalVr.Proy.!F14-AnalVr.Proy.!E14</f>
        <v>-1336.7232284030451</v>
      </c>
      <c r="G26" s="41">
        <f>+AnalVr.Proy.!G14-AnalVr.Proy.!F14</f>
        <v>-1880.751221765122</v>
      </c>
      <c r="H26" s="41">
        <f>+AnalVr.Proy.!H14-AnalVr.Proy.!G14</f>
        <v>-1925.9350185304434</v>
      </c>
      <c r="I26" s="41">
        <f>+AnalVr.Proy.!I14-AnalVr.Proy.!H14</f>
        <v>-1682.325402144555</v>
      </c>
      <c r="J26" s="41">
        <f>+AnalVr.Proy.!J14-AnalVr.Proy.!I14</f>
        <v>-1407.1558972267862</v>
      </c>
    </row>
    <row r="27" spans="1:10" ht="15.75" thickBot="1">
      <c r="A27" s="2"/>
      <c r="B27" s="2" t="s">
        <v>250</v>
      </c>
      <c r="C27" s="41">
        <f>+AnalVr.Proy.!C15-AnalVr.!Y19</f>
        <v>34619.066992604457</v>
      </c>
      <c r="D27" s="41">
        <f>+AnalVr.Proy.!D15-AnalVr.Proy.!C15</f>
        <v>-55.885311572164937</v>
      </c>
      <c r="E27" s="41">
        <f>+AnalVr.Proy.!E15-AnalVr.Proy.!D15</f>
        <v>-3321.6846527191228</v>
      </c>
      <c r="F27" s="41">
        <f>+AnalVr.Proy.!F15-AnalVr.Proy.!E15</f>
        <v>-6023.1167167030799</v>
      </c>
      <c r="G27" s="41">
        <f>+AnalVr.Proy.!G15-AnalVr.Proy.!F15</f>
        <v>-9333.9538217009795</v>
      </c>
      <c r="H27" s="41">
        <f>+AnalVr.Proy.!H15-AnalVr.Proy.!G15</f>
        <v>-7137.0916260667873</v>
      </c>
      <c r="I27" s="41">
        <f>+AnalVr.Proy.!I15-AnalVr.Proy.!H15</f>
        <v>-6406.0321835264003</v>
      </c>
      <c r="J27" s="41">
        <f>+AnalVr.Proy.!J15-AnalVr.Proy.!I15</f>
        <v>-5517.6005213932476</v>
      </c>
    </row>
    <row r="28" spans="1:10" ht="15.75">
      <c r="A28" s="2"/>
      <c r="B28" s="25" t="s">
        <v>134</v>
      </c>
      <c r="C28" s="72">
        <f t="shared" ref="C28:J28" si="4">SUM(C26:C27)</f>
        <v>42790.758705918612</v>
      </c>
      <c r="D28" s="72">
        <f t="shared" si="4"/>
        <v>-297.46570619445629</v>
      </c>
      <c r="E28" s="72">
        <f t="shared" si="4"/>
        <v>-4187.9052033410153</v>
      </c>
      <c r="F28" s="72">
        <f t="shared" si="4"/>
        <v>-7359.839945106125</v>
      </c>
      <c r="G28" s="72">
        <f t="shared" si="4"/>
        <v>-11214.705043466101</v>
      </c>
      <c r="H28" s="72">
        <f t="shared" si="4"/>
        <v>-9063.0266445972302</v>
      </c>
      <c r="I28" s="72">
        <f t="shared" si="4"/>
        <v>-8088.3575856709558</v>
      </c>
      <c r="J28" s="72">
        <f t="shared" si="4"/>
        <v>-6924.7564186200343</v>
      </c>
    </row>
    <row r="30" spans="1:10" ht="15.75">
      <c r="A30" s="1" t="s">
        <v>135</v>
      </c>
      <c r="B30" s="2"/>
    </row>
    <row r="31" spans="1:10" ht="15.75">
      <c r="A31" s="1"/>
      <c r="B31" s="2" t="s">
        <v>136</v>
      </c>
      <c r="C31" s="41">
        <v>0</v>
      </c>
      <c r="D31" s="41">
        <v>0</v>
      </c>
      <c r="E31" s="41">
        <v>0</v>
      </c>
      <c r="F31" s="41">
        <v>0</v>
      </c>
      <c r="G31" s="41">
        <v>0</v>
      </c>
      <c r="H31" s="41">
        <v>0</v>
      </c>
      <c r="I31" s="41">
        <v>0</v>
      </c>
      <c r="J31" s="41">
        <v>0</v>
      </c>
    </row>
    <row r="33" spans="1:10" ht="15.75">
      <c r="A33" s="1" t="s">
        <v>137</v>
      </c>
      <c r="B33" s="2"/>
    </row>
    <row r="34" spans="1:10">
      <c r="A34" s="2"/>
      <c r="B34" s="2" t="s">
        <v>138</v>
      </c>
      <c r="C34" s="41"/>
      <c r="D34" s="41"/>
      <c r="E34" s="41"/>
      <c r="F34" s="41"/>
      <c r="G34" s="41"/>
      <c r="H34" s="41"/>
      <c r="I34" s="41"/>
      <c r="J34" s="41"/>
    </row>
    <row r="35" spans="1:10" ht="15.75" thickBot="1">
      <c r="A35" s="2"/>
      <c r="B35" s="2" t="s">
        <v>139</v>
      </c>
      <c r="C35" s="41">
        <f>-Resultados!O34*Proy.FCL!C44</f>
        <v>-12236.642978217515</v>
      </c>
      <c r="D35" s="41">
        <f t="shared" ref="D35:J35" si="5">-D44*(C8+C13+C23)</f>
        <v>-44550.827787024944</v>
      </c>
      <c r="E35" s="41">
        <f t="shared" si="5"/>
        <v>-50341.41963856409</v>
      </c>
      <c r="F35" s="41">
        <f t="shared" si="5"/>
        <v>-58067.044690833245</v>
      </c>
      <c r="G35" s="41">
        <f t="shared" si="5"/>
        <v>-65266.804937524859</v>
      </c>
      <c r="H35" s="41">
        <f t="shared" si="5"/>
        <v>-72113.328754209389</v>
      </c>
      <c r="I35" s="41">
        <f t="shared" si="5"/>
        <v>-77917.950023200072</v>
      </c>
      <c r="J35" s="41">
        <f t="shared" si="5"/>
        <v>-84117.434809625542</v>
      </c>
    </row>
    <row r="36" spans="1:10" ht="15.75">
      <c r="A36" s="2"/>
      <c r="B36" s="22" t="s">
        <v>140</v>
      </c>
      <c r="C36" s="72">
        <f t="shared" ref="C36:J36" si="6">SUM(C34:C35)</f>
        <v>-12236.642978217515</v>
      </c>
      <c r="D36" s="72">
        <f t="shared" si="6"/>
        <v>-44550.827787024944</v>
      </c>
      <c r="E36" s="72">
        <f t="shared" si="6"/>
        <v>-50341.41963856409</v>
      </c>
      <c r="F36" s="72">
        <f t="shared" si="6"/>
        <v>-58067.044690833245</v>
      </c>
      <c r="G36" s="72">
        <f t="shared" si="6"/>
        <v>-65266.804937524859</v>
      </c>
      <c r="H36" s="72">
        <f t="shared" si="6"/>
        <v>-72113.328754209389</v>
      </c>
      <c r="I36" s="72">
        <f t="shared" si="6"/>
        <v>-77917.950023200072</v>
      </c>
      <c r="J36" s="72">
        <f t="shared" si="6"/>
        <v>-84117.434809625542</v>
      </c>
    </row>
    <row r="38" spans="1:10" ht="15.75">
      <c r="A38" s="1" t="s">
        <v>141</v>
      </c>
      <c r="B38" s="2"/>
    </row>
    <row r="39" spans="1:10" ht="15.75" thickBot="1">
      <c r="A39" s="2"/>
      <c r="B39" s="2" t="s">
        <v>142</v>
      </c>
      <c r="C39" s="41">
        <f t="shared" ref="C39:H39" si="7">-(+C23+C28+C36+C16)</f>
        <v>-111737.96642566178</v>
      </c>
      <c r="D39" s="41">
        <f t="shared" si="7"/>
        <v>-45521.182179846001</v>
      </c>
      <c r="E39" s="41">
        <f t="shared" si="7"/>
        <v>-57084.406078544031</v>
      </c>
      <c r="F39" s="41">
        <f t="shared" si="7"/>
        <v>-59452.642338931575</v>
      </c>
      <c r="G39" s="41">
        <f t="shared" si="7"/>
        <v>-71260.308310790453</v>
      </c>
      <c r="H39" s="41">
        <f t="shared" si="7"/>
        <v>-78145.66387644221</v>
      </c>
      <c r="I39" s="41">
        <f>-(+I23+I28+I36+I16)</f>
        <v>-85054.192004606419</v>
      </c>
      <c r="J39" s="41">
        <f>-(+J23+J28+J36+J16)</f>
        <v>-92571.43728576164</v>
      </c>
    </row>
    <row r="40" spans="1:10" ht="15.75">
      <c r="A40" s="2"/>
      <c r="B40" s="22" t="s">
        <v>143</v>
      </c>
      <c r="C40" s="72">
        <f t="shared" ref="C40:J40" si="8">+C39</f>
        <v>-111737.96642566178</v>
      </c>
      <c r="D40" s="72">
        <f t="shared" si="8"/>
        <v>-45521.182179846001</v>
      </c>
      <c r="E40" s="72">
        <f t="shared" si="8"/>
        <v>-57084.406078544031</v>
      </c>
      <c r="F40" s="72">
        <f t="shared" si="8"/>
        <v>-59452.642338931575</v>
      </c>
      <c r="G40" s="72">
        <f t="shared" si="8"/>
        <v>-71260.308310790453</v>
      </c>
      <c r="H40" s="72">
        <f t="shared" si="8"/>
        <v>-78145.66387644221</v>
      </c>
      <c r="I40" s="72">
        <f t="shared" si="8"/>
        <v>-85054.192004606419</v>
      </c>
      <c r="J40" s="72">
        <f t="shared" si="8"/>
        <v>-92571.43728576164</v>
      </c>
    </row>
    <row r="41" spans="1:10" ht="15.75" thickBot="1">
      <c r="A41" s="2"/>
      <c r="B41" s="2"/>
    </row>
    <row r="42" spans="1:10" ht="17.25" thickTop="1" thickBot="1">
      <c r="A42" s="24" t="s">
        <v>128</v>
      </c>
      <c r="B42" s="24"/>
      <c r="C42" s="24">
        <f t="shared" ref="C42:H42" si="9">+C23+C28+C31+C36+C40</f>
        <v>-83125.169113476324</v>
      </c>
      <c r="D42" s="24">
        <f t="shared" si="9"/>
        <v>-93639.504097223151</v>
      </c>
      <c r="E42" s="24">
        <f t="shared" si="9"/>
        <v>-114453.69862290438</v>
      </c>
      <c r="F42" s="24">
        <f t="shared" si="9"/>
        <v>-127335.11810845253</v>
      </c>
      <c r="G42" s="24">
        <f t="shared" si="9"/>
        <v>-149417.61320993199</v>
      </c>
      <c r="H42" s="24">
        <f t="shared" si="9"/>
        <v>-160535.51902080796</v>
      </c>
      <c r="I42" s="24">
        <f>+I23+I28+I31+I36+I40</f>
        <v>-171873.60393029131</v>
      </c>
      <c r="J42" s="24">
        <f>+J23+J28+J31+J36+J40</f>
        <v>-184077.91852685908</v>
      </c>
    </row>
    <row r="43" spans="1:10" ht="15.75" thickTop="1"/>
    <row r="44" spans="1:10">
      <c r="B44" t="s">
        <v>251</v>
      </c>
      <c r="C44" s="66">
        <v>0.5</v>
      </c>
      <c r="D44" s="66">
        <v>0.5</v>
      </c>
      <c r="E44" s="66">
        <v>0.5</v>
      </c>
      <c r="F44" s="66">
        <v>0.5</v>
      </c>
      <c r="G44" s="66">
        <v>0.5</v>
      </c>
      <c r="H44" s="66">
        <v>0.5</v>
      </c>
      <c r="I44" s="66">
        <v>0.5</v>
      </c>
      <c r="J44" s="66">
        <v>0.5</v>
      </c>
    </row>
  </sheetData>
  <phoneticPr fontId="0" type="noConversion"/>
  <printOptions horizontalCentered="1" verticalCentered="1"/>
  <pageMargins left="0.51181102362204722" right="0.51181102362204722" top="0.51181102362204722" bottom="0.51181102362204722" header="0.51181102362204722" footer="0.51181102362204722"/>
  <pageSetup scale="95" firstPageNumber="16" orientation="landscape" blackAndWhite="1" horizontalDpi="300" verticalDpi="300"/>
  <headerFooter>
    <oddHeader>&amp;C&amp;A</oddHeader>
    <oddFooter>&amp;CCia.Modelo -  EVA&amp;RPágina &amp;P</oddFooter>
  </headerFooter>
  <rowBreaks count="1" manualBreakCount="1">
    <brk id="17" max="65535" man="1"/>
  </rowBreaks>
  <legacyDrawing r:id="rId1"/>
</worksheet>
</file>

<file path=xl/worksheets/sheet32.xml><?xml version="1.0" encoding="utf-8"?>
<worksheet xmlns="http://schemas.openxmlformats.org/spreadsheetml/2006/main" xmlns:r="http://schemas.openxmlformats.org/officeDocument/2006/relationships">
  <sheetPr>
    <tabColor rgb="FFFF0000"/>
  </sheetPr>
  <dimension ref="A1:L19"/>
  <sheetViews>
    <sheetView showGridLines="0" topLeftCell="A6" zoomScale="75" workbookViewId="0">
      <selection activeCell="S31" sqref="S31:S38"/>
    </sheetView>
  </sheetViews>
  <sheetFormatPr baseColWidth="10" defaultColWidth="8.88671875" defaultRowHeight="15"/>
  <sheetData>
    <row r="1" spans="1:12" ht="15.75">
      <c r="A1" s="1" t="str">
        <f>BG</f>
        <v>ENKA de Colombia S.A.</v>
      </c>
      <c r="B1" s="1"/>
      <c r="C1" s="1"/>
    </row>
    <row r="2" spans="1:12" ht="15.75">
      <c r="A2" s="107" t="s">
        <v>285</v>
      </c>
      <c r="B2" s="107"/>
      <c r="C2" s="107"/>
    </row>
    <row r="4" spans="1:12" ht="32.25" thickBot="1">
      <c r="B4" s="108" t="s">
        <v>286</v>
      </c>
      <c r="C4" s="108">
        <f>D4-1</f>
        <v>2013</v>
      </c>
      <c r="D4" s="108">
        <f>Proy.Cifras!B4</f>
        <v>2014</v>
      </c>
      <c r="E4" s="108">
        <f t="shared" ref="E4:K4" si="0">D4+1</f>
        <v>2015</v>
      </c>
      <c r="F4" s="108">
        <f t="shared" si="0"/>
        <v>2016</v>
      </c>
      <c r="G4" s="108">
        <f t="shared" si="0"/>
        <v>2017</v>
      </c>
      <c r="H4" s="108">
        <f t="shared" si="0"/>
        <v>2018</v>
      </c>
      <c r="I4" s="108">
        <f t="shared" si="0"/>
        <v>2019</v>
      </c>
      <c r="J4" s="108">
        <f t="shared" si="0"/>
        <v>2020</v>
      </c>
      <c r="K4" s="108">
        <f t="shared" si="0"/>
        <v>2021</v>
      </c>
      <c r="L4" s="109" t="s">
        <v>287</v>
      </c>
    </row>
    <row r="5" spans="1:12">
      <c r="L5" s="102"/>
    </row>
    <row r="6" spans="1:12">
      <c r="A6" t="s">
        <v>288</v>
      </c>
      <c r="B6" s="66">
        <v>0.1</v>
      </c>
      <c r="C6" s="41"/>
      <c r="D6" s="41"/>
      <c r="E6" s="41"/>
      <c r="F6" s="41"/>
      <c r="G6" s="41"/>
      <c r="H6" s="41"/>
      <c r="I6" s="41"/>
      <c r="J6" s="41"/>
      <c r="K6" s="41"/>
      <c r="L6" s="103"/>
    </row>
    <row r="7" spans="1:12">
      <c r="A7" t="s">
        <v>289</v>
      </c>
      <c r="B7" s="66">
        <v>0.6</v>
      </c>
      <c r="C7" s="41"/>
      <c r="D7" s="41"/>
      <c r="E7" s="41"/>
      <c r="F7" s="41"/>
      <c r="G7" s="41"/>
      <c r="H7" s="41"/>
      <c r="I7" s="41"/>
      <c r="J7" s="41"/>
      <c r="K7" s="41"/>
      <c r="L7" s="103"/>
    </row>
    <row r="8" spans="1:12">
      <c r="A8" t="s">
        <v>290</v>
      </c>
      <c r="B8" s="66">
        <f>1-B7-B6</f>
        <v>0.30000000000000004</v>
      </c>
      <c r="C8" s="41"/>
      <c r="D8" s="41"/>
      <c r="E8" s="41"/>
      <c r="F8" s="41"/>
      <c r="G8" s="41"/>
      <c r="H8" s="41"/>
      <c r="I8" s="41"/>
      <c r="J8" s="41"/>
      <c r="K8" s="41"/>
      <c r="L8" s="103"/>
    </row>
    <row r="10" spans="1:12">
      <c r="A10" t="s">
        <v>165</v>
      </c>
      <c r="B10" s="48">
        <f>Valoraciones!B15</f>
        <v>0.13370922131773488</v>
      </c>
    </row>
    <row r="12" spans="1:12">
      <c r="A12" t="s">
        <v>291</v>
      </c>
      <c r="C12" s="41">
        <f t="shared" ref="C12:K12" si="1">SUMPRODUCT($B$6:$B$8,C6:C8)</f>
        <v>0</v>
      </c>
      <c r="D12" s="41">
        <f t="shared" si="1"/>
        <v>0</v>
      </c>
      <c r="E12" s="41">
        <f t="shared" si="1"/>
        <v>0</v>
      </c>
      <c r="F12" s="41">
        <f t="shared" si="1"/>
        <v>0</v>
      </c>
      <c r="G12" s="41">
        <f t="shared" si="1"/>
        <v>0</v>
      </c>
      <c r="H12" s="41">
        <f t="shared" si="1"/>
        <v>0</v>
      </c>
      <c r="I12" s="41">
        <f t="shared" si="1"/>
        <v>0</v>
      </c>
      <c r="J12" s="41">
        <f t="shared" si="1"/>
        <v>0</v>
      </c>
      <c r="K12" s="41">
        <f t="shared" si="1"/>
        <v>0</v>
      </c>
    </row>
    <row r="13" spans="1:12">
      <c r="A13" t="s">
        <v>292</v>
      </c>
      <c r="C13" s="41">
        <f>NPV(B10,D12:J12)+C12+PV(B10,K4-D4,,-K12)</f>
        <v>0</v>
      </c>
    </row>
    <row r="15" spans="1:12">
      <c r="A15" t="s">
        <v>293</v>
      </c>
      <c r="C15" s="41">
        <f t="shared" ref="C15:K15" si="2">(($B$6*((C$12-C6)^2))+($B$7*((C$12-C7)^2))+($B$8*((C$12-C8)^2)))^(1/2)</f>
        <v>0</v>
      </c>
      <c r="D15" s="41">
        <f t="shared" si="2"/>
        <v>0</v>
      </c>
      <c r="E15" s="41">
        <f t="shared" si="2"/>
        <v>0</v>
      </c>
      <c r="F15" s="41">
        <f t="shared" si="2"/>
        <v>0</v>
      </c>
      <c r="G15" s="41">
        <f t="shared" si="2"/>
        <v>0</v>
      </c>
      <c r="H15" s="41">
        <f t="shared" si="2"/>
        <v>0</v>
      </c>
      <c r="I15" s="41">
        <f t="shared" si="2"/>
        <v>0</v>
      </c>
      <c r="J15" s="41">
        <f t="shared" si="2"/>
        <v>0</v>
      </c>
      <c r="K15" s="41">
        <f t="shared" si="2"/>
        <v>0</v>
      </c>
    </row>
    <row r="16" spans="1:12">
      <c r="A16" t="s">
        <v>294</v>
      </c>
      <c r="C16" s="41">
        <f>NPV(B10,D15:J15)+C15+PV(B10,K4-D4,,-K15)</f>
        <v>0</v>
      </c>
    </row>
    <row r="18" spans="1:3">
      <c r="A18" t="s">
        <v>295</v>
      </c>
      <c r="C18" s="110" t="e">
        <f>C16/C13</f>
        <v>#DIV/0!</v>
      </c>
    </row>
    <row r="19" spans="1:3">
      <c r="A19" t="s">
        <v>296</v>
      </c>
      <c r="C19" s="66" t="e">
        <f>NORMDIST(C18,C13,C16,TRUE)</f>
        <v>#DIV/0!</v>
      </c>
    </row>
  </sheetData>
  <phoneticPr fontId="0" type="noConversion"/>
  <pageMargins left="0.75" right="0.75" top="1" bottom="1" header="0.5" footer="0.5"/>
</worksheet>
</file>

<file path=xl/worksheets/sheet33.xml><?xml version="1.0" encoding="utf-8"?>
<worksheet xmlns="http://schemas.openxmlformats.org/spreadsheetml/2006/main" xmlns:r="http://schemas.openxmlformats.org/officeDocument/2006/relationships">
  <dimension ref="A1:C5"/>
  <sheetViews>
    <sheetView showGridLines="0" workbookViewId="0">
      <selection activeCell="B5" sqref="B5"/>
    </sheetView>
  </sheetViews>
  <sheetFormatPr baseColWidth="10" defaultRowHeight="15"/>
  <cols>
    <col min="1" max="1" width="4.5546875" bestFit="1" customWidth="1"/>
    <col min="2" max="2" width="69.5546875" customWidth="1"/>
    <col min="3" max="3" width="49.109375" bestFit="1" customWidth="1"/>
  </cols>
  <sheetData>
    <row r="1" spans="1:3" ht="15.75">
      <c r="A1" s="51" t="s">
        <v>1114</v>
      </c>
      <c r="B1" s="336" t="s">
        <v>1115</v>
      </c>
      <c r="C1" s="51" t="s">
        <v>1116</v>
      </c>
    </row>
    <row r="2" spans="1:3">
      <c r="A2">
        <v>1</v>
      </c>
      <c r="B2" s="372" t="s">
        <v>1113</v>
      </c>
      <c r="C2" s="53" t="s">
        <v>1117</v>
      </c>
    </row>
    <row r="3" spans="1:3">
      <c r="A3">
        <f>+A2+1</f>
        <v>2</v>
      </c>
      <c r="B3" s="372" t="s">
        <v>1118</v>
      </c>
      <c r="C3" s="53" t="s">
        <v>1119</v>
      </c>
    </row>
    <row r="4" spans="1:3">
      <c r="A4">
        <f>+A3+1</f>
        <v>3</v>
      </c>
      <c r="B4" s="372" t="s">
        <v>1120</v>
      </c>
      <c r="C4" s="53" t="s">
        <v>1121</v>
      </c>
    </row>
    <row r="5" spans="1:3">
      <c r="A5">
        <f>+A4+1</f>
        <v>4</v>
      </c>
      <c r="B5" s="372" t="s">
        <v>1122</v>
      </c>
      <c r="C5" s="53" t="s">
        <v>1123</v>
      </c>
    </row>
  </sheetData>
  <phoneticPr fontId="65" type="noConversion"/>
  <hyperlinks>
    <hyperlink ref="B2" r:id="rId1"/>
    <hyperlink ref="B3" r:id="rId2"/>
    <hyperlink ref="B4" r:id="rId3"/>
    <hyperlink ref="B5" r:id="rId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sheetPr transitionEvaluation="1" enableFormatConditionsCalculation="0">
    <pageSetUpPr fitToPage="1"/>
  </sheetPr>
  <dimension ref="A1:U109"/>
  <sheetViews>
    <sheetView showGridLines="0" zoomScale="70" workbookViewId="0">
      <pane xSplit="2" ySplit="4" topLeftCell="D59" activePane="bottomRight" state="frozen"/>
      <selection activeCell="E39" sqref="E39"/>
      <selection pane="topRight" activeCell="E39" sqref="E39"/>
      <selection pane="bottomLeft" activeCell="E39" sqref="E39"/>
      <selection pane="bottomRight" activeCell="J76" sqref="J76"/>
    </sheetView>
  </sheetViews>
  <sheetFormatPr baseColWidth="10" defaultColWidth="8.88671875" defaultRowHeight="15"/>
  <cols>
    <col min="1" max="1" width="3.6640625" customWidth="1"/>
    <col min="2" max="2" width="23.44140625" customWidth="1"/>
    <col min="3" max="7" width="10.77734375" customWidth="1"/>
    <col min="8" max="8" width="10.77734375" style="66" customWidth="1"/>
    <col min="9" max="11" width="10.77734375" style="122" customWidth="1"/>
    <col min="12" max="19" width="10.77734375" customWidth="1"/>
  </cols>
  <sheetData>
    <row r="1" spans="1:19" ht="15.75">
      <c r="A1" s="1" t="s">
        <v>369</v>
      </c>
      <c r="B1" s="2"/>
      <c r="C1" s="2"/>
      <c r="D1" s="2"/>
      <c r="E1" s="2"/>
      <c r="F1" s="2"/>
      <c r="G1" s="2"/>
      <c r="H1" s="88"/>
    </row>
    <row r="2" spans="1:19" ht="15.75">
      <c r="A2" s="1" t="s">
        <v>0</v>
      </c>
      <c r="B2" s="2"/>
      <c r="C2" s="2"/>
      <c r="D2" s="2"/>
      <c r="E2" s="2"/>
      <c r="F2" s="2"/>
      <c r="G2" s="2"/>
      <c r="H2" s="88"/>
    </row>
    <row r="3" spans="1:19" ht="15.75">
      <c r="A3" s="89" t="s">
        <v>305</v>
      </c>
    </row>
    <row r="4" spans="1:19" ht="16.5" thickBot="1">
      <c r="A4" s="2"/>
      <c r="B4" s="2"/>
      <c r="C4" s="116">
        <v>2008</v>
      </c>
      <c r="D4" s="123">
        <v>2009</v>
      </c>
      <c r="E4" s="123">
        <f>D4+1</f>
        <v>2010</v>
      </c>
      <c r="F4" s="123">
        <f>E4+1</f>
        <v>2011</v>
      </c>
      <c r="G4" s="123">
        <f>F4+1</f>
        <v>2012</v>
      </c>
      <c r="H4" s="123">
        <f>+G4+1</f>
        <v>2013</v>
      </c>
      <c r="I4" s="123">
        <f>H4+1</f>
        <v>2014</v>
      </c>
      <c r="J4" s="123">
        <f t="shared" ref="J4:P4" si="0">I4+1</f>
        <v>2015</v>
      </c>
      <c r="K4" s="123">
        <f t="shared" si="0"/>
        <v>2016</v>
      </c>
      <c r="L4" s="123">
        <f t="shared" si="0"/>
        <v>2017</v>
      </c>
      <c r="M4" s="123">
        <f t="shared" si="0"/>
        <v>2018</v>
      </c>
      <c r="N4" s="123">
        <f t="shared" si="0"/>
        <v>2019</v>
      </c>
      <c r="O4" s="123">
        <f t="shared" si="0"/>
        <v>2020</v>
      </c>
      <c r="P4" s="123">
        <f t="shared" si="0"/>
        <v>2021</v>
      </c>
      <c r="Q4" s="123">
        <f>P4+1</f>
        <v>2022</v>
      </c>
      <c r="R4" s="123">
        <f>Q4+1</f>
        <v>2023</v>
      </c>
      <c r="S4" s="123">
        <f>R4+1</f>
        <v>2024</v>
      </c>
    </row>
    <row r="5" spans="1:19" ht="15.75">
      <c r="A5" s="1" t="s">
        <v>1</v>
      </c>
      <c r="B5" s="2"/>
      <c r="C5" s="2"/>
      <c r="D5" s="111"/>
      <c r="E5" s="111"/>
      <c r="F5" s="111"/>
      <c r="G5" s="111"/>
      <c r="H5" s="111"/>
      <c r="I5" s="111"/>
      <c r="J5" s="111"/>
      <c r="K5" s="111"/>
      <c r="L5" s="111"/>
      <c r="M5" s="111"/>
      <c r="N5" s="111"/>
      <c r="O5" s="111"/>
      <c r="P5" s="111"/>
      <c r="Q5" s="122"/>
      <c r="R5" s="122"/>
      <c r="S5" s="597"/>
    </row>
    <row r="6" spans="1:19" ht="15.75">
      <c r="A6" s="1" t="s">
        <v>2</v>
      </c>
      <c r="B6" s="2"/>
      <c r="C6" s="2"/>
      <c r="D6" s="598"/>
      <c r="E6" s="598"/>
      <c r="F6" s="598"/>
      <c r="G6" s="598"/>
      <c r="H6" s="598"/>
      <c r="I6" s="111"/>
      <c r="J6" s="111"/>
      <c r="K6" s="111"/>
      <c r="L6" s="111"/>
      <c r="M6" s="111"/>
      <c r="N6" s="111"/>
      <c r="O6" s="111"/>
      <c r="P6" s="111"/>
      <c r="Q6" s="111"/>
      <c r="R6" s="111"/>
      <c r="S6" s="111"/>
    </row>
    <row r="7" spans="1:19" ht="15.75">
      <c r="A7" s="1"/>
      <c r="B7" s="2" t="s">
        <v>3</v>
      </c>
      <c r="C7" s="2">
        <v>57397</v>
      </c>
      <c r="D7" s="111">
        <v>31063</v>
      </c>
      <c r="E7" s="111">
        <v>7789</v>
      </c>
      <c r="F7" s="111">
        <v>9489</v>
      </c>
      <c r="G7" s="111">
        <v>15892</v>
      </c>
      <c r="H7" s="111">
        <v>21287</v>
      </c>
      <c r="I7" s="111">
        <f>+IF(H7+FCL!H26+FCL!H34+FCL!H41+FCL!H46+FCL!H50+FCL!H52+PasivoFciero!I36+(PasivoFciero!I8+PasivoFciero!I10+PasivoFciero!I14+PasivoFciero!I16-PasivoFciero!H8-PasivoFciero!H10-PasivoFciero!H14-PasivoFciero!H16)&gt;=0,H7+FCL!H26+FCL!H34+FCL!H41+FCL!H46+FCL!H50+FCL!H52+PasivoFciero!I36+(PasivoFciero!I8+PasivoFciero!I10+PasivoFciero!I14+PasivoFciero!I16-PasivoFciero!H8-PasivoFciero!H10-PasivoFciero!H14-PasivoFciero!H16),0)</f>
        <v>15674.170002972947</v>
      </c>
      <c r="J7" s="111">
        <f>+IF(I7+FCL!I26+FCL!I34+FCL!I41+FCL!I46+FCL!I50+FCL!I52+PasivoFciero!J36+(PasivoFciero!J8+PasivoFciero!J10+PasivoFciero!J14+PasivoFciero!J16-PasivoFciero!I8-PasivoFciero!I10-PasivoFciero!I14-PasivoFciero!I16)&gt;=0,I7+FCL!I26+FCL!I34+FCL!I41+FCL!I46+FCL!I50+FCL!I52+PasivoFciero!J36+(PasivoFciero!J8+PasivoFciero!J10+PasivoFciero!J14+PasivoFciero!J16-PasivoFciero!I8-PasivoFciero!I10-PasivoFciero!I14-PasivoFciero!I16),0)</f>
        <v>11346.269253165798</v>
      </c>
      <c r="K7" s="111">
        <f>+IF(J7+FCL!J26+FCL!J34+FCL!J41+FCL!J46+FCL!J50+FCL!J52+PasivoFciero!K36+(PasivoFciero!K8+PasivoFciero!K10+PasivoFciero!K14+PasivoFciero!K16-PasivoFciero!J8-PasivoFciero!J10-PasivoFciero!J14-PasivoFciero!J16)&gt;=0,J7+FCL!J26+FCL!J34+FCL!J41+FCL!J46+FCL!J50+FCL!J52+PasivoFciero!K36+(PasivoFciero!K8+PasivoFciero!K10+PasivoFciero!K14+PasivoFciero!K16-PasivoFciero!J8-PasivoFciero!J10-PasivoFciero!J14-PasivoFciero!J16),0)</f>
        <v>11766.986153600745</v>
      </c>
      <c r="L7" s="111">
        <f>+IF(K7+FCL!K26+FCL!K34+FCL!K41+FCL!K46+FCL!K50+FCL!K52+PasivoFciero!L36+(PasivoFciero!L8+PasivoFciero!L10+PasivoFciero!L14+PasivoFciero!L16-PasivoFciero!K8-PasivoFciero!K10-PasivoFciero!K14-PasivoFciero!K16)&gt;=0,K7+FCL!K26+FCL!K34+FCL!K41+FCL!K46+FCL!K50+FCL!K52+PasivoFciero!L36+(PasivoFciero!L8+PasivoFciero!L10+PasivoFciero!L14+PasivoFciero!L16-PasivoFciero!K8-PasivoFciero!K10-PasivoFciero!K14-PasivoFciero!K16),0)</f>
        <v>18654.226546341</v>
      </c>
      <c r="M7" s="111">
        <f>+IF(L7+FCL!L26+FCL!L34+FCL!L41+FCL!L46+FCL!L50+FCL!L52+PasivoFciero!M36+(PasivoFciero!M8+PasivoFciero!M10+PasivoFciero!M14+PasivoFciero!M16-PasivoFciero!L8-PasivoFciero!L10-PasivoFciero!L14-PasivoFciero!L16)&gt;=0,L7+FCL!L26+FCL!L34+FCL!L41+FCL!L46+FCL!L50+FCL!L52+PasivoFciero!M36+(PasivoFciero!M8+PasivoFciero!M10+PasivoFciero!M14+PasivoFciero!M16-PasivoFciero!L8-PasivoFciero!L10-PasivoFciero!L14-PasivoFciero!L16),0)</f>
        <v>29597.186315124367</v>
      </c>
      <c r="N7" s="111">
        <f>+IF(M7+FCL!M26+FCL!M34+FCL!M41+FCL!M46+FCL!M50+FCL!M52+PasivoFciero!N36+(PasivoFciero!N8+PasivoFciero!N10+PasivoFciero!N14+PasivoFciero!N16-PasivoFciero!M8-PasivoFciero!M10-PasivoFciero!M14-PasivoFciero!M16)&gt;=0,M7+FCL!M26+FCL!M34+FCL!M41+FCL!M46+FCL!M50+FCL!M52+PasivoFciero!N36+(PasivoFciero!N8+PasivoFciero!N10+PasivoFciero!N14+PasivoFciero!N16-PasivoFciero!M8-PasivoFciero!M10-PasivoFciero!M14-PasivoFciero!M16),0)</f>
        <v>36318.621654397793</v>
      </c>
      <c r="O7" s="111">
        <f>+IF(N7+FCL!N26+FCL!N34+FCL!N41+FCL!N46+FCL!N50+FCL!N52+PasivoFciero!O36+(PasivoFciero!O8+PasivoFciero!O10+PasivoFciero!O14+PasivoFciero!O16-PasivoFciero!N8-PasivoFciero!N10-PasivoFciero!N14-PasivoFciero!N16)&gt;=0,N7+FCL!N26+FCL!N34+FCL!N41+FCL!N46+FCL!N50+FCL!N52+PasivoFciero!O36+(PasivoFciero!O8+PasivoFciero!O10+PasivoFciero!O14+PasivoFciero!O16-PasivoFciero!N8-PasivoFciero!N10-PasivoFciero!N14-PasivoFciero!N16),0)</f>
        <v>46080.199962642444</v>
      </c>
      <c r="P7" s="111">
        <f>+IF(O7+FCL!O26+FCL!O34+FCL!O41+FCL!O46+FCL!O50+FCL!O52+PasivoFciero!P36+(PasivoFciero!P8+PasivoFciero!P10+PasivoFciero!P14+PasivoFciero!P16-PasivoFciero!O8-PasivoFciero!O10-PasivoFciero!O14-PasivoFciero!O16)&gt;=0,O7+FCL!O26+FCL!O34+FCL!O41+FCL!O46+FCL!O50+FCL!O52+PasivoFciero!P36+(PasivoFciero!P8+PasivoFciero!P10+PasivoFciero!P14+PasivoFciero!P16-PasivoFciero!O8-PasivoFciero!O10-PasivoFciero!O14-PasivoFciero!O16),0)</f>
        <v>60923.029318377303</v>
      </c>
      <c r="Q7" s="111">
        <f>+IF(P7+FCL!P26+FCL!P34+FCL!P41+FCL!P46+FCL!P50+FCL!P52+PasivoFciero!Q36+(PasivoFciero!Q8+PasivoFciero!Q10+PasivoFciero!Q14+PasivoFciero!Q16-PasivoFciero!P8-PasivoFciero!P10-PasivoFciero!P14-PasivoFciero!P16)&gt;=0,P7+FCL!P26+FCL!P34+FCL!P41+FCL!P46+FCL!P50+FCL!P52+PasivoFciero!Q36+(PasivoFciero!Q8+PasivoFciero!Q10+PasivoFciero!Q14+PasivoFciero!Q16-PasivoFciero!P8-PasivoFciero!P10-PasivoFciero!P14-PasivoFciero!P16),0)</f>
        <v>81223.274778407969</v>
      </c>
      <c r="R7" s="111">
        <f>+IF(Q7+FCL!Q26+FCL!Q34+FCL!Q41+FCL!Q46+FCL!Q50+FCL!Q52+PasivoFciero!R36+(PasivoFciero!R8+PasivoFciero!R10+PasivoFciero!R14+PasivoFciero!R16-PasivoFciero!Q8-PasivoFciero!Q10-PasivoFciero!Q14-PasivoFciero!Q16)&gt;=0,Q7+FCL!Q26+FCL!Q34+FCL!Q41+FCL!Q46+FCL!Q50+FCL!Q52+PasivoFciero!R36+(PasivoFciero!R8+PasivoFciero!R10+PasivoFciero!R14+PasivoFciero!R16-PasivoFciero!Q8-PasivoFciero!Q10-PasivoFciero!Q14-PasivoFciero!Q16),0)</f>
        <v>103409.89978319222</v>
      </c>
      <c r="S7" s="111">
        <f>+IF(R7+FCL!R26+FCL!R34+FCL!R41+FCL!R46+FCL!R50+FCL!R52+PasivoFciero!S36+(PasivoFciero!S8+PasivoFciero!S10+PasivoFciero!S14+PasivoFciero!S16-PasivoFciero!R8-PasivoFciero!R10-PasivoFciero!R14-PasivoFciero!R16)&gt;=0,R7+FCL!R26+FCL!R34+FCL!R41+FCL!R46+FCL!R50+FCL!R52+PasivoFciero!S36+(PasivoFciero!S8+PasivoFciero!S10+PasivoFciero!S14+PasivoFciero!S16-PasivoFciero!R8-PasivoFciero!R10-PasivoFciero!R14-PasivoFciero!R16),0)</f>
        <v>132749.91058530868</v>
      </c>
    </row>
    <row r="8" spans="1:19" ht="15.75">
      <c r="A8" s="1"/>
      <c r="B8" s="2" t="s">
        <v>302</v>
      </c>
      <c r="C8" s="2">
        <v>0</v>
      </c>
      <c r="D8" s="2">
        <v>53024</v>
      </c>
      <c r="E8" s="2">
        <v>49639</v>
      </c>
      <c r="F8" s="2">
        <v>37672</v>
      </c>
      <c r="G8" s="2">
        <v>31162</v>
      </c>
      <c r="H8" s="2">
        <v>1782</v>
      </c>
      <c r="I8" s="595">
        <v>0</v>
      </c>
      <c r="J8" s="595">
        <v>0</v>
      </c>
      <c r="K8" s="595">
        <v>0</v>
      </c>
      <c r="L8" s="595">
        <v>0</v>
      </c>
      <c r="M8" s="595">
        <v>0</v>
      </c>
      <c r="N8" s="595">
        <v>0</v>
      </c>
      <c r="O8" s="595">
        <v>0</v>
      </c>
      <c r="P8" s="595">
        <v>0</v>
      </c>
      <c r="Q8" s="595">
        <v>0</v>
      </c>
      <c r="R8" s="595">
        <v>0</v>
      </c>
      <c r="S8" s="595">
        <v>0</v>
      </c>
    </row>
    <row r="9" spans="1:19" ht="15.75">
      <c r="A9" s="1"/>
      <c r="B9" s="2" t="s">
        <v>4</v>
      </c>
      <c r="C9" s="2">
        <f>67431+33032-10782</f>
        <v>89681</v>
      </c>
      <c r="D9" s="2">
        <f>43255+20630-9318</f>
        <v>54567</v>
      </c>
      <c r="E9" s="2">
        <f>54865+31667-9538</f>
        <v>76994</v>
      </c>
      <c r="F9" s="2">
        <f>52561+34113-3346</f>
        <v>83328</v>
      </c>
      <c r="G9" s="2">
        <f>47423+27956-3499</f>
        <v>71880</v>
      </c>
      <c r="H9" s="2">
        <f>42700+21542-2082</f>
        <v>62160</v>
      </c>
      <c r="I9" s="111">
        <f>+(Resultados!H$6*Proyecciones!B37)/360</f>
        <v>72196.085350091089</v>
      </c>
      <c r="J9" s="111">
        <f>+(Resultados!I$6*Proyecciones!C37)/360</f>
        <v>75982.958932947775</v>
      </c>
      <c r="K9" s="111">
        <f>+(Resultados!J$6*Proyecciones!D37)/360</f>
        <v>79615.469515989491</v>
      </c>
      <c r="L9" s="111">
        <f>+(Resultados!K$6*Proyecciones!E37)/360</f>
        <v>83167.530269384573</v>
      </c>
      <c r="M9" s="111">
        <f>+(Resultados!L$6*Proyecciones!F37)/360</f>
        <v>86264.256100583501</v>
      </c>
      <c r="N9" s="111">
        <f>+(Resultados!M$6*Proyecciones!G37)/360</f>
        <v>89638.463132981386</v>
      </c>
      <c r="O9" s="111">
        <f>+(Resultados!N$6*Proyecciones!H37)/360</f>
        <v>94299.452714627201</v>
      </c>
      <c r="P9" s="111">
        <f>+(Resultados!O$6*Proyecciones!I37)/360</f>
        <v>99223.768367105717</v>
      </c>
      <c r="Q9" s="111">
        <f>+(Resultados!P$6*Proyecciones!J37)/360</f>
        <v>104427.15348323778</v>
      </c>
      <c r="R9" s="111">
        <f>+(Resultados!Q$6*Proyecciones!K37)/360</f>
        <v>109926.3262921128</v>
      </c>
      <c r="S9" s="111">
        <f>+(Resultados!R$6*Proyecciones!L37)/360</f>
        <v>115739.04147920925</v>
      </c>
    </row>
    <row r="10" spans="1:19" ht="15.75">
      <c r="A10" s="1"/>
      <c r="B10" s="2" t="s">
        <v>5</v>
      </c>
      <c r="C10" s="2">
        <v>44618</v>
      </c>
      <c r="D10" s="2">
        <v>42500</v>
      </c>
      <c r="E10" s="2">
        <v>51512</v>
      </c>
      <c r="F10" s="2">
        <v>52493</v>
      </c>
      <c r="G10" s="2">
        <v>50230</v>
      </c>
      <c r="H10" s="2">
        <v>68902</v>
      </c>
      <c r="I10" s="111">
        <f>(-Resultados!H$7*Proyecciones!B38)/360</f>
        <v>47088.461307804195</v>
      </c>
      <c r="J10" s="111">
        <f>(-Resultados!I$7*Proyecciones!C38)/360</f>
        <v>48900.249506912951</v>
      </c>
      <c r="K10" s="111">
        <f>(-Resultados!J$7*Proyecciones!D38)/360</f>
        <v>50561.16979384626</v>
      </c>
      <c r="L10" s="111">
        <f>(-Resultados!K$7*Proyecciones!E38)/360</f>
        <v>51590.042489306834</v>
      </c>
      <c r="M10" s="111">
        <f>(-Resultados!L$7*Proyecciones!F38)/360</f>
        <v>52168.834220335601</v>
      </c>
      <c r="N10" s="111">
        <f>(-Resultados!M$7*Proyecciones!G38)/360</f>
        <v>53398.865760386601</v>
      </c>
      <c r="O10" s="111">
        <f>(-Resultados!N$7*Proyecciones!H38)/360</f>
        <v>55843.713524177816</v>
      </c>
      <c r="P10" s="111">
        <f>(-Resultados!O$7*Proyecciones!I38)/360</f>
        <v>58414.940517078197</v>
      </c>
      <c r="Q10" s="111">
        <f>(-Resultados!P$7*Proyecciones!J38)/360</f>
        <v>61119.511344576495</v>
      </c>
      <c r="R10" s="111">
        <f>(-Resultados!Q$7*Proyecciones!K38)/360</f>
        <v>64331.30168868156</v>
      </c>
      <c r="S10" s="111">
        <f>(-Resultados!R$7*Proyecciones!L38)/360</f>
        <v>67736.058678530637</v>
      </c>
    </row>
    <row r="11" spans="1:19" ht="15.75">
      <c r="A11" s="1"/>
      <c r="B11" s="2" t="s">
        <v>957</v>
      </c>
      <c r="C11" s="2">
        <f>3059</f>
        <v>3059</v>
      </c>
      <c r="D11" s="2">
        <v>4231</v>
      </c>
      <c r="E11" s="2">
        <f>7451</f>
        <v>7451</v>
      </c>
      <c r="F11" s="2">
        <f>9619</f>
        <v>9619</v>
      </c>
      <c r="G11" s="2">
        <f>7349</f>
        <v>7349</v>
      </c>
      <c r="H11" s="2">
        <v>5850</v>
      </c>
      <c r="I11" s="111">
        <f>+Resultados!H6*Proyecciones!B39</f>
        <v>7217.4987268521909</v>
      </c>
      <c r="J11" s="111">
        <f>+Resultados!I6*Proyecciones!C39</f>
        <v>7687.5944011455822</v>
      </c>
      <c r="K11" s="111">
        <f>+Resultados!J6*Proyecciones!D39</f>
        <v>8153.3476495106743</v>
      </c>
      <c r="L11" s="111">
        <f>+Resultados!K6*Proyecciones!E39</f>
        <v>8622.2604708699</v>
      </c>
      <c r="M11" s="111">
        <f>+Resultados!L6*Proyecciones!F39</f>
        <v>9055.0999176429505</v>
      </c>
      <c r="N11" s="111">
        <f>+Resultados!M6*Proyecciones!G39</f>
        <v>9528.3930332077161</v>
      </c>
      <c r="O11" s="111">
        <f>+Resultados!N6*Proyecciones!H39</f>
        <v>10023.847095061961</v>
      </c>
      <c r="P11" s="111">
        <f>+Resultados!O6*Proyecciones!I39</f>
        <v>10547.29220240147</v>
      </c>
      <c r="Q11" s="111">
        <f>+Resultados!P6*Proyecciones!J39</f>
        <v>11100.40184704248</v>
      </c>
      <c r="R11" s="111">
        <f>+Resultados!Q6*Proyecciones!K39</f>
        <v>11684.953143986912</v>
      </c>
      <c r="S11" s="111">
        <f>+Resultados!R6*Proyecciones!L39</f>
        <v>12302.833381520482</v>
      </c>
    </row>
    <row r="12" spans="1:19" ht="15.75">
      <c r="A12" s="1"/>
      <c r="B12" s="2" t="s">
        <v>958</v>
      </c>
      <c r="C12" s="2">
        <f>4864</f>
        <v>4864</v>
      </c>
      <c r="D12" s="2">
        <f>717</f>
        <v>717</v>
      </c>
      <c r="E12" s="2">
        <f>1248</f>
        <v>1248</v>
      </c>
      <c r="F12" s="2">
        <f>1643</f>
        <v>1643</v>
      </c>
      <c r="G12" s="2">
        <f>4615</f>
        <v>4615</v>
      </c>
      <c r="H12" s="2">
        <v>2104</v>
      </c>
      <c r="I12" s="111">
        <f>+Resultados!H$6*Proyecciones!B40</f>
        <v>1508.8257696597391</v>
      </c>
      <c r="J12" s="111">
        <f>+Resultados!I$6*Proyecciones!C40</f>
        <v>1607.0997693406214</v>
      </c>
      <c r="K12" s="111">
        <f>+Resultados!J$6*Proyecciones!D40</f>
        <v>1704.4659802720466</v>
      </c>
      <c r="L12" s="111">
        <f>+Resultados!K$6*Proyecciones!E40</f>
        <v>1802.4927032915355</v>
      </c>
      <c r="M12" s="111">
        <f>+Resultados!L$6*Proyecciones!F40</f>
        <v>1892.9782490647144</v>
      </c>
      <c r="N12" s="111">
        <f>+Resultados!M$6*Proyecciones!G40</f>
        <v>1991.9206772372115</v>
      </c>
      <c r="O12" s="111">
        <f>+Resultados!N$6*Proyecciones!H40</f>
        <v>2095.4958747536384</v>
      </c>
      <c r="P12" s="111">
        <f>+Resultados!O$6*Proyecciones!I40</f>
        <v>2204.9226300390687</v>
      </c>
      <c r="Q12" s="111">
        <f>+Resultados!P$6*Proyecciones!J40</f>
        <v>2320.5507883339678</v>
      </c>
      <c r="R12" s="111">
        <f>+Resultados!Q$6*Proyecciones!K40</f>
        <v>2442.7518574157557</v>
      </c>
      <c r="S12" s="111">
        <f>+Resultados!R$6*Proyecciones!L40</f>
        <v>2571.9203769037708</v>
      </c>
    </row>
    <row r="13" spans="1:19" ht="15.75">
      <c r="A13" s="1"/>
      <c r="B13" s="2" t="s">
        <v>303</v>
      </c>
      <c r="C13" s="2">
        <v>630</v>
      </c>
      <c r="D13" s="2">
        <v>734</v>
      </c>
      <c r="E13" s="2">
        <v>793</v>
      </c>
      <c r="F13" s="2">
        <v>750</v>
      </c>
      <c r="G13" s="2">
        <v>702</v>
      </c>
      <c r="H13" s="2">
        <v>663</v>
      </c>
      <c r="I13" s="111">
        <f>+Resultados!H$6*Proyecciones!B41</f>
        <v>779.5260954255283</v>
      </c>
      <c r="J13" s="111">
        <f>+Resultados!I$6*Proyecciones!C41</f>
        <v>830.29878819996554</v>
      </c>
      <c r="K13" s="111">
        <f>+Resultados!J$6*Proyecciones!D41</f>
        <v>880.60247717451739</v>
      </c>
      <c r="L13" s="111">
        <f>+Resultados!K$6*Proyecciones!E41</f>
        <v>931.24741589396558</v>
      </c>
      <c r="M13" s="111">
        <f>+Resultados!L$6*Proyecciones!F41</f>
        <v>977.9962490643594</v>
      </c>
      <c r="N13" s="111">
        <f>+Resultados!M$6*Proyecciones!G41</f>
        <v>1029.1142815477394</v>
      </c>
      <c r="O13" s="111">
        <f>+Resultados!N$6*Proyecciones!H41</f>
        <v>1082.6258074816556</v>
      </c>
      <c r="P13" s="111">
        <f>+Resultados!O$6*Proyecciones!I41</f>
        <v>1139.1605068472245</v>
      </c>
      <c r="Q13" s="111">
        <f>+Resultados!P$6*Proyecciones!J41</f>
        <v>1198.8991251617792</v>
      </c>
      <c r="R13" s="111">
        <f>+Resultados!Q$6*Proyecciones!K41</f>
        <v>1262.033599766911</v>
      </c>
      <c r="S13" s="111">
        <f>+Resultados!R$6*Proyecciones!L41</f>
        <v>1328.7677672719476</v>
      </c>
    </row>
    <row r="14" spans="1:19" ht="16.5" thickBot="1">
      <c r="A14" s="1"/>
      <c r="B14" s="2" t="s">
        <v>304</v>
      </c>
      <c r="C14" s="2">
        <f>474+95+45+91+520</f>
        <v>1225</v>
      </c>
      <c r="D14" s="2">
        <f>611+37+50+1+542</f>
        <v>1241</v>
      </c>
      <c r="E14" s="2">
        <f>634+255+123+890</f>
        <v>1902</v>
      </c>
      <c r="F14" s="2">
        <f>558+25+149+784</f>
        <v>1516</v>
      </c>
      <c r="G14" s="2">
        <v>3663</v>
      </c>
      <c r="H14" s="2">
        <v>1221</v>
      </c>
      <c r="I14" s="111">
        <f>+Resultados!H$6*Proyecciones!B42</f>
        <v>1557.1809485531867</v>
      </c>
      <c r="J14" s="111">
        <f>+Resultados!I$6*Proyecciones!C42</f>
        <v>1658.6044549105195</v>
      </c>
      <c r="K14" s="111">
        <f>+Resultados!J$6*Proyecciones!D42</f>
        <v>1759.0910795056298</v>
      </c>
      <c r="L14" s="111">
        <f>+Resultados!K$6*Proyecciones!E42</f>
        <v>1860.2593844249388</v>
      </c>
      <c r="M14" s="111">
        <f>+Resultados!L$6*Proyecciones!F42</f>
        <v>1953.6448307970586</v>
      </c>
      <c r="N14" s="111">
        <f>+Resultados!M$6*Proyecciones!G42</f>
        <v>2055.7581875887772</v>
      </c>
      <c r="O14" s="111">
        <f>+Resultados!N$6*Proyecciones!H42</f>
        <v>2162.6527857315341</v>
      </c>
      <c r="P14" s="111">
        <f>+Resultados!O$6*Proyecciones!I42</f>
        <v>2275.5864736489207</v>
      </c>
      <c r="Q14" s="111">
        <f>+Resultados!P$6*Proyecciones!J42</f>
        <v>2394.9203084983305</v>
      </c>
      <c r="R14" s="111">
        <f>+Resultados!Q$6*Proyecciones!K42</f>
        <v>2521.0377042198425</v>
      </c>
      <c r="S14" s="111">
        <f>+Resultados!R$6*Proyecciones!L42</f>
        <v>2654.34584472497</v>
      </c>
    </row>
    <row r="15" spans="1:19" ht="15.75">
      <c r="A15" s="1" t="s">
        <v>6</v>
      </c>
      <c r="B15" s="2"/>
      <c r="C15" s="4">
        <f t="shared" ref="C15:S15" si="1">SUM(C7:C14)</f>
        <v>201474</v>
      </c>
      <c r="D15" s="4">
        <f t="shared" si="1"/>
        <v>188077</v>
      </c>
      <c r="E15" s="4">
        <f t="shared" si="1"/>
        <v>197328</v>
      </c>
      <c r="F15" s="4">
        <f t="shared" si="1"/>
        <v>196510</v>
      </c>
      <c r="G15" s="4">
        <f t="shared" si="1"/>
        <v>185493</v>
      </c>
      <c r="H15" s="4">
        <f t="shared" si="1"/>
        <v>163969</v>
      </c>
      <c r="I15" s="112">
        <f t="shared" si="1"/>
        <v>146021.74820135889</v>
      </c>
      <c r="J15" s="112">
        <f t="shared" si="1"/>
        <v>148013.07510662323</v>
      </c>
      <c r="K15" s="112">
        <f t="shared" si="1"/>
        <v>154441.13264989937</v>
      </c>
      <c r="L15" s="4">
        <f t="shared" si="1"/>
        <v>166628.05927951276</v>
      </c>
      <c r="M15" s="4">
        <f t="shared" si="1"/>
        <v>181909.99588261254</v>
      </c>
      <c r="N15" s="4">
        <f t="shared" si="1"/>
        <v>193961.13672734721</v>
      </c>
      <c r="O15" s="4">
        <f t="shared" si="1"/>
        <v>211587.98776447625</v>
      </c>
      <c r="P15" s="4">
        <f t="shared" si="1"/>
        <v>234728.70001549792</v>
      </c>
      <c r="Q15" s="4">
        <f t="shared" si="1"/>
        <v>263784.71167525882</v>
      </c>
      <c r="R15" s="4">
        <f t="shared" si="1"/>
        <v>295578.30406937608</v>
      </c>
      <c r="S15" s="4">
        <f t="shared" si="1"/>
        <v>335082.87811346975</v>
      </c>
    </row>
    <row r="16" spans="1:19" ht="15.75">
      <c r="A16" s="1"/>
      <c r="B16" s="2"/>
      <c r="C16" s="2"/>
      <c r="D16" s="2"/>
      <c r="E16" s="2"/>
      <c r="F16" s="272"/>
      <c r="G16" s="272"/>
      <c r="H16" s="2"/>
      <c r="I16" s="111"/>
      <c r="J16" s="111"/>
      <c r="K16" s="111"/>
      <c r="L16" s="2"/>
      <c r="M16" s="2"/>
      <c r="N16" s="2"/>
      <c r="O16" s="2"/>
      <c r="P16" s="111"/>
      <c r="Q16" s="111"/>
      <c r="R16" s="111"/>
      <c r="S16" s="111"/>
    </row>
    <row r="17" spans="1:21" ht="15.75">
      <c r="A17" s="1" t="s">
        <v>7</v>
      </c>
      <c r="B17" s="2"/>
      <c r="C17" s="2"/>
      <c r="D17" s="2"/>
      <c r="E17" s="2"/>
      <c r="F17" s="2"/>
      <c r="G17" s="2"/>
      <c r="H17" s="2"/>
      <c r="I17" s="111"/>
      <c r="J17" s="111"/>
      <c r="K17" s="111"/>
      <c r="L17" s="2"/>
      <c r="M17" s="2"/>
      <c r="N17" s="2"/>
      <c r="O17" s="2"/>
      <c r="P17" s="111"/>
      <c r="Q17" s="111"/>
      <c r="R17" s="111"/>
      <c r="S17" s="111"/>
    </row>
    <row r="18" spans="1:21" ht="15.75">
      <c r="A18" s="1"/>
      <c r="B18" s="2" t="s">
        <v>8</v>
      </c>
      <c r="C18" s="2">
        <v>391928</v>
      </c>
      <c r="D18" s="2">
        <f>398648-2893</f>
        <v>395755</v>
      </c>
      <c r="E18" s="2">
        <f>399660-1262</f>
        <v>398398</v>
      </c>
      <c r="F18" s="2">
        <v>408367</v>
      </c>
      <c r="G18" s="2">
        <v>444648</v>
      </c>
      <c r="H18" s="2">
        <v>487446</v>
      </c>
      <c r="I18" s="111">
        <f>+Proyecciones!B54+H18</f>
        <v>489263.09500000003</v>
      </c>
      <c r="J18" s="111">
        <f>+Proyecciones!C54+I18</f>
        <v>491080.19000000006</v>
      </c>
      <c r="K18" s="111">
        <f>+Proyecciones!D54+J18</f>
        <v>492891.28500000003</v>
      </c>
      <c r="L18" s="111">
        <f>+Proyecciones!E54+K18</f>
        <v>494315.58</v>
      </c>
      <c r="M18" s="111">
        <f>+Proyecciones!F54+L18</f>
        <v>495242.07500000001</v>
      </c>
      <c r="N18" s="111">
        <f>+Proyecciones!G54+M18</f>
        <v>503256.02500000002</v>
      </c>
      <c r="O18" s="111">
        <f>+Proyecciones!H54+N18</f>
        <v>511269.97500000003</v>
      </c>
      <c r="P18" s="111">
        <f>+Proyecciones!I54+O18</f>
        <v>519283.92499999999</v>
      </c>
      <c r="Q18" s="111">
        <f>+Proyecciones!J54+P18</f>
        <v>527297.875</v>
      </c>
      <c r="R18" s="111">
        <f>+Proyecciones!K54+Q18</f>
        <v>535311.82499999995</v>
      </c>
      <c r="S18" s="111">
        <f>+Proyecciones!L54+R18</f>
        <v>535783.57499999995</v>
      </c>
    </row>
    <row r="19" spans="1:21" ht="15.75">
      <c r="A19" s="1"/>
      <c r="B19" s="2" t="s">
        <v>9</v>
      </c>
      <c r="C19" s="2">
        <f>-303043-2893</f>
        <v>-305936</v>
      </c>
      <c r="D19" s="2">
        <v>-316227</v>
      </c>
      <c r="E19" s="2">
        <v>-328660</v>
      </c>
      <c r="F19" s="2">
        <v>-340045</v>
      </c>
      <c r="G19" s="2">
        <v>-350854</v>
      </c>
      <c r="H19" s="2">
        <v>-361011</v>
      </c>
      <c r="I19" s="269">
        <f>+H19+Resultados!H17+Resultados!H9</f>
        <v>-378670.38491534698</v>
      </c>
      <c r="J19" s="269">
        <f>+I19+Resultados!I17+Resultados!I9</f>
        <v>-396329.76983069396</v>
      </c>
      <c r="K19" s="269">
        <f>+J19+Resultados!J17+Resultados!J9</f>
        <v>-413930.84392052429</v>
      </c>
      <c r="L19" s="269">
        <f>+K19+Resultados!K17+Resultados!K9</f>
        <v>-427772.81345871807</v>
      </c>
      <c r="M19" s="269">
        <f>+L19+Resultados!L17+Resultados!L9</f>
        <v>-436776.9281732181</v>
      </c>
      <c r="N19" s="269">
        <f>+M19+Resultados!M17+Resultados!M9</f>
        <v>-444565.26217569702</v>
      </c>
      <c r="O19" s="269">
        <f>+N19+Resultados!N17+Resultados!N9</f>
        <v>-452353.59617817594</v>
      </c>
      <c r="P19" s="269">
        <f>+O19+Resultados!O17+Resultados!O9</f>
        <v>-460141.93018065486</v>
      </c>
      <c r="Q19" s="269">
        <f>+P19+Resultados!P17+Resultados!P9</f>
        <v>-467930.26418313378</v>
      </c>
      <c r="R19" s="269">
        <f>+Q19+Resultados!Q17+Resultados!Q9</f>
        <v>-475718.5981856127</v>
      </c>
      <c r="S19" s="269">
        <f>+R19+Resultados!R17+Resultados!R9</f>
        <v>-476177.06705123698</v>
      </c>
    </row>
    <row r="20" spans="1:21" ht="15.75">
      <c r="A20" s="1"/>
      <c r="B20" s="2" t="s">
        <v>306</v>
      </c>
      <c r="C20" s="2">
        <v>1659</v>
      </c>
      <c r="D20" s="2">
        <v>1299</v>
      </c>
      <c r="E20" s="2">
        <v>1051</v>
      </c>
      <c r="F20" s="2">
        <v>822</v>
      </c>
      <c r="G20" s="2">
        <v>594</v>
      </c>
      <c r="H20" s="2">
        <f>397</f>
        <v>397</v>
      </c>
      <c r="I20" s="111">
        <f>+H20+Resultados!H18</f>
        <v>198.5</v>
      </c>
      <c r="J20" s="111">
        <f>+I20+Resultados!I18</f>
        <v>0</v>
      </c>
      <c r="K20" s="111">
        <f>+J20+Resultados!J18</f>
        <v>0</v>
      </c>
      <c r="L20" s="111">
        <f>+K20+Resultados!K18</f>
        <v>0</v>
      </c>
      <c r="M20" s="111">
        <f>+L20+Resultados!L18</f>
        <v>0</v>
      </c>
      <c r="N20" s="111">
        <f>+M20+Resultados!M18</f>
        <v>0</v>
      </c>
      <c r="O20" s="111">
        <f>+N20+Resultados!N18</f>
        <v>0</v>
      </c>
      <c r="P20" s="111">
        <f>+O20+Resultados!O18</f>
        <v>0</v>
      </c>
      <c r="Q20" s="111">
        <f>+P20+Resultados!P18</f>
        <v>0</v>
      </c>
      <c r="R20" s="111">
        <f>+Q20+Resultados!Q18</f>
        <v>0</v>
      </c>
      <c r="S20" s="111">
        <f>+R20+Resultados!R18</f>
        <v>0</v>
      </c>
    </row>
    <row r="21" spans="1:21" ht="15.75">
      <c r="A21" s="1"/>
      <c r="B21" s="2" t="s">
        <v>1073</v>
      </c>
      <c r="C21" s="2"/>
      <c r="D21" s="2"/>
      <c r="E21" s="2"/>
      <c r="F21" s="2"/>
      <c r="G21" s="2"/>
      <c r="H21" s="2">
        <v>1211</v>
      </c>
      <c r="I21" s="111">
        <f t="shared" ref="I21:S22" si="2">+H21</f>
        <v>1211</v>
      </c>
      <c r="J21" s="111">
        <f t="shared" si="2"/>
        <v>1211</v>
      </c>
      <c r="K21" s="111">
        <f t="shared" si="2"/>
        <v>1211</v>
      </c>
      <c r="L21" s="111">
        <f t="shared" si="2"/>
        <v>1211</v>
      </c>
      <c r="M21" s="111">
        <f t="shared" si="2"/>
        <v>1211</v>
      </c>
      <c r="N21" s="111">
        <f t="shared" si="2"/>
        <v>1211</v>
      </c>
      <c r="O21" s="111">
        <f t="shared" si="2"/>
        <v>1211</v>
      </c>
      <c r="P21" s="111">
        <f t="shared" si="2"/>
        <v>1211</v>
      </c>
      <c r="Q21" s="111">
        <f t="shared" si="2"/>
        <v>1211</v>
      </c>
      <c r="R21" s="111">
        <f t="shared" si="2"/>
        <v>1211</v>
      </c>
      <c r="S21" s="111">
        <f t="shared" si="2"/>
        <v>1211</v>
      </c>
      <c r="T21" s="303"/>
    </row>
    <row r="22" spans="1:21" ht="16.5" thickBot="1">
      <c r="A22" s="1"/>
      <c r="B22" s="2" t="s">
        <v>304</v>
      </c>
      <c r="C22" s="2">
        <v>3169</v>
      </c>
      <c r="D22" s="2">
        <v>3169</v>
      </c>
      <c r="E22" s="2">
        <v>3499</v>
      </c>
      <c r="F22" s="2">
        <v>3499</v>
      </c>
      <c r="G22" s="2">
        <v>3169</v>
      </c>
      <c r="H22" s="2">
        <f>3169</f>
        <v>3169</v>
      </c>
      <c r="I22" s="111">
        <f>+H22</f>
        <v>3169</v>
      </c>
      <c r="J22" s="111">
        <f t="shared" si="2"/>
        <v>3169</v>
      </c>
      <c r="K22" s="111">
        <f t="shared" si="2"/>
        <v>3169</v>
      </c>
      <c r="L22" s="111">
        <f t="shared" si="2"/>
        <v>3169</v>
      </c>
      <c r="M22" s="111">
        <f t="shared" si="2"/>
        <v>3169</v>
      </c>
      <c r="N22" s="111">
        <f t="shared" si="2"/>
        <v>3169</v>
      </c>
      <c r="O22" s="111">
        <f t="shared" si="2"/>
        <v>3169</v>
      </c>
      <c r="P22" s="111">
        <f t="shared" si="2"/>
        <v>3169</v>
      </c>
      <c r="Q22" s="111">
        <f t="shared" si="2"/>
        <v>3169</v>
      </c>
      <c r="R22" s="111">
        <f t="shared" si="2"/>
        <v>3169</v>
      </c>
      <c r="S22" s="111">
        <f t="shared" si="2"/>
        <v>3169</v>
      </c>
      <c r="U22" s="303"/>
    </row>
    <row r="23" spans="1:21" ht="15.75">
      <c r="A23" s="1" t="s">
        <v>10</v>
      </c>
      <c r="B23" s="2"/>
      <c r="C23" s="4">
        <f>SUM(C18:C22)</f>
        <v>90820</v>
      </c>
      <c r="D23" s="4">
        <f t="shared" ref="D23:P23" si="3">SUM(D18:D22)</f>
        <v>83996</v>
      </c>
      <c r="E23" s="4">
        <f t="shared" si="3"/>
        <v>74288</v>
      </c>
      <c r="F23" s="4">
        <f t="shared" si="3"/>
        <v>72643</v>
      </c>
      <c r="G23" s="4">
        <f t="shared" si="3"/>
        <v>97557</v>
      </c>
      <c r="H23" s="4">
        <f>SUM(H18:H22)</f>
        <v>131212</v>
      </c>
      <c r="I23" s="112">
        <f t="shared" si="3"/>
        <v>115171.21008465305</v>
      </c>
      <c r="J23" s="112">
        <f t="shared" si="3"/>
        <v>99130.420169306104</v>
      </c>
      <c r="K23" s="112">
        <f t="shared" si="3"/>
        <v>83340.441079475742</v>
      </c>
      <c r="L23" s="4">
        <f t="shared" si="3"/>
        <v>70922.766541281948</v>
      </c>
      <c r="M23" s="4">
        <f t="shared" si="3"/>
        <v>62845.146826781915</v>
      </c>
      <c r="N23" s="4">
        <f t="shared" si="3"/>
        <v>63070.762824303005</v>
      </c>
      <c r="O23" s="4">
        <f t="shared" si="3"/>
        <v>63296.378821824095</v>
      </c>
      <c r="P23" s="4">
        <f t="shared" si="3"/>
        <v>63521.994819345127</v>
      </c>
      <c r="Q23" s="4">
        <f>SUM(Q18:Q22)</f>
        <v>63747.610816866218</v>
      </c>
      <c r="R23" s="4">
        <f>SUM(R18:R22)</f>
        <v>63973.22681438725</v>
      </c>
      <c r="S23" s="4">
        <f>SUM(S18:S22)</f>
        <v>63986.50794876297</v>
      </c>
    </row>
    <row r="24" spans="1:21" ht="15.75">
      <c r="A24" s="1"/>
      <c r="B24" s="2"/>
      <c r="C24" s="2"/>
      <c r="D24" s="2"/>
      <c r="E24" s="2"/>
      <c r="F24" s="2"/>
      <c r="G24" s="2"/>
      <c r="H24" s="2"/>
      <c r="I24" s="111"/>
      <c r="J24" s="111"/>
      <c r="K24" s="111"/>
      <c r="L24" s="2"/>
      <c r="M24" s="2"/>
      <c r="N24" s="2"/>
      <c r="O24" s="2"/>
      <c r="P24" s="111"/>
      <c r="Q24" s="111"/>
      <c r="R24" s="111"/>
      <c r="S24" s="111"/>
    </row>
    <row r="25" spans="1:21" ht="15.75">
      <c r="A25" s="1"/>
      <c r="B25" s="2" t="s">
        <v>147</v>
      </c>
      <c r="C25" s="2">
        <v>328144</v>
      </c>
      <c r="D25" s="2">
        <v>328144</v>
      </c>
      <c r="E25" s="2">
        <v>269112</v>
      </c>
      <c r="F25" s="2">
        <v>269112</v>
      </c>
      <c r="G25" s="2">
        <v>269112</v>
      </c>
      <c r="H25" s="2">
        <v>246601</v>
      </c>
      <c r="I25" s="2">
        <v>246601</v>
      </c>
      <c r="J25" s="2">
        <v>246601</v>
      </c>
      <c r="K25" s="2">
        <f>+J25*(1+(H25/G25-1))</f>
        <v>225973.02684755789</v>
      </c>
      <c r="L25" s="2">
        <f>+K25</f>
        <v>225973.02684755789</v>
      </c>
      <c r="M25" s="2">
        <f>+L25</f>
        <v>225973.02684755789</v>
      </c>
      <c r="N25" s="2">
        <f>+M25*(1+(K25/J25-1))</f>
        <v>207070.56687785988</v>
      </c>
      <c r="O25" s="2">
        <f>+N25</f>
        <v>207070.56687785988</v>
      </c>
      <c r="P25" s="111">
        <f>+O25</f>
        <v>207070.56687785988</v>
      </c>
      <c r="Q25" s="2">
        <f>+P25*(1+(N25/M25-1))</f>
        <v>189749.28231608818</v>
      </c>
      <c r="R25" s="2">
        <f>+Q25*(1+(O25/N25-1))</f>
        <v>189749.28231608818</v>
      </c>
      <c r="S25" s="2">
        <f>+R25*(1+(P25/O25-1))</f>
        <v>189749.28231608818</v>
      </c>
    </row>
    <row r="26" spans="1:21" ht="16.5" thickBot="1">
      <c r="A26" s="1"/>
      <c r="B26" s="2"/>
      <c r="C26" s="2"/>
      <c r="D26" s="2"/>
      <c r="E26" s="2"/>
      <c r="F26" s="2"/>
      <c r="G26" s="2"/>
      <c r="H26" s="2"/>
      <c r="I26" s="111"/>
      <c r="J26" s="111"/>
      <c r="K26" s="111"/>
      <c r="L26" s="2"/>
      <c r="M26" s="2"/>
      <c r="N26" s="2"/>
      <c r="O26" s="2"/>
      <c r="P26" s="111"/>
      <c r="Q26" s="111"/>
      <c r="R26" s="111"/>
      <c r="S26" s="111"/>
    </row>
    <row r="27" spans="1:21" ht="17.25" thickTop="1" thickBot="1">
      <c r="A27" s="5" t="s">
        <v>11</v>
      </c>
      <c r="B27" s="5"/>
      <c r="C27" s="5">
        <f>C15+C23+C25</f>
        <v>620438</v>
      </c>
      <c r="D27" s="5">
        <f>D15+D23+D25</f>
        <v>600217</v>
      </c>
      <c r="E27" s="5">
        <f>E15+E23+E25</f>
        <v>540728</v>
      </c>
      <c r="F27" s="5">
        <f t="shared" ref="F27:P27" si="4">F15+F23+F25</f>
        <v>538265</v>
      </c>
      <c r="G27" s="5">
        <f t="shared" si="4"/>
        <v>552162</v>
      </c>
      <c r="H27" s="5">
        <f>H15+H23+H25</f>
        <v>541782</v>
      </c>
      <c r="I27" s="5">
        <f t="shared" si="4"/>
        <v>507793.95828601194</v>
      </c>
      <c r="J27" s="5">
        <f t="shared" si="4"/>
        <v>493744.49527592934</v>
      </c>
      <c r="K27" s="5">
        <f t="shared" si="4"/>
        <v>463754.60057693301</v>
      </c>
      <c r="L27" s="5">
        <f t="shared" si="4"/>
        <v>463523.8526683526</v>
      </c>
      <c r="M27" s="5">
        <f t="shared" si="4"/>
        <v>470728.16955695231</v>
      </c>
      <c r="N27" s="5">
        <f t="shared" si="4"/>
        <v>464102.4664295101</v>
      </c>
      <c r="O27" s="5">
        <f t="shared" si="4"/>
        <v>481954.93346416019</v>
      </c>
      <c r="P27" s="5">
        <f t="shared" si="4"/>
        <v>505321.26171270292</v>
      </c>
      <c r="Q27" s="5">
        <f>Q15+Q23+Q25</f>
        <v>517281.60480821319</v>
      </c>
      <c r="R27" s="5">
        <f>R15+R23+R25</f>
        <v>549300.81319985155</v>
      </c>
      <c r="S27" s="5">
        <f>S15+S23+S25</f>
        <v>588818.66837832087</v>
      </c>
    </row>
    <row r="28" spans="1:21" ht="16.5" thickTop="1">
      <c r="A28" s="1"/>
      <c r="B28" s="2"/>
      <c r="C28" s="2"/>
      <c r="D28" s="49"/>
      <c r="E28" s="49"/>
      <c r="F28" s="49"/>
      <c r="G28" s="49"/>
      <c r="H28" s="273"/>
      <c r="I28" s="151"/>
      <c r="J28" s="111"/>
      <c r="K28" s="111"/>
      <c r="L28" s="2"/>
      <c r="M28" s="2"/>
      <c r="N28" s="2"/>
      <c r="O28" s="2"/>
      <c r="P28" s="2"/>
      <c r="Q28" s="2"/>
      <c r="R28" s="2"/>
      <c r="S28" s="2"/>
    </row>
    <row r="29" spans="1:21" ht="15.75">
      <c r="A29" s="1" t="s">
        <v>12</v>
      </c>
      <c r="B29" s="2"/>
      <c r="C29" s="2"/>
      <c r="D29" s="2"/>
      <c r="E29" s="2"/>
      <c r="F29" s="2"/>
      <c r="G29" s="2"/>
      <c r="H29" s="2"/>
      <c r="I29" s="111"/>
      <c r="J29" s="111"/>
      <c r="K29" s="111"/>
      <c r="L29" s="111"/>
      <c r="M29" s="111"/>
      <c r="N29" s="111"/>
      <c r="O29" s="111"/>
      <c r="P29" s="111"/>
      <c r="Q29" s="111"/>
      <c r="R29" s="111"/>
      <c r="S29" s="111"/>
    </row>
    <row r="30" spans="1:21" ht="15.75">
      <c r="A30" s="1" t="s">
        <v>13</v>
      </c>
      <c r="B30" s="2"/>
      <c r="C30" s="2"/>
      <c r="D30" s="2"/>
      <c r="E30" s="2"/>
      <c r="F30" s="2"/>
      <c r="G30" s="2"/>
      <c r="H30" s="273"/>
      <c r="I30" s="401"/>
      <c r="J30" s="401"/>
      <c r="K30" s="401"/>
      <c r="L30" s="401"/>
      <c r="M30" s="401"/>
      <c r="N30" s="401"/>
      <c r="O30" s="401"/>
      <c r="P30" s="401"/>
      <c r="Q30" s="401"/>
      <c r="R30" s="401"/>
      <c r="S30" s="401"/>
      <c r="T30" s="401"/>
    </row>
    <row r="31" spans="1:21" ht="15.75">
      <c r="A31" s="124"/>
      <c r="B31" s="111" t="s">
        <v>945</v>
      </c>
      <c r="C31" s="111">
        <v>0</v>
      </c>
      <c r="D31" s="111">
        <v>0</v>
      </c>
      <c r="E31" s="111">
        <v>0</v>
      </c>
      <c r="F31" s="111">
        <v>0</v>
      </c>
      <c r="G31" s="111">
        <v>0</v>
      </c>
      <c r="H31" s="111">
        <v>0</v>
      </c>
      <c r="I31" s="111">
        <f>+FCL!H62</f>
        <v>0</v>
      </c>
      <c r="J31" s="111">
        <f>+FCL!I62</f>
        <v>0</v>
      </c>
      <c r="K31" s="111">
        <f>+FCL!J62</f>
        <v>1.1823431123048067E-11</v>
      </c>
      <c r="L31" s="111">
        <f>+FCL!K62</f>
        <v>2.7284841053187847E-12</v>
      </c>
      <c r="M31" s="111">
        <f>+FCL!L62</f>
        <v>9.0949470177292824E-13</v>
      </c>
      <c r="N31" s="111">
        <f>+FCL!M62</f>
        <v>0</v>
      </c>
      <c r="O31" s="111">
        <f>+FCL!N62</f>
        <v>0</v>
      </c>
      <c r="P31" s="111">
        <f>+FCL!O62</f>
        <v>1.546140993013978E-11</v>
      </c>
      <c r="Q31" s="111">
        <f>+FCL!P62</f>
        <v>7.73070496506989E-12</v>
      </c>
      <c r="R31" s="111">
        <f>+FCL!Q62</f>
        <v>3.637978807091713E-12</v>
      </c>
      <c r="S31" s="111">
        <f>+FCL!R62</f>
        <v>0</v>
      </c>
    </row>
    <row r="32" spans="1:21" ht="15.75">
      <c r="A32" s="124"/>
      <c r="B32" s="111" t="s">
        <v>14</v>
      </c>
      <c r="C32" s="111">
        <v>4442</v>
      </c>
      <c r="D32" s="111">
        <v>3946</v>
      </c>
      <c r="E32" s="111">
        <v>4275</v>
      </c>
      <c r="F32" s="111">
        <v>8142</v>
      </c>
      <c r="G32" s="111">
        <v>9269</v>
      </c>
      <c r="H32" s="111">
        <v>9670</v>
      </c>
      <c r="I32" s="111">
        <f>VLOOKUP(I$4,'Proyecc Deuda'!$B$50:$H$58,6,0)</f>
        <v>500</v>
      </c>
      <c r="J32" s="111">
        <f>VLOOKUP(J$4,'Proyecc Deuda'!$B$50:$H$58,6,0)</f>
        <v>500</v>
      </c>
      <c r="K32" s="111">
        <f>VLOOKUP(K$4,'Proyecc Deuda'!$B$50:$H$58,6,0)</f>
        <v>500</v>
      </c>
      <c r="L32" s="111">
        <f>VLOOKUP(L$4,'Proyecc Deuda'!$B$50:$H$58,6,0)</f>
        <v>500</v>
      </c>
      <c r="M32" s="111">
        <f>VLOOKUP(M$4,'Proyecc Deuda'!$B$50:$H$58,6,0)</f>
        <v>500</v>
      </c>
      <c r="N32" s="111">
        <f>VLOOKUP(N$4,'Proyecc Deuda'!$B$50:$H$58,6,0)</f>
        <v>500</v>
      </c>
      <c r="O32" s="111">
        <f>VLOOKUP(O$4,'Proyecc Deuda'!$B$50:$H$58,6,0)</f>
        <v>500</v>
      </c>
      <c r="P32" s="111">
        <f>VLOOKUP(P$4,'Proyecc Deuda'!$B$50:$H$58,6,0)</f>
        <v>0</v>
      </c>
      <c r="Q32" s="111">
        <v>0</v>
      </c>
      <c r="R32" s="111">
        <v>0</v>
      </c>
      <c r="S32" s="111">
        <v>0</v>
      </c>
    </row>
    <row r="33" spans="1:19" ht="15.75">
      <c r="A33" s="124"/>
      <c r="B33" s="111" t="s">
        <v>15</v>
      </c>
      <c r="C33" s="111">
        <v>0</v>
      </c>
      <c r="D33" s="111">
        <v>0</v>
      </c>
      <c r="E33" s="111">
        <v>0</v>
      </c>
      <c r="F33" s="111">
        <v>0</v>
      </c>
      <c r="G33" s="111">
        <v>0</v>
      </c>
      <c r="H33" s="111">
        <v>3504</v>
      </c>
      <c r="I33" s="111">
        <f>VLOOKUP(I$4,'Proyecc Deuda'!$B$35:$H$45,6,0)</f>
        <v>4899</v>
      </c>
      <c r="J33" s="111">
        <f>VLOOKUP(J$4,'Proyecc Deuda'!$B$35:$H$45,6,0)</f>
        <v>5167</v>
      </c>
      <c r="K33" s="111">
        <f>VLOOKUP(K$4,'Proyecc Deuda'!$B$35:$H$45,6,0)</f>
        <v>5452</v>
      </c>
      <c r="L33" s="111">
        <f>VLOOKUP(L$4,'Proyecc Deuda'!$B$35:$H$45,6,0)</f>
        <v>5754</v>
      </c>
      <c r="M33" s="111">
        <f>VLOOKUP(M$4,'Proyecc Deuda'!$B$35:$H$45,6,0)</f>
        <v>3830.8</v>
      </c>
      <c r="N33" s="111">
        <f>VLOOKUP(N$4,'Proyecc Deuda'!$B$35:$H$45,6,0)</f>
        <v>3830.8</v>
      </c>
      <c r="O33" s="111">
        <f>VLOOKUP(O$4,'Proyecc Deuda'!$B$35:$H$45,6,0)</f>
        <v>3830.8</v>
      </c>
      <c r="P33" s="111">
        <f>VLOOKUP(P$4,'Proyecc Deuda'!$B$35:$H$45,6,0)</f>
        <v>3830.8</v>
      </c>
      <c r="Q33" s="111">
        <f>VLOOKUP(Q$4,'Proyecc Deuda'!$B$35:$H$45,6,0)</f>
        <v>3830.8</v>
      </c>
      <c r="R33" s="111">
        <f>VLOOKUP(R$4,'Proyecc Deuda'!$B$35:$H$45,6,0)</f>
        <v>0</v>
      </c>
      <c r="S33" s="111">
        <v>0</v>
      </c>
    </row>
    <row r="34" spans="1:19" ht="15.75">
      <c r="A34" s="124"/>
      <c r="B34" s="111" t="s">
        <v>16</v>
      </c>
      <c r="C34" s="111">
        <v>15944</v>
      </c>
      <c r="D34" s="2">
        <v>15393</v>
      </c>
      <c r="E34" s="2">
        <v>23710</v>
      </c>
      <c r="F34" s="2">
        <v>18353</v>
      </c>
      <c r="G34" s="2">
        <v>20304</v>
      </c>
      <c r="H34" s="2">
        <v>33748</v>
      </c>
      <c r="I34" s="111">
        <f>+(-Resultados!H$7*Proyecciones!B43)/360</f>
        <v>28731.942492897473</v>
      </c>
      <c r="J34" s="111">
        <f>+(-Resultados!I$7*Proyecciones!C43)/360</f>
        <v>31194.986754409991</v>
      </c>
      <c r="K34" s="111">
        <f>+(-Resultados!J$7*Proyecciones!D43)/360</f>
        <v>33707.446529230845</v>
      </c>
      <c r="L34" s="111">
        <f>+(-Resultados!K$7*Proyecciones!E43)/360</f>
        <v>35928.779590767263</v>
      </c>
      <c r="M34" s="111">
        <f>+(-Resultados!L$7*Proyecciones!F43)/360</f>
        <v>37940.970342062254</v>
      </c>
      <c r="N34" s="111">
        <f>+(-Resultados!M$7*Proyecciones!G43)/360</f>
        <v>40543.583262515756</v>
      </c>
      <c r="O34" s="111">
        <f>+(-Resultados!N$7*Proyecciones!H43)/360</f>
        <v>42399.856564653528</v>
      </c>
      <c r="P34" s="111">
        <f>+(-Resultados!O$7*Proyecciones!I43)/360</f>
        <v>44352.08446667048</v>
      </c>
      <c r="Q34" s="111">
        <f>+(-Resultados!P$7*Proyecciones!J43)/360</f>
        <v>46405.554909771046</v>
      </c>
      <c r="R34" s="111">
        <f>+(-Resultados!Q$7*Proyecciones!K43)/360</f>
        <v>48844.136467332297</v>
      </c>
      <c r="S34" s="111">
        <f>+(-Resultados!R$7*Proyecciones!L43)/360</f>
        <v>51429.229737402893</v>
      </c>
    </row>
    <row r="35" spans="1:19" ht="15.75">
      <c r="A35" s="124"/>
      <c r="B35" s="111" t="s">
        <v>17</v>
      </c>
      <c r="C35" s="111">
        <f>4920+2508</f>
        <v>7428</v>
      </c>
      <c r="D35" s="2">
        <f>5762+1645</f>
        <v>7407</v>
      </c>
      <c r="E35" s="2">
        <v>6298</v>
      </c>
      <c r="F35" s="2">
        <v>6112</v>
      </c>
      <c r="G35" s="2">
        <v>6501</v>
      </c>
      <c r="H35" s="2">
        <v>8093</v>
      </c>
      <c r="I35" s="111">
        <f>+(ABS(Resultados!H14+Resultados!H16)*Proyecciones!B44)/360</f>
        <v>7229.2350853181988</v>
      </c>
      <c r="J35" s="111">
        <f>+(ABS(Resultados!I14+Resultados!I16)*Proyecciones!C44)/360</f>
        <v>7303.6576592896654</v>
      </c>
      <c r="K35" s="111">
        <f>+(ABS(Resultados!J14+Resultados!J16)*Proyecciones!D44)/360</f>
        <v>7646.5324999184895</v>
      </c>
      <c r="L35" s="111">
        <f>+(ABS(Resultados!K14+Resultados!K16)*Proyecciones!E44)/360</f>
        <v>8105.8895886945547</v>
      </c>
      <c r="M35" s="111">
        <f>+(ABS(Resultados!L14+Resultados!L16)*Proyecciones!F44)/360</f>
        <v>8493.0269083650201</v>
      </c>
      <c r="N35" s="111">
        <f>+(ABS(Resultados!M14+Resultados!M16)*Proyecciones!G44)/360</f>
        <v>8548.9264238990745</v>
      </c>
      <c r="O35" s="111">
        <f>+(ABS(Resultados!N14+Resultados!N16)*Proyecciones!H44)/360</f>
        <v>8821.5020807071451</v>
      </c>
      <c r="P35" s="111">
        <f>+(ABS(Resultados!O14+Resultados!O16)*Proyecciones!I44)/360</f>
        <v>9144.9989349450079</v>
      </c>
      <c r="Q35" s="111">
        <f>+(ABS(Resultados!P14+Resultados!P16)*Proyecciones!J44)/360</f>
        <v>9469.9919943665718</v>
      </c>
      <c r="R35" s="111">
        <f>+(ABS(Resultados!Q14+Resultados!Q16)*Proyecciones!K44)/360</f>
        <v>9766.5508793506597</v>
      </c>
      <c r="S35" s="111">
        <f>+(ABS(Resultados!R14+Resultados!R16)*Proyecciones!L44)/360</f>
        <v>10042.948886640072</v>
      </c>
    </row>
    <row r="36" spans="1:19" ht="15.75">
      <c r="A36" s="124"/>
      <c r="B36" s="111" t="s">
        <v>18</v>
      </c>
      <c r="C36" s="111">
        <v>5609</v>
      </c>
      <c r="D36" s="2">
        <v>7685</v>
      </c>
      <c r="E36" s="2">
        <v>5706</v>
      </c>
      <c r="F36" s="2">
        <v>5884</v>
      </c>
      <c r="G36" s="2">
        <v>8654</v>
      </c>
      <c r="H36" s="2">
        <v>8477</v>
      </c>
      <c r="I36" s="111">
        <f>+(ABS(Resultados!H16+Resultados!H14+Resultados!H7)*Proyecciones!B45)/360</f>
        <v>7876.5084023853142</v>
      </c>
      <c r="J36" s="111">
        <f>+(ABS(Resultados!I16+Resultados!I14+Resultados!I7)*Proyecciones!C45)/360</f>
        <v>8024.9650054237518</v>
      </c>
      <c r="K36" s="111">
        <f>+(ABS(Resultados!J16+Resultados!J14+Resultados!J7)*Proyecciones!D45)/360</f>
        <v>8810.5373717803577</v>
      </c>
      <c r="L36" s="111">
        <f>+(ABS(Resultados!K16+Resultados!K14+Resultados!K7)*Proyecciones!E45)/360</f>
        <v>9755.1474011586288</v>
      </c>
      <c r="M36" s="111">
        <f>+(ABS(Resultados!L16+Resultados!L14+Resultados!L7)*Proyecciones!F45)/360</f>
        <v>9856.4702927383041</v>
      </c>
      <c r="N36" s="111">
        <f>+(ABS(Resultados!M16+Resultados!M14+Resultados!M7)*Proyecciones!G45)/360</f>
        <v>9931.064260423871</v>
      </c>
      <c r="O36" s="111">
        <f>+(ABS(Resultados!N16+Resultados!N14+Resultados!N7)*Proyecciones!H45)/360</f>
        <v>10418.129399102716</v>
      </c>
      <c r="P36" s="111">
        <f>+(ABS(Resultados!O16+Resultados!O14+Resultados!O7)*Proyecciones!I45)/360</f>
        <v>11012.280730336524</v>
      </c>
      <c r="Q36" s="111">
        <f>+(ABS(Resultados!P16+Resultados!P14+Resultados!P7)*Proyecciones!J45)/360</f>
        <v>11571.891018969467</v>
      </c>
      <c r="R36" s="111">
        <f>+(ABS(Resultados!Q16+Resultados!Q14+Resultados!Q7)*Proyecciones!K45)/360</f>
        <v>12083.40854941681</v>
      </c>
      <c r="S36" s="111">
        <f>+(ABS(Resultados!R16+Resultados!R14+Resultados!R7)*Proyecciones!L45)/360</f>
        <v>12655.455988259911</v>
      </c>
    </row>
    <row r="37" spans="1:19" ht="15.75">
      <c r="A37" s="124"/>
      <c r="B37" s="111" t="s">
        <v>19</v>
      </c>
      <c r="C37" s="111"/>
      <c r="D37" s="2">
        <v>0</v>
      </c>
      <c r="E37" s="2">
        <v>0</v>
      </c>
      <c r="F37" s="2">
        <v>2299</v>
      </c>
      <c r="G37" s="2">
        <v>2390</v>
      </c>
      <c r="H37" s="2">
        <v>2239</v>
      </c>
      <c r="I37" s="111">
        <f>-Resultados!H32</f>
        <v>2079.155665505381</v>
      </c>
      <c r="J37" s="111">
        <f>-Resultados!I32</f>
        <v>2013.153597995642</v>
      </c>
      <c r="K37" s="111">
        <f>-Resultados!J32</f>
        <v>1900.6759042612218</v>
      </c>
      <c r="L37" s="111">
        <f>-Resultados!K32</f>
        <v>2146.592160468872</v>
      </c>
      <c r="M37" s="111">
        <f>-Resultados!L32</f>
        <v>4765.9825077476144</v>
      </c>
      <c r="N37" s="111">
        <f>-Resultados!M32</f>
        <v>3406.6054122404339</v>
      </c>
      <c r="O37" s="111">
        <f>-Resultados!N32</f>
        <v>3736.2068986508111</v>
      </c>
      <c r="P37" s="111">
        <f>-Resultados!O32</f>
        <v>4204.4738260426739</v>
      </c>
      <c r="Q37" s="111">
        <f>-Resultados!P32</f>
        <v>4720.5970352956747</v>
      </c>
      <c r="R37" s="111">
        <f>-Resultados!Q32</f>
        <v>5011.3516255765371</v>
      </c>
      <c r="S37" s="111">
        <f>-Resultados!R32</f>
        <v>5466.2771433652078</v>
      </c>
    </row>
    <row r="38" spans="1:19" ht="15.75">
      <c r="A38" s="124"/>
      <c r="B38" s="111" t="s">
        <v>307</v>
      </c>
      <c r="C38" s="111">
        <v>13385</v>
      </c>
      <c r="D38" s="2">
        <v>12664</v>
      </c>
      <c r="E38" s="2">
        <v>10638</v>
      </c>
      <c r="F38" s="2">
        <v>10005</v>
      </c>
      <c r="G38" s="2">
        <v>10630</v>
      </c>
      <c r="H38" s="2">
        <v>6832</v>
      </c>
      <c r="I38" s="111">
        <f>+Proyecciones!B46*Resultados!H$6</f>
        <v>9417.7357380958929</v>
      </c>
      <c r="J38" s="111">
        <f>+Proyecciones!C46*Resultados!I$6</f>
        <v>10165.862652538266</v>
      </c>
      <c r="K38" s="111">
        <f>+Proyecciones!D46*Resultados!J$6</f>
        <v>10064.326459783673</v>
      </c>
      <c r="L38" s="111">
        <f>+Proyecciones!E46*Resultados!K$6</f>
        <v>11098.572623527811</v>
      </c>
      <c r="M38" s="111">
        <f>+Proyecciones!F46*Resultados!L$6</f>
        <v>11602.456274452508</v>
      </c>
      <c r="N38" s="111">
        <f>+Proyecciones!G46*Resultados!M$6</f>
        <v>12208.89493645338</v>
      </c>
      <c r="O38" s="111">
        <f>+Proyecciones!H46*Resultados!N$6</f>
        <v>12843.728802556107</v>
      </c>
      <c r="P38" s="111">
        <f>+Proyecciones!I46*Resultados!O$6</f>
        <v>13514.428079783258</v>
      </c>
      <c r="Q38" s="111">
        <f>+Proyecciones!J46*Resultados!P$6</f>
        <v>14223.137042168262</v>
      </c>
      <c r="R38" s="111">
        <f>+Proyecciones!K46*Resultados!Q$6</f>
        <v>14972.132737926162</v>
      </c>
      <c r="S38" s="111">
        <f>+Proyecciones!L46*Resultados!R$6</f>
        <v>15763.833382207693</v>
      </c>
    </row>
    <row r="39" spans="1:19" ht="16.5" thickBot="1">
      <c r="A39" s="124"/>
      <c r="B39" s="111" t="s">
        <v>309</v>
      </c>
      <c r="C39" s="111">
        <v>0</v>
      </c>
      <c r="D39" s="111">
        <v>0</v>
      </c>
      <c r="E39" s="111">
        <v>0</v>
      </c>
      <c r="F39" s="111">
        <v>670</v>
      </c>
      <c r="G39" s="111">
        <v>670</v>
      </c>
      <c r="H39" s="111">
        <v>670</v>
      </c>
      <c r="I39" s="111">
        <f>VLOOKUP(I$4,'Proyecc Deuda'!$B$63:$H$71,6,0)</f>
        <v>670</v>
      </c>
      <c r="J39" s="111">
        <f>VLOOKUP(J$4,'Proyecc Deuda'!$B$63:$H$71,6,0)</f>
        <v>670</v>
      </c>
      <c r="K39" s="111">
        <f>VLOOKUP(K$4,'Proyecc Deuda'!$B$63:$H$71,6,0)</f>
        <v>670</v>
      </c>
      <c r="L39" s="111">
        <f>VLOOKUP(L$4,'Proyecc Deuda'!$B$63:$H$71,6,0)</f>
        <v>670</v>
      </c>
      <c r="M39" s="111">
        <f>VLOOKUP(M$4,'Proyecc Deuda'!$B$63:$H$71,6,0)</f>
        <v>670</v>
      </c>
      <c r="N39" s="111">
        <f>VLOOKUP(N$4,'Proyecc Deuda'!$B$63:$H$71,6,0)</f>
        <v>670</v>
      </c>
      <c r="O39" s="111">
        <f>VLOOKUP(O$4,'Proyecc Deuda'!$B$63:$H$71,6,0)</f>
        <v>669</v>
      </c>
      <c r="P39" s="111">
        <f>VLOOKUP(P$4,'Proyecc Deuda'!$B$63:$H$71,6,0)</f>
        <v>0</v>
      </c>
      <c r="Q39" s="111">
        <v>0</v>
      </c>
      <c r="R39" s="111">
        <v>0</v>
      </c>
      <c r="S39" s="111">
        <v>0</v>
      </c>
    </row>
    <row r="40" spans="1:19" ht="15.75">
      <c r="A40" s="124" t="s">
        <v>20</v>
      </c>
      <c r="B40" s="111"/>
      <c r="C40" s="4">
        <f>SUM(C32:C39)</f>
        <v>46808</v>
      </c>
      <c r="D40" s="4">
        <f>SUM(D32:D39)</f>
        <v>47095</v>
      </c>
      <c r="E40" s="4">
        <f>SUM(E31:E39)</f>
        <v>50627</v>
      </c>
      <c r="F40" s="4">
        <f>SUM(F32:F39)</f>
        <v>51465</v>
      </c>
      <c r="G40" s="4">
        <f>SUM(G32:G39)</f>
        <v>58418</v>
      </c>
      <c r="H40" s="4">
        <f>SUM(H32:H39)</f>
        <v>73233</v>
      </c>
      <c r="I40" s="112">
        <f>SUM(I32:I39)+I31</f>
        <v>61403.577384202261</v>
      </c>
      <c r="J40" s="112">
        <f t="shared" ref="J40:S40" si="5">SUM(J32:J39)+J31</f>
        <v>65039.625669657311</v>
      </c>
      <c r="K40" s="112">
        <f t="shared" si="5"/>
        <v>68751.518764974608</v>
      </c>
      <c r="L40" s="112">
        <f t="shared" si="5"/>
        <v>73958.981364617124</v>
      </c>
      <c r="M40" s="112">
        <f t="shared" si="5"/>
        <v>77659.706325365696</v>
      </c>
      <c r="N40" s="112">
        <f t="shared" si="5"/>
        <v>79639.874295532514</v>
      </c>
      <c r="O40" s="112">
        <f t="shared" si="5"/>
        <v>83219.223745670315</v>
      </c>
      <c r="P40" s="112">
        <f t="shared" si="5"/>
        <v>86059.066037777957</v>
      </c>
      <c r="Q40" s="112">
        <f t="shared" si="5"/>
        <v>90221.972000571055</v>
      </c>
      <c r="R40" s="112">
        <f t="shared" si="5"/>
        <v>90677.580259602473</v>
      </c>
      <c r="S40" s="112">
        <f t="shared" si="5"/>
        <v>95357.745137875783</v>
      </c>
    </row>
    <row r="41" spans="1:19" ht="15.75">
      <c r="A41" s="124"/>
      <c r="B41" s="111"/>
      <c r="C41" s="111"/>
      <c r="D41" s="2"/>
      <c r="E41" s="2"/>
      <c r="F41" s="2"/>
      <c r="G41" s="2"/>
      <c r="H41" s="2"/>
      <c r="I41" s="111"/>
      <c r="J41" s="111"/>
      <c r="K41" s="111"/>
      <c r="L41" s="2"/>
      <c r="M41" s="2"/>
      <c r="N41" s="2"/>
      <c r="O41" s="2"/>
      <c r="P41" s="111"/>
      <c r="Q41" s="111"/>
      <c r="R41" s="111"/>
      <c r="S41" s="111"/>
    </row>
    <row r="42" spans="1:19" ht="15.75">
      <c r="A42" s="124" t="s">
        <v>21</v>
      </c>
      <c r="B42" s="111"/>
      <c r="C42" s="111"/>
      <c r="D42" s="2"/>
      <c r="E42" s="2"/>
      <c r="F42" s="2"/>
      <c r="G42" s="2"/>
      <c r="H42" s="2"/>
      <c r="I42" s="111"/>
      <c r="J42" s="111"/>
      <c r="K42" s="111"/>
      <c r="L42" s="2"/>
      <c r="M42" s="2"/>
      <c r="N42" s="2"/>
      <c r="O42" s="2"/>
      <c r="P42" s="111"/>
      <c r="Q42" s="111"/>
      <c r="R42" s="111"/>
      <c r="S42" s="111"/>
    </row>
    <row r="43" spans="1:19" ht="15.75">
      <c r="A43" s="124"/>
      <c r="B43" s="111" t="s">
        <v>14</v>
      </c>
      <c r="C43" s="111">
        <v>10564</v>
      </c>
      <c r="D43" s="111">
        <v>6804</v>
      </c>
      <c r="E43" s="111">
        <v>6649</v>
      </c>
      <c r="F43" s="111">
        <f>335+4500</f>
        <v>4835</v>
      </c>
      <c r="G43" s="111">
        <v>4000</v>
      </c>
      <c r="H43" s="111">
        <v>3500</v>
      </c>
      <c r="I43" s="111">
        <f>VLOOKUP(I$4,'Proyecc Deuda'!$B$50:$H$58,7,0)</f>
        <v>3000</v>
      </c>
      <c r="J43" s="111">
        <f>VLOOKUP(J$4,'Proyecc Deuda'!$B$50:$H$58,7,0)</f>
        <v>2500</v>
      </c>
      <c r="K43" s="111">
        <f>VLOOKUP(K$4,'Proyecc Deuda'!$B$50:$H$58,7,0)</f>
        <v>2000</v>
      </c>
      <c r="L43" s="111">
        <f>VLOOKUP(L$4,'Proyecc Deuda'!$B$50:$H$58,7,0)</f>
        <v>1500</v>
      </c>
      <c r="M43" s="111">
        <f>VLOOKUP(M$4,'Proyecc Deuda'!$B$50:$H$58,7,0)</f>
        <v>1000</v>
      </c>
      <c r="N43" s="111">
        <f>VLOOKUP(N$4,'Proyecc Deuda'!$B$50:$H$58,7,0)</f>
        <v>500</v>
      </c>
      <c r="O43" s="111">
        <f>VLOOKUP(O$4,'Proyecc Deuda'!$B$50:$H$58,7,0)</f>
        <v>0</v>
      </c>
      <c r="P43" s="111">
        <f>VLOOKUP(P$4,'Proyecc Deuda'!$B$50:$H$58,7,0)</f>
        <v>0</v>
      </c>
      <c r="Q43" s="111">
        <v>0</v>
      </c>
      <c r="R43" s="111">
        <v>0</v>
      </c>
      <c r="S43" s="111">
        <v>0</v>
      </c>
    </row>
    <row r="44" spans="1:19" ht="15.75">
      <c r="A44" s="124"/>
      <c r="B44" s="111" t="s">
        <v>15</v>
      </c>
      <c r="C44" s="111">
        <v>0</v>
      </c>
      <c r="D44" s="111">
        <v>0</v>
      </c>
      <c r="E44" s="111">
        <v>0</v>
      </c>
      <c r="F44" s="111">
        <v>6362</v>
      </c>
      <c r="G44" s="111">
        <v>29089</v>
      </c>
      <c r="H44" s="111">
        <v>40426</v>
      </c>
      <c r="I44" s="111">
        <f>VLOOKUP(I$4,'Proyecc Deuda'!$B$35:$H$45,7,0)</f>
        <v>35527</v>
      </c>
      <c r="J44" s="111">
        <f>VLOOKUP(J$4,'Proyecc Deuda'!$B$35:$H$45,7,0)</f>
        <v>30360</v>
      </c>
      <c r="K44" s="111">
        <f>VLOOKUP(K$4,'Proyecc Deuda'!$B$35:$H$45,7,0)</f>
        <v>24908</v>
      </c>
      <c r="L44" s="111">
        <f>VLOOKUP(L$4,'Proyecc Deuda'!$B$35:$H$45,7,0)</f>
        <v>19154</v>
      </c>
      <c r="M44" s="111">
        <f>VLOOKUP(M$4,'Proyecc Deuda'!$B$35:$H$45,7,0)</f>
        <v>15323.2</v>
      </c>
      <c r="N44" s="111">
        <f>VLOOKUP(N$4,'Proyecc Deuda'!$B$35:$H$45,7,0)</f>
        <v>11492.400000000001</v>
      </c>
      <c r="O44" s="111">
        <f>VLOOKUP(O$4,'Proyecc Deuda'!$B$35:$H$45,7,0)</f>
        <v>7661.6000000000013</v>
      </c>
      <c r="P44" s="111">
        <f>VLOOKUP(P$4,'Proyecc Deuda'!$B$35:$H$45,7,0)</f>
        <v>3830.8000000000011</v>
      </c>
      <c r="Q44" s="111">
        <f>VLOOKUP(Q$4,'Proyecc Deuda'!$B$35:$H$45,7,0)</f>
        <v>0</v>
      </c>
      <c r="R44" s="111">
        <f>VLOOKUP(R$4,'Proyecc Deuda'!$B$35:$H$45,7,0)</f>
        <v>0</v>
      </c>
      <c r="S44" s="111">
        <v>0</v>
      </c>
    </row>
    <row r="45" spans="1:19" ht="15.75">
      <c r="A45" s="124"/>
      <c r="B45" s="111" t="s">
        <v>16</v>
      </c>
      <c r="C45" s="111">
        <v>9118</v>
      </c>
      <c r="D45" s="2">
        <v>7919</v>
      </c>
      <c r="E45" s="2">
        <v>6749</v>
      </c>
      <c r="F45" s="2">
        <v>6062</v>
      </c>
      <c r="G45" s="2">
        <v>5282</v>
      </c>
      <c r="H45" s="2">
        <v>4736</v>
      </c>
      <c r="I45" s="111">
        <f>+H45-Proyecciones!B47</f>
        <v>4076</v>
      </c>
      <c r="J45" s="111">
        <f>+I45-Proyecciones!C47</f>
        <v>3416</v>
      </c>
      <c r="K45" s="111">
        <f>+J45-Proyecciones!D47</f>
        <v>2756</v>
      </c>
      <c r="L45" s="111">
        <f>+K45-Proyecciones!E47</f>
        <v>2096</v>
      </c>
      <c r="M45" s="111">
        <f>+L45-Proyecciones!F47</f>
        <v>1436</v>
      </c>
      <c r="N45" s="111">
        <f>+M45-Proyecciones!G47</f>
        <v>776</v>
      </c>
      <c r="O45" s="111">
        <f>+N45-Proyecciones!H47</f>
        <v>116</v>
      </c>
      <c r="P45" s="111">
        <f>+O45-Proyecciones!I47</f>
        <v>0</v>
      </c>
      <c r="Q45" s="111">
        <f>+P45-Proyecciones!J47</f>
        <v>0</v>
      </c>
      <c r="R45" s="111">
        <f>+Q45-Proyecciones!K47</f>
        <v>0</v>
      </c>
      <c r="S45" s="111">
        <f>+R45-Proyecciones!L47</f>
        <v>0</v>
      </c>
    </row>
    <row r="46" spans="1:19" ht="15.75">
      <c r="A46" s="124"/>
      <c r="B46" s="111" t="s">
        <v>308</v>
      </c>
      <c r="C46" s="111">
        <f>4654+2916</f>
        <v>7570</v>
      </c>
      <c r="D46" s="2">
        <v>4395</v>
      </c>
      <c r="E46" s="2">
        <v>3603</v>
      </c>
      <c r="F46" s="2">
        <v>3215</v>
      </c>
      <c r="G46" s="2">
        <v>2857</v>
      </c>
      <c r="H46" s="2">
        <v>2500</v>
      </c>
      <c r="I46" s="111">
        <f>+H46-Proyecciones!B48</f>
        <v>2143</v>
      </c>
      <c r="J46" s="111">
        <f>+I46-Proyecciones!C48</f>
        <v>1786.0008</v>
      </c>
      <c r="K46" s="111">
        <f>+J46-Proyecciones!D48</f>
        <v>1429.0024000000001</v>
      </c>
      <c r="L46" s="111">
        <f>+K46-Proyecciones!E48</f>
        <v>1072.0048000000002</v>
      </c>
      <c r="M46" s="111">
        <f>+L46-Proyecciones!F48</f>
        <v>715.00800000000027</v>
      </c>
      <c r="N46" s="111">
        <f>+M46-Proyecciones!G48</f>
        <v>358.0120000000004</v>
      </c>
      <c r="O46" s="111">
        <f>+N46-Proyecciones!H48</f>
        <v>1.2000000000398359E-2</v>
      </c>
      <c r="P46" s="111">
        <f>+O46-Proyecciones!I48</f>
        <v>1.2000000000398359E-2</v>
      </c>
      <c r="Q46" s="111">
        <f>+P46-Proyecciones!J48</f>
        <v>1.2000000000398359E-2</v>
      </c>
      <c r="R46" s="111">
        <f>+Q46-Proyecciones!K48</f>
        <v>1.2000000000398359E-2</v>
      </c>
      <c r="S46" s="111">
        <f>+R46-Proyecciones!L48</f>
        <v>1.2000000000398359E-2</v>
      </c>
    </row>
    <row r="47" spans="1:19" ht="15.75">
      <c r="A47" s="124"/>
      <c r="B47" s="111" t="s">
        <v>307</v>
      </c>
      <c r="C47" s="111">
        <v>8038</v>
      </c>
      <c r="D47" s="2">
        <v>7533</v>
      </c>
      <c r="E47" s="2">
        <v>7631</v>
      </c>
      <c r="F47" s="2">
        <v>14009</v>
      </c>
      <c r="G47" s="2">
        <v>518</v>
      </c>
      <c r="H47" s="2">
        <v>2130</v>
      </c>
      <c r="I47" s="111">
        <f>+H47-Proyecciones!B49</f>
        <v>1566</v>
      </c>
      <c r="J47" s="111">
        <f>+I47-Proyecciones!C49</f>
        <v>1002</v>
      </c>
      <c r="K47" s="111">
        <f>+J47-Proyecciones!D49</f>
        <v>418</v>
      </c>
      <c r="L47" s="111">
        <f>+K47-Proyecciones!E49</f>
        <v>155</v>
      </c>
      <c r="M47" s="111">
        <f>+L47-Proyecciones!F49</f>
        <v>0</v>
      </c>
      <c r="N47" s="111">
        <f>+M47-Proyecciones!G49</f>
        <v>0</v>
      </c>
      <c r="O47" s="111">
        <f>+N47-Proyecciones!H49</f>
        <v>0</v>
      </c>
      <c r="P47" s="111">
        <f>+O47-Proyecciones!I49</f>
        <v>0</v>
      </c>
      <c r="Q47" s="111">
        <f>+P47-Proyecciones!J49</f>
        <v>0</v>
      </c>
      <c r="R47" s="111">
        <f>+Q47-Proyecciones!K49</f>
        <v>0</v>
      </c>
      <c r="S47" s="111">
        <f>+R47-Proyecciones!L49</f>
        <v>0</v>
      </c>
    </row>
    <row r="48" spans="1:19" ht="15.75">
      <c r="A48" s="124"/>
      <c r="B48" s="111" t="s">
        <v>310</v>
      </c>
      <c r="C48" s="111">
        <v>0</v>
      </c>
      <c r="D48" s="2">
        <v>0</v>
      </c>
      <c r="E48" s="2">
        <v>0</v>
      </c>
      <c r="F48" s="2">
        <v>0</v>
      </c>
      <c r="G48" s="2">
        <v>4334</v>
      </c>
      <c r="H48" s="2">
        <v>1213</v>
      </c>
      <c r="I48" s="111">
        <f>+H48-Proyecciones!B50</f>
        <v>0</v>
      </c>
      <c r="J48" s="111">
        <f>+I48-Proyecciones!C50</f>
        <v>0</v>
      </c>
      <c r="K48" s="111">
        <f>+J48-Proyecciones!D50</f>
        <v>0</v>
      </c>
      <c r="L48" s="111">
        <f>+K48-Proyecciones!E50</f>
        <v>0</v>
      </c>
      <c r="M48" s="111">
        <f>+L48-Proyecciones!F50</f>
        <v>0</v>
      </c>
      <c r="N48" s="111">
        <f>+M48-Proyecciones!G50</f>
        <v>0</v>
      </c>
      <c r="O48" s="111">
        <f>+N48-Proyecciones!H50</f>
        <v>0</v>
      </c>
      <c r="P48" s="111">
        <f>+O48-Proyecciones!I50</f>
        <v>0</v>
      </c>
      <c r="Q48" s="111">
        <f>+P48-Proyecciones!J50</f>
        <v>0</v>
      </c>
      <c r="R48" s="111">
        <f>+Q48-Proyecciones!K50</f>
        <v>0</v>
      </c>
      <c r="S48" s="111">
        <f>+R48-Proyecciones!L50</f>
        <v>0</v>
      </c>
    </row>
    <row r="49" spans="1:19" ht="15.75">
      <c r="A49" s="124"/>
      <c r="B49" s="111" t="s">
        <v>22</v>
      </c>
      <c r="C49" s="111">
        <v>3421</v>
      </c>
      <c r="D49" s="2">
        <v>2425</v>
      </c>
      <c r="E49" s="2">
        <v>0</v>
      </c>
      <c r="F49" s="2">
        <v>0</v>
      </c>
      <c r="G49" s="2">
        <v>0</v>
      </c>
      <c r="H49" s="2">
        <v>0</v>
      </c>
      <c r="I49" s="111">
        <f>+Resultados!H$6*Proyecciones!B51</f>
        <v>0</v>
      </c>
      <c r="J49" s="111">
        <f>+Resultados!I$6*Proyecciones!C51</f>
        <v>0</v>
      </c>
      <c r="K49" s="111">
        <f>+Resultados!J$6*Proyecciones!D51</f>
        <v>0</v>
      </c>
      <c r="L49" s="111">
        <f>+Resultados!K$6*Proyecciones!E51</f>
        <v>0</v>
      </c>
      <c r="M49" s="111">
        <f>+Resultados!L$6*Proyecciones!F51</f>
        <v>0</v>
      </c>
      <c r="N49" s="111">
        <f>+Resultados!M$6*Proyecciones!G51</f>
        <v>0</v>
      </c>
      <c r="O49" s="111">
        <f>+Resultados!N$6*Proyecciones!H51</f>
        <v>0</v>
      </c>
      <c r="P49" s="111">
        <f>+Resultados!O$6*Proyecciones!I51</f>
        <v>0</v>
      </c>
      <c r="Q49" s="111">
        <f>+Resultados!P$6*Proyecciones!J51</f>
        <v>0</v>
      </c>
      <c r="R49" s="111">
        <f>+Resultados!Q$6*Proyecciones!K51</f>
        <v>0</v>
      </c>
      <c r="S49" s="111">
        <f>+Resultados!R$6*Proyecciones!L51</f>
        <v>0</v>
      </c>
    </row>
    <row r="50" spans="1:19" ht="16.5" thickBot="1">
      <c r="A50" s="124"/>
      <c r="B50" s="111" t="s">
        <v>309</v>
      </c>
      <c r="C50" s="111">
        <v>6707</v>
      </c>
      <c r="D50" s="111">
        <v>6707</v>
      </c>
      <c r="E50" s="111">
        <v>6697</v>
      </c>
      <c r="F50" s="111">
        <v>6027</v>
      </c>
      <c r="G50" s="111">
        <v>5358</v>
      </c>
      <c r="H50" s="111">
        <v>4689</v>
      </c>
      <c r="I50" s="111">
        <f>VLOOKUP(I$4,'Proyecc Deuda'!$B$63:$H$71,7,0)</f>
        <v>4019</v>
      </c>
      <c r="J50" s="111">
        <f>VLOOKUP(J$4,'Proyecc Deuda'!$B$63:$H$71,7,0)</f>
        <v>3349</v>
      </c>
      <c r="K50" s="111">
        <f>VLOOKUP(K$4,'Proyecc Deuda'!$B$63:$H$71,7,0)</f>
        <v>2679</v>
      </c>
      <c r="L50" s="111">
        <f>VLOOKUP(L$4,'Proyecc Deuda'!$B$63:$H$71,7,0)</f>
        <v>2009</v>
      </c>
      <c r="M50" s="111">
        <f>VLOOKUP(M$4,'Proyecc Deuda'!$B$63:$H$71,7,0)</f>
        <v>1339</v>
      </c>
      <c r="N50" s="111">
        <f>VLOOKUP(N$4,'Proyecc Deuda'!$B$63:$H$71,7,0)</f>
        <v>669</v>
      </c>
      <c r="O50" s="111">
        <f>VLOOKUP(O$4,'Proyecc Deuda'!$B$63:$H$71,7,0)</f>
        <v>0</v>
      </c>
      <c r="P50" s="111">
        <f>VLOOKUP(P$4,'Proyecc Deuda'!$B$63:$H$71,7,0)</f>
        <v>0</v>
      </c>
      <c r="Q50" s="111">
        <v>0</v>
      </c>
      <c r="R50" s="111">
        <v>0</v>
      </c>
      <c r="S50" s="111">
        <v>0</v>
      </c>
    </row>
    <row r="51" spans="1:19" ht="15.75">
      <c r="A51" s="1" t="s">
        <v>23</v>
      </c>
      <c r="B51" s="2"/>
      <c r="C51" s="4">
        <f t="shared" ref="C51:P51" si="6">SUM(C43:C50)</f>
        <v>45418</v>
      </c>
      <c r="D51" s="4">
        <f t="shared" si="6"/>
        <v>35783</v>
      </c>
      <c r="E51" s="4">
        <f t="shared" si="6"/>
        <v>31329</v>
      </c>
      <c r="F51" s="4">
        <f t="shared" si="6"/>
        <v>40510</v>
      </c>
      <c r="G51" s="4">
        <f t="shared" si="6"/>
        <v>51438</v>
      </c>
      <c r="H51" s="4">
        <f>SUM(H43:H50)</f>
        <v>59194</v>
      </c>
      <c r="I51" s="112">
        <f>SUM(I43:I50)</f>
        <v>50331</v>
      </c>
      <c r="J51" s="112">
        <f t="shared" si="6"/>
        <v>42413.000800000002</v>
      </c>
      <c r="K51" s="112">
        <f t="shared" si="6"/>
        <v>34190.002399999998</v>
      </c>
      <c r="L51" s="4">
        <f>SUM(L43:L50)</f>
        <v>25986.004799999999</v>
      </c>
      <c r="M51" s="4">
        <f t="shared" si="6"/>
        <v>19813.208000000002</v>
      </c>
      <c r="N51" s="4">
        <f t="shared" si="6"/>
        <v>13795.412000000002</v>
      </c>
      <c r="O51" s="4">
        <f t="shared" si="6"/>
        <v>7777.6120000000019</v>
      </c>
      <c r="P51" s="4">
        <f t="shared" si="6"/>
        <v>3830.8120000000017</v>
      </c>
      <c r="Q51" s="4">
        <f>SUM(Q43:Q50)</f>
        <v>1.2000000000398359E-2</v>
      </c>
      <c r="R51" s="4">
        <f>SUM(R43:R50)</f>
        <v>1.2000000000398359E-2</v>
      </c>
      <c r="S51" s="4">
        <f>SUM(S43:S50)</f>
        <v>1.2000000000398359E-2</v>
      </c>
    </row>
    <row r="52" spans="1:19" ht="15.75">
      <c r="A52" s="1"/>
      <c r="B52" s="2"/>
      <c r="C52" s="2"/>
      <c r="D52" s="2"/>
      <c r="E52" s="2"/>
      <c r="F52" s="2"/>
      <c r="G52" s="2"/>
      <c r="H52" s="2"/>
      <c r="I52" s="111"/>
      <c r="J52" s="111"/>
      <c r="K52" s="111"/>
      <c r="L52" s="2"/>
      <c r="M52" s="2"/>
      <c r="N52" s="2"/>
      <c r="O52" s="2"/>
      <c r="P52" s="2"/>
      <c r="Q52" s="2"/>
      <c r="R52" s="2"/>
      <c r="S52" s="2"/>
    </row>
    <row r="53" spans="1:19" ht="15.75">
      <c r="A53" s="1"/>
      <c r="B53" s="2"/>
      <c r="C53" s="2"/>
      <c r="D53" s="2"/>
      <c r="E53" s="2"/>
      <c r="F53" s="2"/>
      <c r="G53" s="2"/>
      <c r="H53" s="2"/>
      <c r="I53" s="111"/>
      <c r="J53" s="111"/>
      <c r="K53" s="111"/>
      <c r="L53" s="2"/>
      <c r="M53" s="2"/>
      <c r="N53" s="2"/>
      <c r="O53" s="2"/>
      <c r="P53" s="2"/>
      <c r="Q53" s="2"/>
      <c r="R53" s="2"/>
      <c r="S53" s="2"/>
    </row>
    <row r="54" spans="1:19" ht="16.5" thickBot="1">
      <c r="A54" s="1"/>
      <c r="B54" s="2"/>
      <c r="C54" s="2"/>
      <c r="D54" s="2"/>
      <c r="E54" s="2"/>
      <c r="F54" s="2"/>
      <c r="G54" s="2"/>
      <c r="H54" s="2"/>
      <c r="I54" s="111"/>
      <c r="J54" s="111"/>
      <c r="K54" s="111"/>
      <c r="L54" s="2"/>
      <c r="M54" s="2"/>
      <c r="N54" s="2"/>
      <c r="O54" s="2"/>
      <c r="P54" s="2"/>
      <c r="Q54" s="2"/>
      <c r="R54" s="2"/>
      <c r="S54" s="2"/>
    </row>
    <row r="55" spans="1:19" ht="17.25" thickTop="1" thickBot="1">
      <c r="A55" s="5" t="s">
        <v>24</v>
      </c>
      <c r="B55" s="5"/>
      <c r="C55" s="5">
        <f t="shared" ref="C55:H55" si="7">C40+C51</f>
        <v>92226</v>
      </c>
      <c r="D55" s="5">
        <f t="shared" si="7"/>
        <v>82878</v>
      </c>
      <c r="E55" s="5">
        <f t="shared" si="7"/>
        <v>81956</v>
      </c>
      <c r="F55" s="5">
        <f t="shared" si="7"/>
        <v>91975</v>
      </c>
      <c r="G55" s="5">
        <f t="shared" si="7"/>
        <v>109856</v>
      </c>
      <c r="H55" s="5">
        <f t="shared" si="7"/>
        <v>132427</v>
      </c>
      <c r="I55" s="5">
        <f t="shared" ref="I55:P55" si="8">I40+I51</f>
        <v>111734.57738420226</v>
      </c>
      <c r="J55" s="5">
        <f t="shared" si="8"/>
        <v>107452.62646965732</v>
      </c>
      <c r="K55" s="5">
        <f t="shared" si="8"/>
        <v>102941.52116497461</v>
      </c>
      <c r="L55" s="5">
        <f t="shared" si="8"/>
        <v>99944.986164617119</v>
      </c>
      <c r="M55" s="5">
        <f t="shared" si="8"/>
        <v>97472.914325365695</v>
      </c>
      <c r="N55" s="5">
        <f t="shared" si="8"/>
        <v>93435.286295532511</v>
      </c>
      <c r="O55" s="5">
        <f t="shared" si="8"/>
        <v>90996.835745670323</v>
      </c>
      <c r="P55" s="5">
        <f t="shared" si="8"/>
        <v>89889.878037777962</v>
      </c>
      <c r="Q55" s="5">
        <f>Q40+Q51</f>
        <v>90221.984000571058</v>
      </c>
      <c r="R55" s="5">
        <f>R40+R51</f>
        <v>90677.592259602476</v>
      </c>
      <c r="S55" s="5">
        <f>S40+S51</f>
        <v>95357.757137875786</v>
      </c>
    </row>
    <row r="56" spans="1:19" ht="16.5" thickTop="1">
      <c r="A56" s="1"/>
      <c r="B56" s="2"/>
      <c r="C56" s="2"/>
      <c r="D56" s="88"/>
      <c r="E56" s="88"/>
      <c r="F56" s="88"/>
      <c r="G56" s="88"/>
      <c r="H56" s="274"/>
      <c r="I56" s="111"/>
      <c r="J56" s="111"/>
      <c r="K56" s="111"/>
      <c r="L56" s="2"/>
      <c r="M56" s="2"/>
      <c r="N56" s="2"/>
      <c r="O56" s="2"/>
      <c r="P56" s="2"/>
      <c r="Q56" s="2"/>
      <c r="R56" s="2"/>
      <c r="S56" s="2"/>
    </row>
    <row r="57" spans="1:19" ht="15.75">
      <c r="A57" s="1"/>
      <c r="B57" s="2"/>
      <c r="C57" s="2"/>
      <c r="D57" s="88"/>
      <c r="E57" s="88"/>
      <c r="F57" s="88"/>
      <c r="G57" s="88"/>
      <c r="H57" s="88"/>
      <c r="I57" s="111"/>
      <c r="J57" s="111"/>
      <c r="K57" s="111"/>
      <c r="L57" s="2"/>
      <c r="M57" s="2"/>
      <c r="N57" s="2"/>
      <c r="O57" s="2"/>
      <c r="P57" s="2"/>
      <c r="Q57" s="2"/>
      <c r="R57" s="2"/>
      <c r="S57" s="2"/>
    </row>
    <row r="58" spans="1:19" ht="15.75">
      <c r="A58" s="1" t="s">
        <v>25</v>
      </c>
      <c r="B58" s="2"/>
      <c r="C58" s="2"/>
      <c r="H58"/>
      <c r="I58" s="111"/>
      <c r="J58" s="111"/>
      <c r="K58" s="111"/>
      <c r="L58" s="2"/>
      <c r="M58" s="2"/>
      <c r="N58" s="2"/>
      <c r="O58" s="2"/>
      <c r="P58" s="2"/>
      <c r="Q58" s="2"/>
      <c r="R58" s="2"/>
      <c r="S58" s="2"/>
    </row>
    <row r="59" spans="1:19" ht="15.75">
      <c r="A59" s="1"/>
      <c r="B59" s="2" t="s">
        <v>353</v>
      </c>
      <c r="C59" s="2">
        <v>117737</v>
      </c>
      <c r="D59" s="2">
        <v>117737</v>
      </c>
      <c r="E59" s="2">
        <v>117737</v>
      </c>
      <c r="F59" s="2">
        <v>117737</v>
      </c>
      <c r="G59" s="2">
        <v>117737</v>
      </c>
      <c r="H59" s="2">
        <v>117737</v>
      </c>
      <c r="I59" s="111">
        <f>+G59+Proyecciones!B69</f>
        <v>117737</v>
      </c>
      <c r="J59" s="111">
        <f>+I59+Proyecciones!C69</f>
        <v>117737</v>
      </c>
      <c r="K59" s="111">
        <f>+J59+Proyecciones!D69</f>
        <v>117737</v>
      </c>
      <c r="L59" s="111">
        <f>+K59+Proyecciones!E69</f>
        <v>117737</v>
      </c>
      <c r="M59" s="111">
        <f>+L59+Proyecciones!F69</f>
        <v>117737</v>
      </c>
      <c r="N59" s="111">
        <f>+M59+Proyecciones!G69</f>
        <v>117737</v>
      </c>
      <c r="O59" s="111">
        <f>+N59+Proyecciones!H69</f>
        <v>117737</v>
      </c>
      <c r="P59" s="111">
        <f>+O59+Proyecciones!I69</f>
        <v>117737</v>
      </c>
      <c r="Q59" s="111">
        <f>+P59+Proyecciones!J69</f>
        <v>117737</v>
      </c>
      <c r="R59" s="111">
        <f>+Q59+Proyecciones!K69</f>
        <v>117737</v>
      </c>
      <c r="S59" s="111">
        <f>+R59+Proyecciones!L69</f>
        <v>117737</v>
      </c>
    </row>
    <row r="60" spans="1:19" ht="15.75">
      <c r="A60" s="1"/>
      <c r="B60" s="2" t="s">
        <v>354</v>
      </c>
      <c r="C60" s="2">
        <v>152578</v>
      </c>
      <c r="D60" s="2">
        <v>152578</v>
      </c>
      <c r="E60" s="2">
        <v>152578</v>
      </c>
      <c r="F60" s="2">
        <v>152578</v>
      </c>
      <c r="G60" s="2">
        <v>152578</v>
      </c>
      <c r="H60" s="2">
        <v>152578</v>
      </c>
      <c r="I60" s="111">
        <f>+G60+Proyecciones!B70</f>
        <v>152578</v>
      </c>
      <c r="J60" s="111">
        <f>+I60+Proyecciones!C70</f>
        <v>152578</v>
      </c>
      <c r="K60" s="111">
        <f>+J60+Proyecciones!D70</f>
        <v>152578</v>
      </c>
      <c r="L60" s="111">
        <f>+K60+Proyecciones!E70</f>
        <v>152578</v>
      </c>
      <c r="M60" s="111">
        <f>+L60+Proyecciones!F70</f>
        <v>152578</v>
      </c>
      <c r="N60" s="111">
        <f>+M60+Proyecciones!G70</f>
        <v>152578</v>
      </c>
      <c r="O60" s="111">
        <f>+N60+Proyecciones!H70</f>
        <v>152578</v>
      </c>
      <c r="P60" s="111">
        <f>+O60+Proyecciones!I70</f>
        <v>152578</v>
      </c>
      <c r="Q60" s="111">
        <f>+P60+Proyecciones!J70</f>
        <v>152578</v>
      </c>
      <c r="R60" s="111">
        <f>+Q60+Proyecciones!K70</f>
        <v>152578</v>
      </c>
      <c r="S60" s="111">
        <f>+R60+Proyecciones!L70</f>
        <v>152578</v>
      </c>
    </row>
    <row r="61" spans="1:19" ht="15.75">
      <c r="A61" s="1"/>
      <c r="B61" s="2" t="s">
        <v>355</v>
      </c>
      <c r="C61" s="2"/>
      <c r="D61" s="2"/>
      <c r="E61" s="2"/>
      <c r="F61" s="2"/>
      <c r="G61" s="2"/>
      <c r="H61" s="2"/>
      <c r="I61" s="111"/>
      <c r="J61" s="111"/>
      <c r="K61" s="111"/>
      <c r="L61" s="2"/>
      <c r="M61" s="2"/>
      <c r="N61" s="2"/>
      <c r="O61" s="2"/>
      <c r="P61" s="2"/>
      <c r="Q61" s="2"/>
      <c r="R61" s="2"/>
      <c r="S61" s="2"/>
    </row>
    <row r="62" spans="1:19" ht="15.75">
      <c r="A62" s="1"/>
      <c r="B62" s="2" t="s">
        <v>356</v>
      </c>
      <c r="C62" s="2">
        <v>51225</v>
      </c>
      <c r="D62" s="2">
        <v>51225</v>
      </c>
      <c r="E62" s="2">
        <v>51225</v>
      </c>
      <c r="F62" s="2">
        <v>51225</v>
      </c>
      <c r="G62" s="2">
        <v>51225</v>
      </c>
      <c r="H62" s="2">
        <v>51225</v>
      </c>
      <c r="I62" s="111">
        <f>+G62</f>
        <v>51225</v>
      </c>
      <c r="J62" s="111">
        <f>+I62</f>
        <v>51225</v>
      </c>
      <c r="K62" s="111">
        <f t="shared" ref="K62:S62" si="9">+J62</f>
        <v>51225</v>
      </c>
      <c r="L62" s="111">
        <f t="shared" si="9"/>
        <v>51225</v>
      </c>
      <c r="M62" s="111">
        <f t="shared" si="9"/>
        <v>51225</v>
      </c>
      <c r="N62" s="111">
        <f t="shared" si="9"/>
        <v>51225</v>
      </c>
      <c r="O62" s="111">
        <f t="shared" si="9"/>
        <v>51225</v>
      </c>
      <c r="P62" s="111">
        <f t="shared" si="9"/>
        <v>51225</v>
      </c>
      <c r="Q62" s="111">
        <f t="shared" si="9"/>
        <v>51225</v>
      </c>
      <c r="R62" s="111">
        <f t="shared" si="9"/>
        <v>51225</v>
      </c>
      <c r="S62" s="111">
        <f t="shared" si="9"/>
        <v>51225</v>
      </c>
    </row>
    <row r="63" spans="1:19" ht="15.75">
      <c r="A63" s="1"/>
      <c r="B63" s="2" t="s">
        <v>147</v>
      </c>
      <c r="C63" s="2">
        <f>+C25</f>
        <v>328144</v>
      </c>
      <c r="D63" s="2">
        <f>+D25</f>
        <v>328144</v>
      </c>
      <c r="E63" s="2">
        <f>+E25</f>
        <v>269112</v>
      </c>
      <c r="F63" s="2">
        <f>+F25</f>
        <v>269112</v>
      </c>
      <c r="G63" s="2">
        <f>+G25</f>
        <v>269112</v>
      </c>
      <c r="H63" s="2">
        <f t="shared" ref="H63:S63" si="10">+H25</f>
        <v>246601</v>
      </c>
      <c r="I63" s="2">
        <f t="shared" si="10"/>
        <v>246601</v>
      </c>
      <c r="J63" s="2">
        <f t="shared" si="10"/>
        <v>246601</v>
      </c>
      <c r="K63" s="2">
        <f t="shared" si="10"/>
        <v>225973.02684755789</v>
      </c>
      <c r="L63" s="2">
        <f t="shared" si="10"/>
        <v>225973.02684755789</v>
      </c>
      <c r="M63" s="2">
        <f t="shared" si="10"/>
        <v>225973.02684755789</v>
      </c>
      <c r="N63" s="2">
        <f t="shared" si="10"/>
        <v>207070.56687785988</v>
      </c>
      <c r="O63" s="2">
        <f t="shared" si="10"/>
        <v>207070.56687785988</v>
      </c>
      <c r="P63" s="2">
        <f t="shared" si="10"/>
        <v>207070.56687785988</v>
      </c>
      <c r="Q63" s="2">
        <f t="shared" si="10"/>
        <v>189749.28231608818</v>
      </c>
      <c r="R63" s="2">
        <f t="shared" si="10"/>
        <v>189749.28231608818</v>
      </c>
      <c r="S63" s="2">
        <f t="shared" si="10"/>
        <v>189749.28231608818</v>
      </c>
    </row>
    <row r="64" spans="1:19" ht="15.75">
      <c r="A64" s="1"/>
      <c r="B64" s="2" t="s">
        <v>357</v>
      </c>
      <c r="C64" s="2">
        <v>-94469</v>
      </c>
      <c r="D64" s="2">
        <v>-121472</v>
      </c>
      <c r="E64" s="2">
        <v>-132345</v>
      </c>
      <c r="F64" s="2">
        <v>-131880</v>
      </c>
      <c r="G64" s="2">
        <v>-144360</v>
      </c>
      <c r="H64" s="2">
        <v>-148346</v>
      </c>
      <c r="I64" s="111">
        <f>+H64+H65</f>
        <v>-158786</v>
      </c>
      <c r="J64" s="111">
        <f t="shared" ref="J64:S64" si="11">+I64+I65</f>
        <v>-172081.61909819033</v>
      </c>
      <c r="K64" s="111">
        <f t="shared" si="11"/>
        <v>-181849.13119372801</v>
      </c>
      <c r="L64" s="111">
        <f t="shared" si="11"/>
        <v>-186699.94743559952</v>
      </c>
      <c r="M64" s="111">
        <f t="shared" si="11"/>
        <v>-183934.16034382244</v>
      </c>
      <c r="N64" s="111">
        <f t="shared" si="11"/>
        <v>-174257.77161597123</v>
      </c>
      <c r="O64" s="111">
        <f t="shared" si="11"/>
        <v>-157943.38674388229</v>
      </c>
      <c r="P64" s="111">
        <f t="shared" si="11"/>
        <v>-137652.46915936997</v>
      </c>
      <c r="Q64" s="111">
        <f t="shared" si="11"/>
        <v>-113179.18320293495</v>
      </c>
      <c r="R64" s="111">
        <f t="shared" si="11"/>
        <v>-84229.66150844605</v>
      </c>
      <c r="S64" s="111">
        <f t="shared" si="11"/>
        <v>-52666.061375839286</v>
      </c>
    </row>
    <row r="65" spans="1:20" ht="15.75">
      <c r="A65" s="1"/>
      <c r="B65" s="2" t="s">
        <v>358</v>
      </c>
      <c r="C65" s="2">
        <v>-27003</v>
      </c>
      <c r="D65" s="2">
        <f>+Resultados!C34</f>
        <v>-10873</v>
      </c>
      <c r="E65" s="2">
        <f>+Resultados!D34</f>
        <v>465</v>
      </c>
      <c r="F65" s="2">
        <f>+Resultados!E34</f>
        <v>-12482</v>
      </c>
      <c r="G65" s="2">
        <f>+Resultados!F34</f>
        <v>-3986</v>
      </c>
      <c r="H65" s="2">
        <f>+Resultados!G34</f>
        <v>-10440</v>
      </c>
      <c r="I65" s="111">
        <f>+Resultados!H34</f>
        <v>-13295.619098190324</v>
      </c>
      <c r="J65" s="111">
        <f>+Resultados!I34</f>
        <v>-9767.5120955376624</v>
      </c>
      <c r="K65" s="111">
        <f>+Resultados!J34</f>
        <v>-4850.8162418714974</v>
      </c>
      <c r="L65" s="111">
        <f>+Resultados!K34</f>
        <v>2765.7870917770815</v>
      </c>
      <c r="M65" s="111">
        <f>+Resultados!L34</f>
        <v>9676.3887278512157</v>
      </c>
      <c r="N65" s="111">
        <f>+Resultados!M34</f>
        <v>16314.384872088933</v>
      </c>
      <c r="O65" s="111">
        <f>+Resultados!N34</f>
        <v>20290.917584512317</v>
      </c>
      <c r="P65" s="111">
        <f>+Resultados!O34</f>
        <v>24473.285956435029</v>
      </c>
      <c r="Q65" s="111">
        <f>+Resultados!P34</f>
        <v>28949.5216944889</v>
      </c>
      <c r="R65" s="111">
        <f>+Resultados!Q34</f>
        <v>31563.600132606764</v>
      </c>
      <c r="S65" s="111">
        <f>+Resultados!R34</f>
        <v>34837.690300196205</v>
      </c>
    </row>
    <row r="66" spans="1:20" ht="16.5" thickBot="1">
      <c r="A66" s="1"/>
      <c r="B66" s="2"/>
      <c r="C66" s="2"/>
      <c r="D66" s="2"/>
      <c r="E66" s="2"/>
      <c r="F66" s="2"/>
      <c r="G66" s="2"/>
      <c r="H66" s="2"/>
      <c r="I66" s="111"/>
      <c r="J66" s="111"/>
      <c r="K66" s="111"/>
      <c r="L66" s="2"/>
      <c r="M66" s="2"/>
      <c r="N66" s="2"/>
      <c r="O66" s="2"/>
      <c r="P66" s="2"/>
      <c r="Q66" s="2"/>
      <c r="R66" s="2"/>
      <c r="S66" s="2"/>
    </row>
    <row r="67" spans="1:20" ht="17.25" thickTop="1" thickBot="1">
      <c r="A67" s="5" t="s">
        <v>26</v>
      </c>
      <c r="B67" s="5"/>
      <c r="C67" s="5">
        <f t="shared" ref="C67:P67" si="12">SUM(C59:C66)</f>
        <v>528212</v>
      </c>
      <c r="D67" s="5">
        <f t="shared" si="12"/>
        <v>517339</v>
      </c>
      <c r="E67" s="5">
        <f t="shared" si="12"/>
        <v>458772</v>
      </c>
      <c r="F67" s="5">
        <f t="shared" si="12"/>
        <v>446290</v>
      </c>
      <c r="G67" s="5">
        <f t="shared" si="12"/>
        <v>442306</v>
      </c>
      <c r="H67" s="5">
        <f>SUM(H59:H66)</f>
        <v>409355</v>
      </c>
      <c r="I67" s="5">
        <f t="shared" si="12"/>
        <v>396059.38090180967</v>
      </c>
      <c r="J67" s="5">
        <f t="shared" si="12"/>
        <v>386291.86880627199</v>
      </c>
      <c r="K67" s="5">
        <f t="shared" si="12"/>
        <v>360813.07941195834</v>
      </c>
      <c r="L67" s="5">
        <f>SUM(L59:L66)</f>
        <v>363578.86650373542</v>
      </c>
      <c r="M67" s="5">
        <f t="shared" si="12"/>
        <v>373255.25523158663</v>
      </c>
      <c r="N67" s="5">
        <f t="shared" si="12"/>
        <v>370667.18013397756</v>
      </c>
      <c r="O67" s="5">
        <f t="shared" si="12"/>
        <v>390958.09771848988</v>
      </c>
      <c r="P67" s="5">
        <f t="shared" si="12"/>
        <v>415431.38367492496</v>
      </c>
      <c r="Q67" s="5">
        <f>SUM(Q59:Q66)</f>
        <v>427059.62080764218</v>
      </c>
      <c r="R67" s="5">
        <f>SUM(R59:R66)</f>
        <v>458623.22094024892</v>
      </c>
      <c r="S67" s="5">
        <f>SUM(S59:S66)</f>
        <v>493460.9112404451</v>
      </c>
    </row>
    <row r="68" spans="1:20" ht="17.25" thickTop="1" thickBot="1">
      <c r="A68" s="1"/>
      <c r="B68" s="2"/>
      <c r="C68" s="2"/>
      <c r="D68" s="2"/>
      <c r="E68" s="2"/>
      <c r="F68" s="2"/>
      <c r="G68" s="2"/>
      <c r="H68" s="2"/>
      <c r="I68" s="111"/>
      <c r="J68" s="111"/>
      <c r="K68" s="111"/>
      <c r="L68" s="2"/>
      <c r="M68" s="2"/>
      <c r="N68" s="2"/>
      <c r="O68" s="2"/>
      <c r="P68" s="2"/>
      <c r="Q68" s="2"/>
      <c r="R68" s="2"/>
      <c r="S68" s="2"/>
    </row>
    <row r="69" spans="1:20" ht="17.25" thickTop="1" thickBot="1">
      <c r="A69" s="5" t="s">
        <v>27</v>
      </c>
      <c r="B69" s="5"/>
      <c r="C69" s="5">
        <f t="shared" ref="C69:J69" si="13">C67+C55</f>
        <v>620438</v>
      </c>
      <c r="D69" s="5">
        <f t="shared" si="13"/>
        <v>600217</v>
      </c>
      <c r="E69" s="5">
        <f t="shared" si="13"/>
        <v>540728</v>
      </c>
      <c r="F69" s="5">
        <f t="shared" si="13"/>
        <v>538265</v>
      </c>
      <c r="G69" s="5">
        <f t="shared" si="13"/>
        <v>552162</v>
      </c>
      <c r="H69" s="5">
        <f>H67+H55</f>
        <v>541782</v>
      </c>
      <c r="I69" s="5">
        <f t="shared" si="13"/>
        <v>507793.95828601194</v>
      </c>
      <c r="J69" s="5">
        <f t="shared" si="13"/>
        <v>493744.49527592934</v>
      </c>
      <c r="K69" s="5">
        <f t="shared" ref="K69:P69" si="14">K67+K55</f>
        <v>463754.60057693295</v>
      </c>
      <c r="L69" s="5">
        <f t="shared" si="14"/>
        <v>463523.85266835254</v>
      </c>
      <c r="M69" s="5">
        <f t="shared" si="14"/>
        <v>470728.16955695231</v>
      </c>
      <c r="N69" s="5">
        <f t="shared" si="14"/>
        <v>464102.46642951004</v>
      </c>
      <c r="O69" s="5">
        <f t="shared" si="14"/>
        <v>481954.93346416019</v>
      </c>
      <c r="P69" s="5">
        <f t="shared" si="14"/>
        <v>505321.26171270292</v>
      </c>
      <c r="Q69" s="5">
        <f>Q67+Q55</f>
        <v>517281.60480821325</v>
      </c>
      <c r="R69" s="5">
        <f>R67+R55</f>
        <v>549300.81319985143</v>
      </c>
      <c r="S69" s="5">
        <f>S67+S55</f>
        <v>588818.66837832087</v>
      </c>
    </row>
    <row r="70" spans="1:20" ht="15.75" thickTop="1">
      <c r="A70" s="2"/>
      <c r="B70" s="2" t="s">
        <v>362</v>
      </c>
      <c r="C70" s="2">
        <f t="shared" ref="C70:S70" si="15">+C69-C27</f>
        <v>0</v>
      </c>
      <c r="D70" s="2">
        <f t="shared" si="15"/>
        <v>0</v>
      </c>
      <c r="E70" s="2">
        <f t="shared" si="15"/>
        <v>0</v>
      </c>
      <c r="F70" s="2">
        <f t="shared" si="15"/>
        <v>0</v>
      </c>
      <c r="G70" s="2">
        <f t="shared" si="15"/>
        <v>0</v>
      </c>
      <c r="H70" s="2">
        <f t="shared" si="15"/>
        <v>0</v>
      </c>
      <c r="I70" s="2">
        <f t="shared" si="15"/>
        <v>0</v>
      </c>
      <c r="J70" s="2">
        <f t="shared" si="15"/>
        <v>0</v>
      </c>
      <c r="K70" s="2">
        <f t="shared" si="15"/>
        <v>0</v>
      </c>
      <c r="L70" s="2">
        <f t="shared" si="15"/>
        <v>0</v>
      </c>
      <c r="M70" s="2">
        <f t="shared" si="15"/>
        <v>0</v>
      </c>
      <c r="N70" s="2">
        <f t="shared" si="15"/>
        <v>0</v>
      </c>
      <c r="O70" s="2">
        <f t="shared" si="15"/>
        <v>0</v>
      </c>
      <c r="P70" s="2">
        <f t="shared" si="15"/>
        <v>0</v>
      </c>
      <c r="Q70" s="2">
        <f t="shared" si="15"/>
        <v>0</v>
      </c>
      <c r="R70" s="2">
        <f t="shared" si="15"/>
        <v>0</v>
      </c>
      <c r="S70" s="2">
        <f t="shared" si="15"/>
        <v>0</v>
      </c>
    </row>
    <row r="71" spans="1:20">
      <c r="A71" s="2"/>
      <c r="B71" s="2"/>
      <c r="C71" s="2"/>
      <c r="D71" s="2"/>
      <c r="E71" s="2"/>
      <c r="F71" s="2"/>
      <c r="G71" s="2"/>
      <c r="H71" s="2"/>
      <c r="I71" s="2"/>
      <c r="J71" s="2"/>
      <c r="K71" s="2"/>
      <c r="L71" s="2"/>
      <c r="M71" s="2"/>
      <c r="N71" s="2"/>
      <c r="O71" s="2"/>
      <c r="P71" s="2"/>
      <c r="Q71" s="2"/>
      <c r="R71" s="2"/>
      <c r="S71" s="2"/>
      <c r="T71" s="2"/>
    </row>
    <row r="72" spans="1:20">
      <c r="A72" s="2"/>
      <c r="B72" s="2"/>
      <c r="C72" s="2"/>
      <c r="D72" s="2"/>
      <c r="E72" s="2"/>
      <c r="F72" s="2"/>
      <c r="G72" s="2"/>
      <c r="H72" s="2"/>
      <c r="I72" s="270">
        <f>+I7-I31</f>
        <v>15674.170002972947</v>
      </c>
      <c r="J72" s="270">
        <f t="shared" ref="J72:S72" si="16">+J7-J31</f>
        <v>11346.269253165798</v>
      </c>
      <c r="K72" s="270">
        <f t="shared" si="16"/>
        <v>11766.986153600734</v>
      </c>
      <c r="L72" s="270">
        <f t="shared" si="16"/>
        <v>18654.226546340997</v>
      </c>
      <c r="M72" s="270">
        <f t="shared" si="16"/>
        <v>29597.186315124367</v>
      </c>
      <c r="N72" s="270">
        <f t="shared" si="16"/>
        <v>36318.621654397793</v>
      </c>
      <c r="O72" s="270">
        <f t="shared" si="16"/>
        <v>46080.199962642444</v>
      </c>
      <c r="P72" s="270">
        <f t="shared" si="16"/>
        <v>60923.029318377288</v>
      </c>
      <c r="Q72" s="270">
        <f t="shared" si="16"/>
        <v>81223.274778407955</v>
      </c>
      <c r="R72" s="270">
        <f t="shared" si="16"/>
        <v>103409.89978319222</v>
      </c>
      <c r="S72" s="270">
        <f t="shared" si="16"/>
        <v>132749.91058530868</v>
      </c>
    </row>
    <row r="73" spans="1:20">
      <c r="A73" s="2"/>
      <c r="B73" s="2"/>
      <c r="C73" s="2"/>
      <c r="D73" s="2"/>
      <c r="E73" s="2"/>
      <c r="F73" s="2"/>
      <c r="G73" s="2"/>
      <c r="H73" s="2"/>
      <c r="I73" s="2"/>
      <c r="J73" s="2"/>
      <c r="K73" s="2"/>
      <c r="L73" s="2"/>
      <c r="M73" s="2"/>
      <c r="N73" s="2"/>
      <c r="O73" s="2"/>
      <c r="P73" s="2"/>
      <c r="Q73" s="2"/>
      <c r="R73" s="2"/>
      <c r="S73" s="2"/>
    </row>
    <row r="74" spans="1:20">
      <c r="A74" s="2"/>
      <c r="B74" s="2"/>
      <c r="C74" s="2"/>
      <c r="D74" s="2"/>
      <c r="E74" s="2"/>
      <c r="F74" s="2"/>
      <c r="G74" s="2"/>
      <c r="H74" s="2"/>
      <c r="I74" s="2"/>
      <c r="J74" s="2"/>
      <c r="K74" s="2"/>
      <c r="L74" s="2"/>
      <c r="M74" s="2"/>
      <c r="N74" s="2"/>
      <c r="O74" s="2"/>
      <c r="P74" s="2"/>
      <c r="Q74" s="2"/>
      <c r="R74" s="2"/>
      <c r="S74" s="2"/>
    </row>
    <row r="75" spans="1:20">
      <c r="A75" s="2"/>
      <c r="B75" s="2"/>
      <c r="C75" s="2"/>
      <c r="D75" s="2"/>
      <c r="E75" s="2"/>
      <c r="F75" s="2"/>
      <c r="G75" s="379"/>
      <c r="H75" s="2"/>
      <c r="I75" s="2"/>
      <c r="J75" s="2"/>
      <c r="K75" s="2"/>
      <c r="L75" s="2"/>
      <c r="M75" s="2"/>
      <c r="N75" s="2"/>
      <c r="O75" s="2"/>
      <c r="P75" s="2"/>
      <c r="Q75" s="2"/>
      <c r="R75" s="2"/>
      <c r="S75" s="2"/>
    </row>
    <row r="76" spans="1:20">
      <c r="A76" s="2"/>
      <c r="B76" s="2"/>
      <c r="D76" s="2"/>
      <c r="E76" s="2"/>
      <c r="F76" s="2"/>
      <c r="G76" s="2"/>
      <c r="H76" s="2"/>
      <c r="I76" s="2"/>
      <c r="J76" s="581"/>
      <c r="K76" s="2"/>
      <c r="L76" s="2"/>
      <c r="M76" s="2"/>
      <c r="N76" s="2"/>
      <c r="O76" s="2"/>
      <c r="P76" s="2"/>
      <c r="Q76" s="2"/>
      <c r="R76" s="2"/>
      <c r="S76" s="2"/>
    </row>
    <row r="77" spans="1:20">
      <c r="A77" s="2"/>
      <c r="B77" s="2"/>
      <c r="C77" s="2"/>
      <c r="D77" s="2"/>
      <c r="E77" s="2"/>
      <c r="F77" s="2"/>
      <c r="G77" s="2"/>
      <c r="H77" s="2"/>
      <c r="I77" s="2"/>
      <c r="J77" s="2"/>
      <c r="K77" s="2"/>
      <c r="L77" s="2"/>
      <c r="M77" s="2"/>
      <c r="N77" s="2"/>
      <c r="O77" s="2"/>
      <c r="P77" s="2"/>
      <c r="Q77" s="2"/>
      <c r="R77" s="2"/>
      <c r="S77" s="2"/>
    </row>
    <row r="79" spans="1:20">
      <c r="D79" s="119"/>
      <c r="E79" s="119"/>
      <c r="F79" s="119"/>
      <c r="G79" s="119"/>
      <c r="I79" s="128"/>
      <c r="J79" s="128"/>
      <c r="K79" s="128"/>
    </row>
    <row r="80" spans="1:20">
      <c r="D80" s="119"/>
      <c r="E80" s="119"/>
      <c r="F80" s="119"/>
      <c r="G80" s="119"/>
      <c r="I80" s="128"/>
      <c r="J80" s="128"/>
      <c r="K80" s="128"/>
    </row>
    <row r="81" spans="4:11">
      <c r="D81" s="119"/>
      <c r="E81" s="119"/>
      <c r="F81" s="119"/>
      <c r="G81" s="119"/>
      <c r="I81" s="128"/>
      <c r="J81" s="128"/>
      <c r="K81" s="128"/>
    </row>
    <row r="82" spans="4:11">
      <c r="D82" s="119"/>
      <c r="E82" s="119"/>
      <c r="F82" s="119"/>
      <c r="G82" s="119"/>
      <c r="I82" s="128"/>
      <c r="J82" s="128"/>
      <c r="K82" s="128"/>
    </row>
    <row r="83" spans="4:11">
      <c r="D83" s="119"/>
      <c r="E83" s="119"/>
      <c r="F83" s="119"/>
      <c r="G83" s="119"/>
      <c r="I83" s="128"/>
      <c r="J83" s="128"/>
      <c r="K83" s="128"/>
    </row>
    <row r="84" spans="4:11">
      <c r="D84" s="119"/>
      <c r="E84" s="119"/>
      <c r="F84" s="119"/>
      <c r="G84" s="119"/>
      <c r="I84" s="128"/>
      <c r="J84" s="128"/>
      <c r="K84" s="128"/>
    </row>
    <row r="85" spans="4:11">
      <c r="D85" s="119"/>
      <c r="E85" s="119"/>
      <c r="F85" s="119"/>
      <c r="G85" s="119"/>
      <c r="I85" s="128"/>
      <c r="J85" s="128"/>
      <c r="K85" s="128"/>
    </row>
    <row r="86" spans="4:11">
      <c r="D86" s="119"/>
      <c r="E86" s="119"/>
      <c r="F86" s="119"/>
      <c r="G86" s="119"/>
      <c r="I86" s="128"/>
      <c r="J86" s="128"/>
      <c r="K86" s="128"/>
    </row>
    <row r="87" spans="4:11">
      <c r="D87" s="119"/>
      <c r="E87" s="119"/>
      <c r="F87" s="119"/>
      <c r="G87" s="119"/>
      <c r="I87" s="128"/>
      <c r="J87" s="128"/>
      <c r="K87" s="128"/>
    </row>
    <row r="88" spans="4:11">
      <c r="D88" s="119"/>
      <c r="E88" s="119"/>
      <c r="F88" s="119"/>
      <c r="G88" s="119"/>
      <c r="I88" s="128"/>
      <c r="J88" s="128"/>
      <c r="K88" s="128"/>
    </row>
    <row r="89" spans="4:11">
      <c r="D89" s="119"/>
      <c r="E89" s="119"/>
      <c r="F89" s="119"/>
      <c r="G89" s="119"/>
      <c r="I89" s="128"/>
      <c r="J89" s="128"/>
      <c r="K89" s="128"/>
    </row>
    <row r="90" spans="4:11">
      <c r="D90" s="119"/>
      <c r="E90" s="119"/>
      <c r="F90" s="119"/>
      <c r="G90" s="119"/>
      <c r="I90" s="128"/>
      <c r="J90" s="128"/>
      <c r="K90" s="128"/>
    </row>
    <row r="91" spans="4:11">
      <c r="D91" s="119"/>
      <c r="E91" s="119"/>
      <c r="F91" s="119"/>
      <c r="G91" s="119"/>
      <c r="I91" s="128"/>
      <c r="J91" s="128"/>
      <c r="K91" s="128"/>
    </row>
    <row r="92" spans="4:11">
      <c r="D92" s="119"/>
      <c r="E92" s="119"/>
      <c r="F92" s="119"/>
      <c r="G92" s="119"/>
      <c r="I92" s="128"/>
      <c r="J92" s="128"/>
      <c r="K92" s="128"/>
    </row>
    <row r="93" spans="4:11">
      <c r="D93" s="119"/>
      <c r="E93" s="119"/>
      <c r="F93" s="119"/>
      <c r="G93" s="119"/>
      <c r="I93" s="128"/>
      <c r="J93" s="128"/>
      <c r="K93" s="128"/>
    </row>
    <row r="98" spans="2:7">
      <c r="B98" s="2"/>
      <c r="C98" s="2"/>
      <c r="D98" s="2"/>
    </row>
    <row r="99" spans="2:7">
      <c r="B99" s="2"/>
      <c r="C99" s="2"/>
      <c r="D99" s="2"/>
    </row>
    <row r="100" spans="2:7">
      <c r="B100" s="53"/>
      <c r="C100" s="2"/>
      <c r="D100" s="2"/>
      <c r="E100" s="2"/>
      <c r="F100" s="2"/>
      <c r="G100" s="2"/>
    </row>
    <row r="101" spans="2:7">
      <c r="B101" s="53"/>
      <c r="C101" s="2"/>
      <c r="D101" s="2"/>
    </row>
    <row r="102" spans="2:7">
      <c r="B102" s="53"/>
    </row>
    <row r="103" spans="2:7">
      <c r="B103" s="53"/>
      <c r="C103" s="2"/>
      <c r="D103" s="2"/>
    </row>
    <row r="104" spans="2:7">
      <c r="B104" s="53"/>
      <c r="C104" s="2"/>
      <c r="D104" s="2"/>
    </row>
    <row r="105" spans="2:7" ht="15.75">
      <c r="B105" s="53"/>
      <c r="C105" s="1"/>
      <c r="D105" s="1"/>
      <c r="E105" s="1"/>
      <c r="F105" s="1"/>
      <c r="G105" s="1"/>
    </row>
    <row r="106" spans="2:7">
      <c r="D106" s="53"/>
      <c r="E106" s="53"/>
      <c r="F106" s="53"/>
    </row>
    <row r="107" spans="2:7">
      <c r="B107" s="53"/>
      <c r="D107" s="48"/>
      <c r="E107" s="48"/>
      <c r="F107" s="48"/>
    </row>
    <row r="108" spans="2:7">
      <c r="B108" s="53"/>
      <c r="D108" s="48"/>
      <c r="E108" s="164"/>
      <c r="F108" s="48"/>
    </row>
    <row r="109" spans="2:7">
      <c r="B109" s="53"/>
      <c r="F109" s="48"/>
    </row>
  </sheetData>
  <phoneticPr fontId="0" type="noConversion"/>
  <printOptions horizontalCentered="1" verticalCentered="1"/>
  <pageMargins left="0.51181102362204722" right="0.51181102362204722" top="0.51181102362204722" bottom="0.51181102362204722" header="0.51181102362204722" footer="0.51181102362204722"/>
  <pageSetup scale="88" orientation="portrait" blackAndWhite="1" horizontalDpi="300" verticalDpi="300"/>
  <headerFooter>
    <oddHeader>&amp;C&amp;A</oddHeader>
    <oddFooter>&amp;CCia.Modelo -  EVA&amp;RPágina &amp;P</oddFooter>
  </headerFooter>
</worksheet>
</file>

<file path=xl/worksheets/sheet5.xml><?xml version="1.0" encoding="utf-8"?>
<worksheet xmlns="http://schemas.openxmlformats.org/spreadsheetml/2006/main" xmlns:r="http://schemas.openxmlformats.org/officeDocument/2006/relationships">
  <sheetPr transitionEvaluation="1" enableFormatConditionsCalculation="0"/>
  <dimension ref="A1:R47"/>
  <sheetViews>
    <sheetView showGridLines="0" topLeftCell="A4" zoomScale="70" zoomScaleNormal="70" workbookViewId="0">
      <selection activeCell="H34" sqref="H34:R34"/>
    </sheetView>
  </sheetViews>
  <sheetFormatPr baseColWidth="10" defaultColWidth="8.88671875" defaultRowHeight="15" outlineLevelRow="1"/>
  <cols>
    <col min="1" max="1" width="3.6640625" customWidth="1"/>
    <col min="2" max="2" width="20.77734375" customWidth="1"/>
    <col min="3" max="7" width="10.6640625" customWidth="1"/>
    <col min="8" max="10" width="10.6640625" style="122" customWidth="1"/>
    <col min="11" max="15" width="10.6640625" customWidth="1"/>
    <col min="16" max="17" width="9.88671875" bestFit="1" customWidth="1"/>
    <col min="18" max="18" width="9.5546875" bestFit="1" customWidth="1"/>
  </cols>
  <sheetData>
    <row r="1" spans="1:18" ht="15.75">
      <c r="A1" s="1" t="str">
        <f>+Balance!A1</f>
        <v>ENKA de Colombia S.A.</v>
      </c>
      <c r="B1" s="2"/>
      <c r="C1" s="2"/>
      <c r="D1" s="2"/>
      <c r="E1" s="2"/>
      <c r="F1" s="2"/>
      <c r="G1" s="2"/>
    </row>
    <row r="2" spans="1:18" ht="15.75">
      <c r="A2" s="1" t="s">
        <v>28</v>
      </c>
      <c r="B2" s="2"/>
      <c r="C2" s="2"/>
      <c r="D2" s="2"/>
      <c r="E2" s="2"/>
      <c r="F2" s="2"/>
      <c r="G2" s="49"/>
    </row>
    <row r="3" spans="1:18" ht="15.75">
      <c r="A3" s="51" t="str">
        <f>+Balance!A3</f>
        <v>Mill COP</v>
      </c>
      <c r="D3" s="66"/>
      <c r="E3" s="66"/>
      <c r="F3" s="66"/>
      <c r="G3" s="66"/>
      <c r="H3" s="374"/>
      <c r="I3" s="374"/>
      <c r="J3" s="374"/>
      <c r="K3" s="374"/>
      <c r="L3" s="374"/>
      <c r="M3" s="374"/>
      <c r="N3" s="374"/>
      <c r="O3" s="374"/>
      <c r="P3" s="374"/>
      <c r="Q3" s="374"/>
      <c r="R3" s="374"/>
    </row>
    <row r="4" spans="1:18" ht="16.5" thickBot="1">
      <c r="A4" s="2"/>
      <c r="B4" s="2"/>
      <c r="C4" s="123">
        <v>2009</v>
      </c>
      <c r="D4" s="123">
        <f>C4+1</f>
        <v>2010</v>
      </c>
      <c r="E4" s="123">
        <f>D4+1</f>
        <v>2011</v>
      </c>
      <c r="F4" s="123">
        <f>E4+1</f>
        <v>2012</v>
      </c>
      <c r="G4" s="123">
        <f>F4+1</f>
        <v>2013</v>
      </c>
      <c r="H4" s="123">
        <f>G4+1</f>
        <v>2014</v>
      </c>
      <c r="I4" s="123">
        <f t="shared" ref="I4:O4" si="0">H4+1</f>
        <v>2015</v>
      </c>
      <c r="J4" s="123">
        <f t="shared" si="0"/>
        <v>2016</v>
      </c>
      <c r="K4" s="123">
        <f t="shared" si="0"/>
        <v>2017</v>
      </c>
      <c r="L4" s="123">
        <f t="shared" si="0"/>
        <v>2018</v>
      </c>
      <c r="M4" s="123">
        <f t="shared" si="0"/>
        <v>2019</v>
      </c>
      <c r="N4" s="123">
        <f t="shared" si="0"/>
        <v>2020</v>
      </c>
      <c r="O4" s="123">
        <f t="shared" si="0"/>
        <v>2021</v>
      </c>
      <c r="P4" s="123">
        <f>O4+1</f>
        <v>2022</v>
      </c>
      <c r="Q4" s="123">
        <f>P4+1</f>
        <v>2023</v>
      </c>
      <c r="R4" s="123">
        <f>Q4+1</f>
        <v>2024</v>
      </c>
    </row>
    <row r="5" spans="1:18">
      <c r="D5" s="303"/>
      <c r="E5" s="303"/>
      <c r="F5" s="303"/>
      <c r="G5" s="303"/>
      <c r="H5" s="537">
        <f>+H6/G6-1</f>
        <v>0.1366282087493278</v>
      </c>
      <c r="I5" s="537">
        <f t="shared" ref="I5:R5" si="1">+I6/H6-1</f>
        <v>6.5132768578736844E-2</v>
      </c>
      <c r="J5" s="537">
        <f t="shared" si="1"/>
        <v>6.0585044431543666E-2</v>
      </c>
      <c r="K5" s="537">
        <f t="shared" si="1"/>
        <v>5.7511692315409535E-2</v>
      </c>
      <c r="L5" s="537">
        <f t="shared" si="1"/>
        <v>5.0200228610048248E-2</v>
      </c>
      <c r="M5" s="537">
        <f t="shared" si="1"/>
        <v>5.2268127339224701E-2</v>
      </c>
      <c r="N5" s="537">
        <f t="shared" si="1"/>
        <v>5.199765166356185E-2</v>
      </c>
      <c r="O5" s="537">
        <f t="shared" si="1"/>
        <v>5.2219981248254888E-2</v>
      </c>
      <c r="P5" s="537">
        <f t="shared" si="1"/>
        <v>5.2440914125340576E-2</v>
      </c>
      <c r="Q5" s="537">
        <f t="shared" si="1"/>
        <v>5.2660372570221492E-2</v>
      </c>
      <c r="R5" s="537">
        <f t="shared" si="1"/>
        <v>5.2878281146684136E-2</v>
      </c>
    </row>
    <row r="6" spans="1:18" ht="15.75">
      <c r="A6" s="1" t="s">
        <v>29</v>
      </c>
      <c r="B6" s="2"/>
      <c r="C6" s="2">
        <v>254741</v>
      </c>
      <c r="D6" s="2">
        <v>299637</v>
      </c>
      <c r="E6" s="2">
        <v>342506</v>
      </c>
      <c r="F6" s="2">
        <v>287266</v>
      </c>
      <c r="G6" s="2">
        <v>272219</v>
      </c>
      <c r="H6" s="111">
        <f>+G6*(1+Proyecciones!B7)</f>
        <v>309411.79435753328</v>
      </c>
      <c r="I6" s="111">
        <f>+H6*(1+Proyecciones!C7)</f>
        <v>329564.64115495421</v>
      </c>
      <c r="J6" s="111">
        <f>+I6*(1+Proyecciones!D7)</f>
        <v>349531.32958239288</v>
      </c>
      <c r="K6" s="111">
        <f>+J6*(1+Proyecciones!E7)</f>
        <v>369633.46786393144</v>
      </c>
      <c r="L6" s="111">
        <f>+K6*(1+Proyecciones!F7)</f>
        <v>388189.15245262574</v>
      </c>
      <c r="M6" s="111">
        <f>+L6*(1+Proyecciones!G7)</f>
        <v>408479.07250472531</v>
      </c>
      <c r="N6" s="111">
        <f>+M6*(1+Proyecciones!H7)</f>
        <v>429719.02502868086</v>
      </c>
      <c r="O6" s="111">
        <f>+N6*(1+Proyecciones!I7)</f>
        <v>452158.94445769693</v>
      </c>
      <c r="P6" s="111">
        <f>+O6*(1+Proyecciones!J7)</f>
        <v>475870.57283500762</v>
      </c>
      <c r="Q6" s="111">
        <f>+P6*(1+Proyecciones!K7)</f>
        <v>500930.09449570387</v>
      </c>
      <c r="R6" s="111">
        <f>+Q6*(1+Proyecciones!L7)</f>
        <v>527418.41686728271</v>
      </c>
    </row>
    <row r="7" spans="1:18">
      <c r="A7" s="2" t="s">
        <v>30</v>
      </c>
      <c r="B7" s="2"/>
      <c r="C7" s="2">
        <f t="shared" ref="C7:R7" si="2">SUM(C8:C9)</f>
        <v>-237534</v>
      </c>
      <c r="D7" s="2">
        <f t="shared" si="2"/>
        <v>-278532</v>
      </c>
      <c r="E7" s="2">
        <f t="shared" si="2"/>
        <v>-322065</v>
      </c>
      <c r="F7" s="2">
        <f t="shared" si="2"/>
        <v>-267078</v>
      </c>
      <c r="G7" s="2">
        <f t="shared" si="2"/>
        <v>-248859</v>
      </c>
      <c r="H7" s="111">
        <f t="shared" si="2"/>
        <v>-287319.42492897471</v>
      </c>
      <c r="I7" s="111">
        <f t="shared" si="2"/>
        <v>-303518.79004290799</v>
      </c>
      <c r="J7" s="111">
        <f t="shared" si="2"/>
        <v>-319333.70396113431</v>
      </c>
      <c r="K7" s="111">
        <f t="shared" si="2"/>
        <v>-331650.27314554394</v>
      </c>
      <c r="L7" s="111">
        <f t="shared" si="2"/>
        <v>-341468.73307856027</v>
      </c>
      <c r="M7" s="111">
        <f t="shared" si="2"/>
        <v>-355992.43840257736</v>
      </c>
      <c r="N7" s="111">
        <f t="shared" si="2"/>
        <v>-372291.42349451879</v>
      </c>
      <c r="O7" s="111">
        <f t="shared" si="2"/>
        <v>-389432.9367805213</v>
      </c>
      <c r="P7" s="111">
        <f t="shared" si="2"/>
        <v>-407463.40896384331</v>
      </c>
      <c r="Q7" s="111">
        <f t="shared" si="2"/>
        <v>-428875.34459121042</v>
      </c>
      <c r="R7" s="111">
        <f t="shared" si="2"/>
        <v>-451573.72452353756</v>
      </c>
    </row>
    <row r="8" spans="1:18" outlineLevel="1">
      <c r="A8" s="2"/>
      <c r="B8" s="2" t="s">
        <v>1071</v>
      </c>
      <c r="C8" s="2">
        <v>-225668</v>
      </c>
      <c r="D8" s="2">
        <v>-267292</v>
      </c>
      <c r="E8" s="2">
        <v>-311853</v>
      </c>
      <c r="F8" s="2">
        <v>-257271</v>
      </c>
      <c r="G8" s="2">
        <v>-239499</v>
      </c>
      <c r="H8" s="111">
        <f>-H6*Proyecciones!B10</f>
        <v>-270860.21277041896</v>
      </c>
      <c r="I8" s="111">
        <f>-I6*Proyecciones!C10</f>
        <v>-287059.57788435224</v>
      </c>
      <c r="J8" s="111">
        <f>-J6*Proyecciones!D10</f>
        <v>-302928.83968915103</v>
      </c>
      <c r="K8" s="111">
        <f>-K6*Proyecciones!E10</f>
        <v>-318749.03596126341</v>
      </c>
      <c r="L8" s="111">
        <f>-L6*Proyecciones!F10</f>
        <v>-333076.55888357258</v>
      </c>
      <c r="M8" s="111">
        <f>-M6*Proyecciones!G10</f>
        <v>-348733.41764262493</v>
      </c>
      <c r="N8" s="111">
        <f>-N6*Proyecciones!H10</f>
        <v>-365032.40273456636</v>
      </c>
      <c r="O8" s="111">
        <f>-O6*Proyecciones!I10</f>
        <v>-382173.91602056887</v>
      </c>
      <c r="P8" s="111">
        <f>-P6*Proyecciones!J10</f>
        <v>-400204.38820389088</v>
      </c>
      <c r="Q8" s="111">
        <f>-Q6*Proyecciones!K10</f>
        <v>-421616.32383125799</v>
      </c>
      <c r="R8" s="111">
        <f>-R6*Proyecciones!L10</f>
        <v>-451146.41426536179</v>
      </c>
    </row>
    <row r="9" spans="1:18" ht="15.75" outlineLevel="1" thickBot="1">
      <c r="A9" s="2"/>
      <c r="B9" s="2" t="s">
        <v>1072</v>
      </c>
      <c r="C9" s="2">
        <f>+CapitalFijo!C85</f>
        <v>-11866</v>
      </c>
      <c r="D9" s="2">
        <f>+CapitalFijo!D85</f>
        <v>-11240</v>
      </c>
      <c r="E9" s="2">
        <f>+CapitalFijo!E85</f>
        <v>-10212</v>
      </c>
      <c r="F9" s="2">
        <f>+CapitalFijo!F85</f>
        <v>-9807</v>
      </c>
      <c r="G9" s="2">
        <f>+CapitalFijo!G85</f>
        <v>-9360</v>
      </c>
      <c r="H9" s="111">
        <f>+CapitalFijo!H85</f>
        <v>-16459.212158555765</v>
      </c>
      <c r="I9" s="111">
        <f>+CapitalFijo!I85</f>
        <v>-16459.212158555765</v>
      </c>
      <c r="J9" s="111">
        <f>+CapitalFijo!J85</f>
        <v>-16404.864271983279</v>
      </c>
      <c r="K9" s="111">
        <f>+CapitalFijo!K85</f>
        <v>-12901.237184280506</v>
      </c>
      <c r="L9" s="111">
        <f>+CapitalFijo!L85</f>
        <v>-8392.1741949876759</v>
      </c>
      <c r="M9" s="111">
        <f>+CapitalFijo!M85</f>
        <v>-7259.0207599524556</v>
      </c>
      <c r="N9" s="111">
        <f>+CapitalFijo!N85</f>
        <v>-7259.0207599524556</v>
      </c>
      <c r="O9" s="111">
        <f>+CapitalFijo!O85</f>
        <v>-7259.0207599524028</v>
      </c>
      <c r="P9" s="111">
        <f>+CapitalFijo!P85</f>
        <v>-7259.0207599524556</v>
      </c>
      <c r="Q9" s="111">
        <f>+CapitalFijo!Q85</f>
        <v>-7259.0207599524556</v>
      </c>
      <c r="R9" s="111">
        <f>+CapitalFijo!R85</f>
        <v>-427.31025817575176</v>
      </c>
    </row>
    <row r="10" spans="1:18" ht="15.75">
      <c r="A10" s="1" t="s">
        <v>31</v>
      </c>
      <c r="B10" s="2"/>
      <c r="C10" s="4">
        <f t="shared" ref="C10:O10" si="3">SUM(C6:C7)</f>
        <v>17207</v>
      </c>
      <c r="D10" s="4">
        <f t="shared" si="3"/>
        <v>21105</v>
      </c>
      <c r="E10" s="4">
        <f t="shared" si="3"/>
        <v>20441</v>
      </c>
      <c r="F10" s="4">
        <f t="shared" si="3"/>
        <v>20188</v>
      </c>
      <c r="G10" s="4">
        <f>SUM(G6:G7)</f>
        <v>23360</v>
      </c>
      <c r="H10" s="112">
        <f t="shared" si="3"/>
        <v>22092.369428558566</v>
      </c>
      <c r="I10" s="112">
        <f t="shared" si="3"/>
        <v>26045.851112046221</v>
      </c>
      <c r="J10" s="112">
        <f t="shared" si="3"/>
        <v>30197.625621258572</v>
      </c>
      <c r="K10" s="4">
        <f t="shared" si="3"/>
        <v>37983.194718387502</v>
      </c>
      <c r="L10" s="4">
        <f t="shared" si="3"/>
        <v>46720.419374065474</v>
      </c>
      <c r="M10" s="4">
        <f t="shared" si="3"/>
        <v>52486.634102147946</v>
      </c>
      <c r="N10" s="4">
        <f t="shared" si="3"/>
        <v>57427.601534162066</v>
      </c>
      <c r="O10" s="4">
        <f t="shared" si="3"/>
        <v>62726.007677175628</v>
      </c>
      <c r="P10" s="4">
        <f>SUM(P6:P7)</f>
        <v>68407.163871164317</v>
      </c>
      <c r="Q10" s="4">
        <f>SUM(Q6:Q7)</f>
        <v>72054.749904493452</v>
      </c>
      <c r="R10" s="4">
        <f>SUM(R6:R7)</f>
        <v>75844.692343745148</v>
      </c>
    </row>
    <row r="11" spans="1:18" ht="15.75" hidden="1">
      <c r="A11" s="1" t="s">
        <v>948</v>
      </c>
      <c r="B11" s="2"/>
      <c r="C11" s="278">
        <f>+C10/C6</f>
        <v>6.754703797190087E-2</v>
      </c>
      <c r="D11" s="278">
        <f t="shared" ref="D11:R11" si="4">+D10/D6</f>
        <v>7.0435226624215294E-2</v>
      </c>
      <c r="E11" s="278">
        <f t="shared" si="4"/>
        <v>5.9680706323392875E-2</v>
      </c>
      <c r="F11" s="278">
        <f t="shared" si="4"/>
        <v>7.027632925581169E-2</v>
      </c>
      <c r="G11" s="278">
        <f t="shared" si="4"/>
        <v>8.5813260646758677E-2</v>
      </c>
      <c r="H11" s="278">
        <f t="shared" si="4"/>
        <v>7.1401187128084284E-2</v>
      </c>
      <c r="I11" s="278">
        <f t="shared" si="4"/>
        <v>7.9031084829880222E-2</v>
      </c>
      <c r="J11" s="278">
        <f t="shared" si="4"/>
        <v>8.6394617779578103E-2</v>
      </c>
      <c r="K11" s="278">
        <f t="shared" si="4"/>
        <v>0.10275907898137022</v>
      </c>
      <c r="L11" s="278">
        <f t="shared" si="4"/>
        <v>0.12035477827981603</v>
      </c>
      <c r="M11" s="278">
        <f t="shared" si="4"/>
        <v>0.12849283509264917</v>
      </c>
      <c r="N11" s="278">
        <f t="shared" si="4"/>
        <v>0.13363988604025423</v>
      </c>
      <c r="O11" s="278">
        <f t="shared" si="4"/>
        <v>0.13872557083307716</v>
      </c>
      <c r="P11" s="278">
        <f t="shared" si="4"/>
        <v>0.14375161604052838</v>
      </c>
      <c r="Q11" s="278">
        <f t="shared" si="4"/>
        <v>0.14384192664054729</v>
      </c>
      <c r="R11" s="278">
        <f t="shared" si="4"/>
        <v>0.14380364795420175</v>
      </c>
    </row>
    <row r="12" spans="1:18" ht="15.75">
      <c r="A12" s="1"/>
      <c r="B12" s="2"/>
      <c r="C12" s="377">
        <f>+C8/C6</f>
        <v>-0.88587231737333216</v>
      </c>
      <c r="D12" s="377">
        <f>+D8/D6</f>
        <v>-0.89205271712104983</v>
      </c>
      <c r="E12" s="377">
        <f>+E8/E6</f>
        <v>-0.91050375759840707</v>
      </c>
      <c r="F12" s="377">
        <f>+F8/F6</f>
        <v>-0.89558458014523123</v>
      </c>
      <c r="G12" s="377">
        <f>+G8/G6</f>
        <v>-0.87980265888861542</v>
      </c>
      <c r="H12" s="129"/>
      <c r="I12" s="129"/>
      <c r="J12" s="130"/>
      <c r="K12" s="86"/>
      <c r="L12" s="86"/>
      <c r="M12" s="86"/>
      <c r="N12" s="86"/>
      <c r="O12" s="86"/>
      <c r="P12" s="86"/>
      <c r="Q12" s="86"/>
      <c r="R12" s="86"/>
    </row>
    <row r="13" spans="1:18" ht="15.75">
      <c r="A13" s="1" t="s">
        <v>32</v>
      </c>
      <c r="B13" s="2"/>
      <c r="C13" s="306"/>
      <c r="D13" s="306"/>
      <c r="E13" s="306"/>
      <c r="F13" s="306"/>
      <c r="G13" s="306"/>
      <c r="H13" s="111"/>
      <c r="I13" s="111"/>
      <c r="J13" s="111"/>
      <c r="K13" s="2"/>
      <c r="L13" s="2"/>
      <c r="M13" s="2"/>
      <c r="N13" s="2"/>
      <c r="O13" s="2"/>
      <c r="P13" s="2"/>
      <c r="Q13" s="2"/>
      <c r="R13" s="2"/>
    </row>
    <row r="14" spans="1:18" ht="15.75">
      <c r="A14" s="1"/>
      <c r="B14" s="2" t="s">
        <v>33</v>
      </c>
      <c r="C14" s="2">
        <f>-14508-C15</f>
        <v>-14193</v>
      </c>
      <c r="D14" s="2">
        <f>-14883-D15</f>
        <v>-14560</v>
      </c>
      <c r="E14" s="2">
        <f>-15471-E15</f>
        <v>-15148</v>
      </c>
      <c r="F14" s="2">
        <f>-14574-F15</f>
        <v>-14247</v>
      </c>
      <c r="G14" s="2">
        <f>-15140-G15</f>
        <v>-14812</v>
      </c>
      <c r="H14" s="111">
        <f>-H6*Proyecciones!B11</f>
        <v>-15226.736000000035</v>
      </c>
      <c r="I14" s="111">
        <f>-I6*Proyecciones!C11</f>
        <v>-15749.013044799965</v>
      </c>
      <c r="J14" s="111">
        <f>-J6*Proyecciones!D11</f>
        <v>-16320.702218326243</v>
      </c>
      <c r="K14" s="111">
        <f>-K6*Proyecciones!E11</f>
        <v>-16888.662655523956</v>
      </c>
      <c r="L14" s="111">
        <f>-L6*Proyecciones!F11</f>
        <v>-17451.055121952988</v>
      </c>
      <c r="M14" s="111">
        <f>-M6*Proyecciones!G11</f>
        <v>-18007.74378034328</v>
      </c>
      <c r="N14" s="111">
        <f>-N6*Proyecciones!H11</f>
        <v>-18582.190806936178</v>
      </c>
      <c r="O14" s="111">
        <f>-O6*Proyecciones!I11</f>
        <v>-19174.962693677491</v>
      </c>
      <c r="P14" s="111">
        <f>-P6*Proyecciones!J11</f>
        <v>-19786.644003605779</v>
      </c>
      <c r="Q14" s="111">
        <f>-Q6*Proyecciones!K11</f>
        <v>-20417.837947320852</v>
      </c>
      <c r="R14" s="111">
        <f>-R6*Proyecciones!L11</f>
        <v>-21069.166977840276</v>
      </c>
    </row>
    <row r="15" spans="1:18" ht="15.75" outlineLevel="1">
      <c r="A15" s="1"/>
      <c r="B15" s="361" t="s">
        <v>350</v>
      </c>
      <c r="C15" s="2">
        <f>+CapitalFijo!C87</f>
        <v>-315</v>
      </c>
      <c r="D15" s="2">
        <f>+CapitalFijo!D87</f>
        <v>-323</v>
      </c>
      <c r="E15" s="2">
        <f>+CapitalFijo!E87</f>
        <v>-323</v>
      </c>
      <c r="F15" s="2">
        <f>+CapitalFijo!F87</f>
        <v>-327</v>
      </c>
      <c r="G15" s="2">
        <f>+CapitalFijo!G87</f>
        <v>-328</v>
      </c>
      <c r="H15" s="111">
        <f>+CapitalFijo!H87</f>
        <v>-511.56508465299544</v>
      </c>
      <c r="I15" s="111">
        <f>+CapitalFijo!I87</f>
        <v>-511.56508465299544</v>
      </c>
      <c r="J15" s="111">
        <f>+CapitalFijo!J87</f>
        <v>-509.87591016959146</v>
      </c>
      <c r="K15" s="111">
        <f>+CapitalFijo!K87</f>
        <v>-400.98046180625573</v>
      </c>
      <c r="L15" s="111">
        <f>+CapitalFijo!L87</f>
        <v>-260.8352854999751</v>
      </c>
      <c r="M15" s="111">
        <f>+CapitalFijo!M87</f>
        <v>-225.61599752103638</v>
      </c>
      <c r="N15" s="111">
        <f>+CapitalFijo!N87</f>
        <v>-225.61599752103638</v>
      </c>
      <c r="O15" s="111">
        <f>+CapitalFijo!O87</f>
        <v>-225.61599752103476</v>
      </c>
      <c r="P15" s="111">
        <f>+CapitalFijo!P87</f>
        <v>-225.61599752103638</v>
      </c>
      <c r="Q15" s="111">
        <f>+CapitalFijo!Q87</f>
        <v>-225.61599752103638</v>
      </c>
      <c r="R15" s="111">
        <f>+CapitalFijo!R87</f>
        <v>-13.281134375750879</v>
      </c>
    </row>
    <row r="16" spans="1:18" ht="15.75">
      <c r="A16" s="1"/>
      <c r="B16" s="2" t="s">
        <v>34</v>
      </c>
      <c r="C16" s="2">
        <f>-13327-C17-C18</f>
        <v>-11951</v>
      </c>
      <c r="D16" s="2">
        <f>-13332-D17-D18</f>
        <v>-12214</v>
      </c>
      <c r="E16" s="2">
        <f>-13723-E17-E18</f>
        <v>-12644</v>
      </c>
      <c r="F16" s="2">
        <f>-13894-F17-F18</f>
        <v>-12991</v>
      </c>
      <c r="G16" s="2">
        <f>-13556-G17-G18</f>
        <v>-12890</v>
      </c>
      <c r="H16" s="111">
        <f>-H6*Proyecciones!B12</f>
        <v>-13250.920000000022</v>
      </c>
      <c r="I16" s="111">
        <f>-I6*Proyecciones!C12</f>
        <v>-13705.426555999966</v>
      </c>
      <c r="J16" s="111">
        <f>-J6*Proyecciones!D12</f>
        <v>-14202.933539982787</v>
      </c>
      <c r="K16" s="111">
        <f>-K6*Proyecciones!E12</f>
        <v>-14697.19562717422</v>
      </c>
      <c r="L16" s="111">
        <f>-L6*Proyecciones!F12</f>
        <v>-15186.612241559063</v>
      </c>
      <c r="M16" s="111">
        <f>-M6*Proyecciones!G12</f>
        <v>-15671.065172064837</v>
      </c>
      <c r="N16" s="111">
        <f>-N6*Proyecciones!H12</f>
        <v>-16170.972151053675</v>
      </c>
      <c r="O16" s="111">
        <f>-O6*Proyecciones!I12</f>
        <v>-16686.826162672358</v>
      </c>
      <c r="P16" s="111">
        <f>-P6*Proyecciones!J12</f>
        <v>-17219.13591726153</v>
      </c>
      <c r="Q16" s="111">
        <f>-Q6*Proyecciones!K12</f>
        <v>-17768.426353022238</v>
      </c>
      <c r="R16" s="111">
        <f>-R6*Proyecciones!L12</f>
        <v>-18335.239153683626</v>
      </c>
    </row>
    <row r="17" spans="1:18" ht="15.75" outlineLevel="1">
      <c r="A17" s="1"/>
      <c r="B17" s="361" t="s">
        <v>350</v>
      </c>
      <c r="C17" s="2">
        <f>+CapitalFijo!C86</f>
        <v>-1016</v>
      </c>
      <c r="D17" s="2">
        <f>+CapitalFijo!D86</f>
        <v>-870</v>
      </c>
      <c r="E17" s="2">
        <f>+CapitalFijo!E86</f>
        <v>-850</v>
      </c>
      <c r="F17" s="2">
        <f>+CapitalFijo!F86</f>
        <v>-675</v>
      </c>
      <c r="G17" s="2">
        <f>+CapitalFijo!G86</f>
        <v>-469</v>
      </c>
      <c r="H17" s="111">
        <f>+CapitalFijo!H86</f>
        <v>-1200.1727567912501</v>
      </c>
      <c r="I17" s="111">
        <f>+CapitalFijo!I86</f>
        <v>-1200.1727567912501</v>
      </c>
      <c r="J17" s="111">
        <f>+CapitalFijo!J86</f>
        <v>-1196.2098178470812</v>
      </c>
      <c r="K17" s="111">
        <f>+CapitalFijo!K86</f>
        <v>-940.73235391324818</v>
      </c>
      <c r="L17" s="111">
        <f>+CapitalFijo!L86</f>
        <v>-611.94051951235895</v>
      </c>
      <c r="M17" s="111">
        <f>+CapitalFijo!M86</f>
        <v>-529.31324252651871</v>
      </c>
      <c r="N17" s="111">
        <f>+CapitalFijo!N86</f>
        <v>-529.31324252651871</v>
      </c>
      <c r="O17" s="111">
        <f>+CapitalFijo!O86</f>
        <v>-529.31324252651484</v>
      </c>
      <c r="P17" s="111">
        <f>+CapitalFijo!P86</f>
        <v>-529.31324252651871</v>
      </c>
      <c r="Q17" s="111">
        <f>+CapitalFijo!Q86</f>
        <v>-529.31324252651871</v>
      </c>
      <c r="R17" s="111">
        <f>+CapitalFijo!R86</f>
        <v>-31.158607448497289</v>
      </c>
    </row>
    <row r="18" spans="1:18" ht="16.5" outlineLevel="1" thickBot="1">
      <c r="A18" s="1"/>
      <c r="B18" s="361" t="s">
        <v>351</v>
      </c>
      <c r="C18" s="2">
        <f>+CapitalFijo!C94</f>
        <v>-360</v>
      </c>
      <c r="D18" s="2">
        <f>+CapitalFijo!D94</f>
        <v>-248</v>
      </c>
      <c r="E18" s="2">
        <f>+CapitalFijo!E94</f>
        <v>-229</v>
      </c>
      <c r="F18" s="2">
        <f>+CapitalFijo!F94</f>
        <v>-228</v>
      </c>
      <c r="G18" s="2">
        <f>+CapitalFijo!G94</f>
        <v>-197</v>
      </c>
      <c r="H18" s="111">
        <f>+CapitalFijo!H94</f>
        <v>-198.5</v>
      </c>
      <c r="I18" s="111">
        <f>+CapitalFijo!I94</f>
        <v>-198.5</v>
      </c>
      <c r="J18" s="111"/>
      <c r="K18" s="111"/>
      <c r="L18" s="111"/>
      <c r="M18" s="111"/>
      <c r="N18" s="111"/>
      <c r="O18" s="111"/>
      <c r="P18" s="111"/>
      <c r="Q18" s="111"/>
      <c r="R18" s="111"/>
    </row>
    <row r="19" spans="1:18" ht="15.75">
      <c r="A19" s="1" t="s">
        <v>35</v>
      </c>
      <c r="B19" s="2"/>
      <c r="C19" s="4">
        <f>+C10+SUM(C14:C18)</f>
        <v>-10628</v>
      </c>
      <c r="D19" s="4">
        <f t="shared" ref="D19:R19" si="5">+D10+SUM(D14:D18)</f>
        <v>-7110</v>
      </c>
      <c r="E19" s="4">
        <f t="shared" si="5"/>
        <v>-8753</v>
      </c>
      <c r="F19" s="4">
        <f t="shared" si="5"/>
        <v>-8280</v>
      </c>
      <c r="G19" s="4">
        <f t="shared" si="5"/>
        <v>-5336</v>
      </c>
      <c r="H19" s="112">
        <f t="shared" si="5"/>
        <v>-8295.5244128857339</v>
      </c>
      <c r="I19" s="112">
        <f t="shared" si="5"/>
        <v>-5318.8263301979568</v>
      </c>
      <c r="J19" s="112">
        <f t="shared" si="5"/>
        <v>-2032.0958650671309</v>
      </c>
      <c r="K19" s="4">
        <f t="shared" si="5"/>
        <v>5055.6236199698251</v>
      </c>
      <c r="L19" s="4">
        <f t="shared" si="5"/>
        <v>13209.976205541083</v>
      </c>
      <c r="M19" s="4">
        <f t="shared" si="5"/>
        <v>18052.89590969227</v>
      </c>
      <c r="N19" s="4">
        <f t="shared" si="5"/>
        <v>21919.509336124655</v>
      </c>
      <c r="O19" s="4">
        <f t="shared" si="5"/>
        <v>26109.289580778226</v>
      </c>
      <c r="P19" s="4">
        <f t="shared" si="5"/>
        <v>30646.454710249454</v>
      </c>
      <c r="Q19" s="4">
        <f t="shared" si="5"/>
        <v>33113.556364102806</v>
      </c>
      <c r="R19" s="4">
        <f t="shared" si="5"/>
        <v>36395.846470397002</v>
      </c>
    </row>
    <row r="20" spans="1:18" ht="15.75" hidden="1">
      <c r="A20" s="1"/>
      <c r="B20" s="2"/>
      <c r="C20" s="117">
        <f>+C14/C6</f>
        <v>-5.5715412909582672E-2</v>
      </c>
      <c r="D20" s="117">
        <f t="shared" ref="D20:R20" si="6">+D14/D6</f>
        <v>-4.8592129810403922E-2</v>
      </c>
      <c r="E20" s="117">
        <f t="shared" si="6"/>
        <v>-4.4226962447373182E-2</v>
      </c>
      <c r="F20" s="117">
        <f t="shared" si="6"/>
        <v>-4.9595148747154205E-2</v>
      </c>
      <c r="G20" s="117">
        <f t="shared" si="6"/>
        <v>-5.441207263269647E-2</v>
      </c>
      <c r="H20" s="117">
        <f t="shared" si="6"/>
        <v>-4.9211879694557314E-2</v>
      </c>
      <c r="I20" s="117">
        <f t="shared" si="6"/>
        <v>-4.7787326302991096E-2</v>
      </c>
      <c r="J20" s="117">
        <f t="shared" si="6"/>
        <v>-4.6693102554857147E-2</v>
      </c>
      <c r="K20" s="117">
        <f t="shared" si="6"/>
        <v>-4.5690296263272812E-2</v>
      </c>
      <c r="L20" s="117">
        <f t="shared" si="6"/>
        <v>-4.4955030329145274E-2</v>
      </c>
      <c r="M20" s="117">
        <f t="shared" si="6"/>
        <v>-4.4084862585304085E-2</v>
      </c>
      <c r="N20" s="117">
        <f t="shared" si="6"/>
        <v>-4.324265327953758E-2</v>
      </c>
      <c r="O20" s="117">
        <f t="shared" si="6"/>
        <v>-4.2407571339045935E-2</v>
      </c>
      <c r="P20" s="117">
        <f t="shared" si="6"/>
        <v>-4.1579885651946258E-2</v>
      </c>
      <c r="Q20" s="117">
        <f t="shared" si="6"/>
        <v>-4.0759854861337264E-2</v>
      </c>
      <c r="R20" s="117">
        <f t="shared" si="6"/>
        <v>-3.9947727087319418E-2</v>
      </c>
    </row>
    <row r="21" spans="1:18" ht="15.75" hidden="1">
      <c r="A21" s="1"/>
      <c r="B21" s="2"/>
      <c r="C21" s="49">
        <f t="shared" ref="C21:R21" si="7">+C16/C6</f>
        <v>-4.6914316894414325E-2</v>
      </c>
      <c r="D21" s="49">
        <f t="shared" si="7"/>
        <v>-4.076265614727153E-2</v>
      </c>
      <c r="E21" s="49">
        <f t="shared" si="7"/>
        <v>-3.6916141615037402E-2</v>
      </c>
      <c r="F21" s="49">
        <f t="shared" si="7"/>
        <v>-4.5222894460186729E-2</v>
      </c>
      <c r="G21" s="49">
        <f t="shared" si="7"/>
        <v>-4.7351580896263672E-2</v>
      </c>
      <c r="H21" s="49">
        <f t="shared" si="7"/>
        <v>-4.2826163196249212E-2</v>
      </c>
      <c r="I21" s="49">
        <f t="shared" si="7"/>
        <v>-4.1586459360353434E-2</v>
      </c>
      <c r="J21" s="49">
        <f t="shared" si="7"/>
        <v>-4.0634221707541718E-2</v>
      </c>
      <c r="K21" s="49">
        <f t="shared" si="7"/>
        <v>-3.9761539213717834E-2</v>
      </c>
      <c r="L21" s="49">
        <f t="shared" si="7"/>
        <v>-3.9121681133046149E-2</v>
      </c>
      <c r="M21" s="49">
        <f t="shared" si="7"/>
        <v>-3.8364426054858791E-2</v>
      </c>
      <c r="N21" s="49">
        <f t="shared" si="7"/>
        <v>-3.7631501537485734E-2</v>
      </c>
      <c r="O21" s="49">
        <f t="shared" si="7"/>
        <v>-3.6904779540933186E-2</v>
      </c>
      <c r="P21" s="49">
        <f t="shared" si="7"/>
        <v>-3.6184494062488914E-2</v>
      </c>
      <c r="Q21" s="49">
        <f t="shared" si="7"/>
        <v>-3.5470870183812897E-2</v>
      </c>
      <c r="R21" s="49">
        <f t="shared" si="7"/>
        <v>-3.4764123829027049E-2</v>
      </c>
    </row>
    <row r="22" spans="1:18" ht="15.75">
      <c r="A22" s="1"/>
      <c r="B22" s="2"/>
      <c r="P22" s="303"/>
      <c r="Q22" s="303"/>
      <c r="R22" s="303"/>
    </row>
    <row r="23" spans="1:18" ht="15.75">
      <c r="A23" s="1" t="s">
        <v>36</v>
      </c>
      <c r="B23" s="2"/>
      <c r="C23" s="49"/>
      <c r="D23" s="49"/>
      <c r="E23" s="49"/>
      <c r="F23" s="49"/>
      <c r="G23" s="49"/>
      <c r="H23" s="129"/>
      <c r="I23" s="129"/>
      <c r="J23" s="130"/>
      <c r="K23" s="86"/>
      <c r="L23" s="86"/>
      <c r="M23" s="86"/>
      <c r="N23" s="86"/>
      <c r="O23" s="86"/>
      <c r="P23" s="86"/>
      <c r="Q23" s="86"/>
      <c r="R23" s="86"/>
    </row>
    <row r="24" spans="1:18" ht="15.75">
      <c r="A24" s="1"/>
      <c r="B24" s="2" t="s">
        <v>37</v>
      </c>
      <c r="C24" s="2">
        <f>5041+808+373</f>
        <v>6222</v>
      </c>
      <c r="D24" s="2">
        <f>5228+1043+470</f>
        <v>6741</v>
      </c>
      <c r="E24" s="2">
        <f>1375+307+108</f>
        <v>1790</v>
      </c>
      <c r="F24" s="2">
        <f>2870+772+137</f>
        <v>3779</v>
      </c>
      <c r="G24" s="2">
        <f>712+672+185</f>
        <v>1569</v>
      </c>
      <c r="H24" s="111">
        <f>+'Anex Proyecc'!E62</f>
        <v>774.58034975914063</v>
      </c>
      <c r="I24" s="111">
        <f>+'Anex Proyecc'!F62</f>
        <v>961.55915430055006</v>
      </c>
      <c r="J24" s="111">
        <f>+'Anex Proyecc'!G62</f>
        <v>1005.8623290070313</v>
      </c>
      <c r="K24" s="111">
        <f>+'Anex Proyecc'!H62</f>
        <v>1003.1533015827808</v>
      </c>
      <c r="L24" s="111">
        <f>+'Anex Proyecc'!I62</f>
        <v>1079.2475851846425</v>
      </c>
      <c r="M24" s="111">
        <f>+'Anex Proyecc'!J62</f>
        <v>1117.3235957218039</v>
      </c>
      <c r="N24" s="111">
        <f>+'Anex Proyecc'!K62</f>
        <v>1167.0992130800796</v>
      </c>
      <c r="O24" s="111">
        <f>+'Anex Proyecc'!L62</f>
        <v>1236.4525501728369</v>
      </c>
      <c r="P24" s="111">
        <f>+'Anex Proyecc'!M62</f>
        <v>1298.4665063518698</v>
      </c>
      <c r="Q24" s="111">
        <f>+'Anex Proyecc'!N62</f>
        <v>1365.7232091354558</v>
      </c>
      <c r="R24" s="111">
        <f>+'Anex Proyecc'!O62</f>
        <v>1439.7714911257585</v>
      </c>
    </row>
    <row r="25" spans="1:18" ht="15.75">
      <c r="A25" s="1"/>
      <c r="B25" s="2" t="s">
        <v>38</v>
      </c>
      <c r="C25" s="2">
        <f>-2132-226</f>
        <v>-2358</v>
      </c>
      <c r="D25" s="2">
        <f>-1009-125</f>
        <v>-1134</v>
      </c>
      <c r="E25" s="2">
        <f>-499-131</f>
        <v>-630</v>
      </c>
      <c r="F25" s="2">
        <f>-970-166</f>
        <v>-1136</v>
      </c>
      <c r="G25" s="2">
        <f>-1023-126</f>
        <v>-1149</v>
      </c>
      <c r="H25" s="111">
        <f t="array" ref="H25:R25">-TRANSPOSE('Proyecc Deuda'!I91:I101)</f>
        <v>-2520.3069252000037</v>
      </c>
      <c r="I25" s="111">
        <v>-2120.1646140772045</v>
      </c>
      <c r="J25" s="111">
        <v>-1848.3957096630024</v>
      </c>
      <c r="K25" s="111">
        <v>-1559.7441004000032</v>
      </c>
      <c r="L25" s="111">
        <v>-1254.7214706368045</v>
      </c>
      <c r="M25" s="111">
        <v>-958.80693325320442</v>
      </c>
      <c r="N25" s="111">
        <v>-756.83878660256346</v>
      </c>
      <c r="O25" s="111">
        <v>-554.8706399519225</v>
      </c>
      <c r="P25" s="111">
        <v>-352.92429330128249</v>
      </c>
      <c r="Q25" s="111">
        <v>-176.4621466506409</v>
      </c>
      <c r="R25" s="111">
        <v>0</v>
      </c>
    </row>
    <row r="26" spans="1:18" ht="16.5" thickBot="1">
      <c r="A26" s="1"/>
      <c r="B26" s="2" t="s">
        <v>39</v>
      </c>
      <c r="C26" s="2">
        <f>5519+1371-2154-1085</f>
        <v>3651</v>
      </c>
      <c r="D26" s="2">
        <f>5201+865-1799-1008</f>
        <v>3259</v>
      </c>
      <c r="E26" s="2">
        <f>910+1651-391-1502-849</f>
        <v>-181</v>
      </c>
      <c r="F26" s="2">
        <f>2713+2606+849-3081-121</f>
        <v>2966</v>
      </c>
      <c r="G26" s="2">
        <f>2308+722-5392-864</f>
        <v>-3226</v>
      </c>
      <c r="H26" s="111">
        <f t="array" ref="H26:Q26">-TRANSPOSE('Proyecc Deuda'!K36:K45)</f>
        <v>-1757.2</v>
      </c>
      <c r="I26" s="111">
        <v>-2494.2842000000001</v>
      </c>
      <c r="J26" s="111">
        <v>-1652.0055</v>
      </c>
      <c r="K26" s="111">
        <v>-1214.4000000000001</v>
      </c>
      <c r="L26" s="111">
        <v>-637.64480000000003</v>
      </c>
      <c r="M26" s="111">
        <v>-599.52020000000005</v>
      </c>
      <c r="N26" s="111">
        <v>-479.61616000000004</v>
      </c>
      <c r="O26" s="111">
        <v>-359.71212000000008</v>
      </c>
      <c r="P26" s="111">
        <v>-239.80808000000005</v>
      </c>
      <c r="Q26" s="111">
        <v>-119.90404000000004</v>
      </c>
      <c r="R26" s="111">
        <v>0</v>
      </c>
    </row>
    <row r="27" spans="1:18" ht="15.75">
      <c r="A27" s="1" t="s">
        <v>40</v>
      </c>
      <c r="B27" s="2"/>
      <c r="C27" s="6">
        <f>SUM(C24:C26)</f>
        <v>7515</v>
      </c>
      <c r="D27" s="6">
        <f>SUM(D24:D26)</f>
        <v>8866</v>
      </c>
      <c r="E27" s="6">
        <f>SUM(E24:E26)</f>
        <v>979</v>
      </c>
      <c r="F27" s="6">
        <f>SUM(F24:F26)</f>
        <v>5609</v>
      </c>
      <c r="G27" s="6">
        <f>SUM(G24:G26)</f>
        <v>-2806</v>
      </c>
      <c r="H27" s="6">
        <f t="shared" ref="H27:R27" si="8">SUM(H24:H26)</f>
        <v>-3502.9265754408634</v>
      </c>
      <c r="I27" s="6">
        <f t="shared" si="8"/>
        <v>-3652.8896597766543</v>
      </c>
      <c r="J27" s="6">
        <f t="shared" si="8"/>
        <v>-2494.5388806559713</v>
      </c>
      <c r="K27" s="6">
        <f t="shared" si="8"/>
        <v>-1770.9907988172224</v>
      </c>
      <c r="L27" s="6">
        <f t="shared" si="8"/>
        <v>-813.11868545216203</v>
      </c>
      <c r="M27" s="6">
        <f t="shared" si="8"/>
        <v>-441.00353753140053</v>
      </c>
      <c r="N27" s="6">
        <f t="shared" si="8"/>
        <v>-69.355733522483888</v>
      </c>
      <c r="O27" s="6">
        <f t="shared" si="8"/>
        <v>321.86979022091435</v>
      </c>
      <c r="P27" s="6">
        <f t="shared" si="8"/>
        <v>705.73413305058739</v>
      </c>
      <c r="Q27" s="6">
        <f t="shared" si="8"/>
        <v>1069.3570224848147</v>
      </c>
      <c r="R27" s="6">
        <f t="shared" si="8"/>
        <v>1439.7714911257585</v>
      </c>
    </row>
    <row r="28" spans="1:18">
      <c r="A28" s="2"/>
      <c r="B28" s="2" t="s">
        <v>41</v>
      </c>
      <c r="C28" s="2">
        <f>1281</f>
        <v>1281</v>
      </c>
      <c r="D28" s="2">
        <v>2165</v>
      </c>
      <c r="E28" s="2">
        <v>2058</v>
      </c>
      <c r="F28" s="2">
        <v>3295</v>
      </c>
      <c r="G28" s="2">
        <v>2082</v>
      </c>
      <c r="H28" s="111">
        <f>+'Anex Proyecc'!E71</f>
        <v>2073.4760000000001</v>
      </c>
      <c r="I28" s="111">
        <f>+'Anex Proyecc'!F71</f>
        <v>2144.5962267999998</v>
      </c>
      <c r="J28" s="111">
        <f>+'Anex Proyecc'!G71</f>
        <v>2222.4450698328396</v>
      </c>
      <c r="K28" s="111">
        <f>+'Anex Proyecc'!H71</f>
        <v>2299.786158263023</v>
      </c>
      <c r="L28" s="111">
        <f>+'Anex Proyecc'!I71</f>
        <v>2376.3690373331815</v>
      </c>
      <c r="M28" s="111">
        <f>+'Anex Proyecc'!J71</f>
        <v>2452.1752096241103</v>
      </c>
      <c r="N28" s="111">
        <f>+'Anex Proyecc'!K71</f>
        <v>2530.3995988111192</v>
      </c>
      <c r="O28" s="111">
        <f>+'Anex Proyecc'!L71</f>
        <v>2611.119346013194</v>
      </c>
      <c r="P28" s="111">
        <f>+'Anex Proyecc'!M71</f>
        <v>2694.4140531510152</v>
      </c>
      <c r="Q28" s="111">
        <f>+'Anex Proyecc'!N71</f>
        <v>2780.3658614465326</v>
      </c>
      <c r="R28" s="111">
        <f>+'Anex Proyecc'!O71</f>
        <v>2869.0595324266769</v>
      </c>
    </row>
    <row r="29" spans="1:18" ht="15.75" thickBot="1">
      <c r="A29" s="2"/>
      <c r="B29" s="2" t="s">
        <v>42</v>
      </c>
      <c r="C29" s="2">
        <f>-310-272-24-8435</f>
        <v>-9041</v>
      </c>
      <c r="D29" s="2">
        <f>-630-374-119-1750-372-151-60</f>
        <v>-3456</v>
      </c>
      <c r="E29" s="2">
        <f>-205-154-4108</f>
        <v>-4467</v>
      </c>
      <c r="F29" s="2">
        <f>-219-149-1852</f>
        <v>-2220</v>
      </c>
      <c r="G29" s="2">
        <f>-496-220-140-6-1333</f>
        <v>-2195</v>
      </c>
      <c r="H29" s="111">
        <f>-'Anex Proyecc'!E83</f>
        <v>-1491.4884443583458</v>
      </c>
      <c r="I29" s="111">
        <f>-'Anex Proyecc'!F83</f>
        <v>-927.23873436740803</v>
      </c>
      <c r="J29" s="111">
        <f>-'Anex Proyecc'!G83</f>
        <v>-645.95066172001248</v>
      </c>
      <c r="K29" s="111">
        <f>-'Anex Proyecc'!H83</f>
        <v>-672.03972716967269</v>
      </c>
      <c r="L29" s="111">
        <f>-'Anex Proyecc'!I83</f>
        <v>-330.85532182327267</v>
      </c>
      <c r="M29" s="111">
        <f>-'Anex Proyecc'!J83</f>
        <v>-343.07729745561363</v>
      </c>
      <c r="N29" s="111">
        <f>-'Anex Proyecc'!K83</f>
        <v>-353.42871825016448</v>
      </c>
      <c r="O29" s="111">
        <f>-'Anex Proyecc'!L83</f>
        <v>-364.51893453463094</v>
      </c>
      <c r="P29" s="111">
        <f>-'Anex Proyecc'!M83</f>
        <v>-376.48416666648166</v>
      </c>
      <c r="Q29" s="111">
        <f>-'Anex Proyecc'!N83</f>
        <v>-388.32748985085709</v>
      </c>
      <c r="R29" s="111">
        <f>-'Anex Proyecc'!O83</f>
        <v>-400.71005038801945</v>
      </c>
    </row>
    <row r="30" spans="1:18" ht="15.75">
      <c r="A30" s="1" t="s">
        <v>43</v>
      </c>
      <c r="B30" s="2"/>
      <c r="C30" s="4">
        <f>C19+SUM(C27:C29)</f>
        <v>-10873</v>
      </c>
      <c r="D30" s="4">
        <f>D19+SUM(D27:D29)</f>
        <v>465</v>
      </c>
      <c r="E30" s="4">
        <f>E19+SUM(E27:E29)</f>
        <v>-10183</v>
      </c>
      <c r="F30" s="4">
        <f>F19+SUM(F27:F29)</f>
        <v>-1596</v>
      </c>
      <c r="G30" s="4">
        <f>G19+SUM(G27:G29)</f>
        <v>-8255</v>
      </c>
      <c r="H30" s="112">
        <f t="shared" ref="H30:O30" si="9">H19+SUM(H27:H29)</f>
        <v>-11216.463432684943</v>
      </c>
      <c r="I30" s="112">
        <f t="shared" si="9"/>
        <v>-7754.3584975420199</v>
      </c>
      <c r="J30" s="112">
        <f t="shared" si="9"/>
        <v>-2950.1403376102753</v>
      </c>
      <c r="K30" s="4">
        <f t="shared" si="9"/>
        <v>4912.3792522459535</v>
      </c>
      <c r="L30" s="4">
        <f t="shared" si="9"/>
        <v>14442.37123559883</v>
      </c>
      <c r="M30" s="4">
        <f t="shared" si="9"/>
        <v>19720.990284329368</v>
      </c>
      <c r="N30" s="4">
        <f t="shared" si="9"/>
        <v>24027.124483163127</v>
      </c>
      <c r="O30" s="112">
        <f t="shared" si="9"/>
        <v>28677.759782477704</v>
      </c>
      <c r="P30" s="112">
        <f>P19+SUM(P27:P29)</f>
        <v>33670.118729784575</v>
      </c>
      <c r="Q30" s="112">
        <f>Q19+SUM(Q27:Q29)</f>
        <v>36574.951758183299</v>
      </c>
      <c r="R30" s="112">
        <f>R19+SUM(R27:R29)</f>
        <v>40303.967443561414</v>
      </c>
    </row>
    <row r="31" spans="1:18" ht="15.75">
      <c r="A31" s="1"/>
      <c r="B31" s="2"/>
      <c r="C31" s="2"/>
      <c r="D31" s="2"/>
      <c r="E31" s="2"/>
      <c r="F31" s="2"/>
      <c r="G31" s="2"/>
      <c r="H31" s="111"/>
      <c r="I31" s="111"/>
      <c r="J31" s="111"/>
      <c r="K31" s="2"/>
      <c r="L31" s="2"/>
      <c r="M31" s="2"/>
      <c r="N31" s="2"/>
      <c r="O31" s="111"/>
      <c r="P31" s="111"/>
      <c r="Q31" s="111"/>
      <c r="R31" s="111"/>
    </row>
    <row r="32" spans="1:18" ht="15.75">
      <c r="A32" s="1" t="s">
        <v>44</v>
      </c>
      <c r="B32" s="2"/>
      <c r="C32" s="2">
        <v>0</v>
      </c>
      <c r="D32" s="2">
        <v>0</v>
      </c>
      <c r="E32" s="2">
        <v>-2299</v>
      </c>
      <c r="F32" s="2">
        <v>-2390</v>
      </c>
      <c r="G32" s="2">
        <v>-2185</v>
      </c>
      <c r="H32" s="111">
        <f>-'Proyecc Imptos'!G42</f>
        <v>-2079.155665505381</v>
      </c>
      <c r="I32" s="111">
        <f>-'Proyecc Imptos'!H42</f>
        <v>-2013.153597995642</v>
      </c>
      <c r="J32" s="111">
        <f>-'Proyecc Imptos'!I42</f>
        <v>-1900.6759042612218</v>
      </c>
      <c r="K32" s="111">
        <f>-'Proyecc Imptos'!J42</f>
        <v>-2146.592160468872</v>
      </c>
      <c r="L32" s="111">
        <f>-'Proyecc Imptos'!K42</f>
        <v>-4765.9825077476144</v>
      </c>
      <c r="M32" s="111">
        <f>-'Proyecc Imptos'!L42</f>
        <v>-3406.6054122404339</v>
      </c>
      <c r="N32" s="111">
        <f>-'Proyecc Imptos'!M42</f>
        <v>-3736.2068986508111</v>
      </c>
      <c r="O32" s="111">
        <f>-'Proyecc Imptos'!N42</f>
        <v>-4204.4738260426739</v>
      </c>
      <c r="P32" s="111">
        <f>-'Proyecc Imptos'!O42</f>
        <v>-4720.5970352956747</v>
      </c>
      <c r="Q32" s="111">
        <f>-'Proyecc Imptos'!P42</f>
        <v>-5011.3516255765371</v>
      </c>
      <c r="R32" s="111">
        <f>-'Proyecc Imptos'!Q42</f>
        <v>-5466.2771433652078</v>
      </c>
    </row>
    <row r="33" spans="1:18" ht="16.5" thickBot="1">
      <c r="A33" s="1"/>
      <c r="B33" s="2"/>
      <c r="C33" s="2"/>
      <c r="D33" s="2"/>
      <c r="E33" s="2"/>
      <c r="F33" s="2"/>
      <c r="G33" s="2"/>
      <c r="H33" s="111"/>
      <c r="I33" s="111"/>
      <c r="J33" s="111"/>
      <c r="K33" s="2"/>
      <c r="L33" s="2"/>
      <c r="M33" s="2"/>
      <c r="N33" s="2"/>
      <c r="O33" s="2"/>
      <c r="P33" s="2"/>
      <c r="Q33" s="2"/>
      <c r="R33" s="2"/>
    </row>
    <row r="34" spans="1:18" ht="17.25" thickTop="1" thickBot="1">
      <c r="A34" s="5" t="s">
        <v>45</v>
      </c>
      <c r="B34" s="5"/>
      <c r="C34" s="5">
        <f t="shared" ref="C34:I34" si="10">C30+C32</f>
        <v>-10873</v>
      </c>
      <c r="D34" s="5">
        <f t="shared" si="10"/>
        <v>465</v>
      </c>
      <c r="E34" s="5">
        <f t="shared" si="10"/>
        <v>-12482</v>
      </c>
      <c r="F34" s="5">
        <f t="shared" si="10"/>
        <v>-3986</v>
      </c>
      <c r="G34" s="5">
        <f t="shared" si="10"/>
        <v>-10440</v>
      </c>
      <c r="H34" s="5">
        <f>H30+H32+H33</f>
        <v>-13295.619098190324</v>
      </c>
      <c r="I34" s="5">
        <f t="shared" si="10"/>
        <v>-9767.5120955376624</v>
      </c>
      <c r="J34" s="5">
        <f t="shared" ref="J34:O34" si="11">J30+J32</f>
        <v>-4850.8162418714974</v>
      </c>
      <c r="K34" s="5">
        <f t="shared" si="11"/>
        <v>2765.7870917770815</v>
      </c>
      <c r="L34" s="5">
        <f t="shared" si="11"/>
        <v>9676.3887278512157</v>
      </c>
      <c r="M34" s="5">
        <f t="shared" si="11"/>
        <v>16314.384872088933</v>
      </c>
      <c r="N34" s="5">
        <f t="shared" si="11"/>
        <v>20290.917584512317</v>
      </c>
      <c r="O34" s="5">
        <f t="shared" si="11"/>
        <v>24473.285956435029</v>
      </c>
      <c r="P34" s="5">
        <f>P30+P32</f>
        <v>28949.5216944889</v>
      </c>
      <c r="Q34" s="5">
        <f>Q30+Q32</f>
        <v>31563.600132606764</v>
      </c>
      <c r="R34" s="5">
        <f>R30+R32</f>
        <v>34837.690300196205</v>
      </c>
    </row>
    <row r="35" spans="1:18" ht="15.75" thickTop="1">
      <c r="A35" s="2"/>
      <c r="B35" s="2"/>
      <c r="C35" s="2"/>
      <c r="D35" s="2"/>
      <c r="E35" s="2"/>
      <c r="F35" s="2"/>
      <c r="G35" s="2"/>
      <c r="H35" s="111"/>
    </row>
    <row r="36" spans="1:18">
      <c r="C36" s="303"/>
      <c r="D36" s="303"/>
      <c r="E36" s="303"/>
      <c r="F36" s="303"/>
      <c r="G36" s="303"/>
      <c r="H36" s="131"/>
      <c r="I36" s="131"/>
      <c r="J36" s="131"/>
      <c r="K36" s="48"/>
      <c r="L36" s="48"/>
      <c r="M36" s="48"/>
      <c r="N36" s="303"/>
      <c r="O36" s="48"/>
      <c r="P36" s="303"/>
      <c r="Q36" s="303"/>
      <c r="R36" s="303"/>
    </row>
    <row r="37" spans="1:18">
      <c r="A37" s="53"/>
      <c r="C37" s="303"/>
      <c r="D37" s="303"/>
      <c r="E37" s="303"/>
      <c r="F37" s="303"/>
      <c r="G37" s="303"/>
      <c r="H37" s="303"/>
      <c r="I37" s="374"/>
      <c r="J37" s="374"/>
      <c r="K37" s="404"/>
      <c r="L37" s="303"/>
      <c r="M37" s="303"/>
      <c r="N37" s="303"/>
      <c r="O37" s="303"/>
      <c r="P37" s="303"/>
      <c r="Q37" s="303"/>
      <c r="R37" s="303"/>
    </row>
    <row r="38" spans="1:18">
      <c r="A38" s="53"/>
      <c r="D38" s="301"/>
      <c r="E38" s="301"/>
      <c r="F38" s="301"/>
      <c r="G38" s="301"/>
      <c r="H38"/>
      <c r="J38" s="271"/>
      <c r="K38" s="271"/>
    </row>
    <row r="39" spans="1:18">
      <c r="A39" s="53"/>
      <c r="C39" s="48"/>
      <c r="D39" s="48"/>
      <c r="E39" s="48"/>
      <c r="F39" s="48"/>
      <c r="G39" s="48"/>
      <c r="H39" s="121"/>
      <c r="I39" s="132"/>
      <c r="J39" s="271"/>
      <c r="K39" s="271"/>
    </row>
    <row r="40" spans="1:18">
      <c r="A40" s="53"/>
      <c r="C40" s="110"/>
      <c r="D40" s="300"/>
      <c r="E40" s="300"/>
      <c r="F40" s="300"/>
      <c r="G40" s="300"/>
      <c r="H40" s="110"/>
      <c r="I40" s="277"/>
      <c r="J40" s="277"/>
      <c r="K40" s="277"/>
      <c r="L40" s="110"/>
      <c r="M40" s="110"/>
      <c r="N40" s="110"/>
      <c r="O40" s="110"/>
    </row>
    <row r="41" spans="1:18">
      <c r="A41" s="53"/>
      <c r="C41" s="110"/>
      <c r="D41" s="300"/>
      <c r="E41" s="300"/>
      <c r="F41" s="300"/>
      <c r="G41" s="300"/>
      <c r="H41" s="110"/>
      <c r="I41" s="277"/>
      <c r="J41" s="277"/>
      <c r="K41" s="277"/>
      <c r="L41" s="110"/>
      <c r="M41" s="110"/>
      <c r="N41" s="110"/>
      <c r="O41" s="110"/>
    </row>
    <row r="42" spans="1:18">
      <c r="C42" s="110"/>
      <c r="D42" s="110"/>
      <c r="E42" s="110"/>
      <c r="F42" s="110"/>
      <c r="G42" s="110"/>
      <c r="H42" s="110"/>
      <c r="I42" s="277"/>
      <c r="J42" s="277"/>
      <c r="K42" s="277"/>
      <c r="L42" s="110"/>
      <c r="M42" s="110"/>
      <c r="N42" s="110"/>
      <c r="O42" s="110"/>
    </row>
    <row r="43" spans="1:18">
      <c r="A43" s="53"/>
      <c r="C43" s="7"/>
      <c r="D43" s="7"/>
      <c r="E43" s="7"/>
      <c r="F43" s="7"/>
      <c r="G43" s="7"/>
      <c r="H43"/>
      <c r="K43" s="122"/>
    </row>
    <row r="44" spans="1:18">
      <c r="H44"/>
      <c r="K44" s="122"/>
    </row>
    <row r="45" spans="1:18">
      <c r="D45" s="301"/>
      <c r="E45" s="301"/>
      <c r="F45" s="301"/>
      <c r="G45" s="301"/>
      <c r="H45"/>
      <c r="K45" s="122"/>
    </row>
    <row r="46" spans="1:18">
      <c r="D46" s="301"/>
      <c r="E46" s="301"/>
      <c r="F46" s="301"/>
      <c r="G46" s="301"/>
      <c r="H46"/>
      <c r="K46" s="122"/>
    </row>
    <row r="47" spans="1:18">
      <c r="H47"/>
      <c r="K47" s="122"/>
    </row>
  </sheetData>
  <phoneticPr fontId="0" type="noConversion"/>
  <printOptions horizontalCentered="1" verticalCentered="1"/>
  <pageMargins left="0.51181102362204722" right="0.51181102362204722" top="0.51181102362204722" bottom="0.51181102362204722" header="0.51181102362204722" footer="0.51181102362204722"/>
  <pageSetup scale="115" firstPageNumber="2" orientation="landscape" blackAndWhite="1" useFirstPageNumber="1" horizontalDpi="300" verticalDpi="300" r:id="rId1"/>
  <headerFooter>
    <oddHeader>&amp;C&amp;A</oddHeader>
    <oddFooter>&amp;CCompañía Modelo - Eva&amp;RPágina &amp;P</oddFooter>
  </headerFooter>
</worksheet>
</file>

<file path=xl/worksheets/sheet6.xml><?xml version="1.0" encoding="utf-8"?>
<worksheet xmlns="http://schemas.openxmlformats.org/spreadsheetml/2006/main" xmlns:r="http://schemas.openxmlformats.org/officeDocument/2006/relationships">
  <sheetPr transitionEvaluation="1" enableFormatConditionsCalculation="0">
    <pageSetUpPr fitToPage="1"/>
  </sheetPr>
  <dimension ref="A1:R29"/>
  <sheetViews>
    <sheetView showGridLines="0" zoomScale="80" zoomScaleNormal="80" workbookViewId="0">
      <selection activeCell="B16" sqref="B16"/>
    </sheetView>
  </sheetViews>
  <sheetFormatPr baseColWidth="10" defaultColWidth="8.88671875" defaultRowHeight="15"/>
  <cols>
    <col min="1" max="1" width="3.6640625" customWidth="1"/>
    <col min="2" max="2" width="22.33203125" customWidth="1"/>
    <col min="3" max="13" width="8" customWidth="1"/>
    <col min="14" max="15" width="8" bestFit="1" customWidth="1"/>
  </cols>
  <sheetData>
    <row r="1" spans="1:18" ht="15.75">
      <c r="A1" s="1" t="str">
        <f>+Balance!A1</f>
        <v>ENKA de Colombia S.A.</v>
      </c>
      <c r="B1" s="2"/>
      <c r="C1" s="2"/>
      <c r="D1" s="2"/>
      <c r="E1" s="2"/>
      <c r="F1" s="2"/>
      <c r="G1" s="2"/>
    </row>
    <row r="2" spans="1:18" ht="15.75">
      <c r="A2" s="1" t="s">
        <v>46</v>
      </c>
      <c r="B2" s="2"/>
      <c r="C2" s="2"/>
      <c r="D2" s="2"/>
      <c r="E2" s="2"/>
      <c r="F2" s="2"/>
      <c r="G2" s="2"/>
    </row>
    <row r="4" spans="1:18" ht="16.5" thickBot="1">
      <c r="A4" s="2"/>
      <c r="B4" s="2"/>
      <c r="C4" s="3">
        <f>Balance!$D$4</f>
        <v>2009</v>
      </c>
      <c r="D4" s="3">
        <f>C4+1</f>
        <v>2010</v>
      </c>
      <c r="E4" s="3">
        <f>D4+1</f>
        <v>2011</v>
      </c>
      <c r="F4" s="3">
        <f>E4+1</f>
        <v>2012</v>
      </c>
      <c r="G4" s="3">
        <f>+F4+1</f>
        <v>2013</v>
      </c>
      <c r="H4" s="3">
        <f t="shared" ref="H4:R4" si="0">+G4+1</f>
        <v>2014</v>
      </c>
      <c r="I4" s="3">
        <f t="shared" si="0"/>
        <v>2015</v>
      </c>
      <c r="J4" s="3">
        <f t="shared" si="0"/>
        <v>2016</v>
      </c>
      <c r="K4" s="3">
        <f t="shared" si="0"/>
        <v>2017</v>
      </c>
      <c r="L4" s="3">
        <f t="shared" si="0"/>
        <v>2018</v>
      </c>
      <c r="M4" s="3">
        <f t="shared" si="0"/>
        <v>2019</v>
      </c>
      <c r="N4" s="3">
        <f t="shared" si="0"/>
        <v>2020</v>
      </c>
      <c r="O4" s="3">
        <f t="shared" si="0"/>
        <v>2021</v>
      </c>
      <c r="P4" s="3">
        <f t="shared" si="0"/>
        <v>2022</v>
      </c>
      <c r="Q4" s="3">
        <f t="shared" si="0"/>
        <v>2023</v>
      </c>
      <c r="R4" s="3">
        <f t="shared" si="0"/>
        <v>2024</v>
      </c>
    </row>
    <row r="6" spans="1:18" ht="15.75">
      <c r="A6" s="1" t="s">
        <v>29</v>
      </c>
      <c r="B6" s="2"/>
      <c r="C6" s="7">
        <f>Resultados!C6/Resultados!C6</f>
        <v>1</v>
      </c>
      <c r="D6" s="7">
        <f>Resultados!D6/Resultados!D6</f>
        <v>1</v>
      </c>
      <c r="E6" s="7">
        <f>Resultados!E6/Resultados!E6</f>
        <v>1</v>
      </c>
      <c r="F6" s="7">
        <f>Resultados!F6/Resultados!F6</f>
        <v>1</v>
      </c>
      <c r="G6" s="7">
        <f>Resultados!G6/Resultados!G6</f>
        <v>1</v>
      </c>
      <c r="H6" s="7">
        <f>Resultados!H6/Resultados!H6</f>
        <v>1</v>
      </c>
      <c r="I6" s="7">
        <f>Resultados!I6/Resultados!I6</f>
        <v>1</v>
      </c>
      <c r="J6" s="7">
        <f>Resultados!J6/Resultados!J6</f>
        <v>1</v>
      </c>
      <c r="K6" s="7">
        <f>Resultados!K6/Resultados!K6</f>
        <v>1</v>
      </c>
      <c r="L6" s="7">
        <f>Resultados!L6/Resultados!L6</f>
        <v>1</v>
      </c>
      <c r="M6" s="7">
        <f>Resultados!M6/Resultados!M6</f>
        <v>1</v>
      </c>
      <c r="N6" s="7">
        <f>Resultados!N6/Resultados!N6</f>
        <v>1</v>
      </c>
      <c r="O6" s="7">
        <f>Resultados!O6/Resultados!O6</f>
        <v>1</v>
      </c>
      <c r="P6" s="7">
        <f>Resultados!P6/Resultados!P6</f>
        <v>1</v>
      </c>
      <c r="Q6" s="7">
        <f>Resultados!Q6/Resultados!Q6</f>
        <v>1</v>
      </c>
      <c r="R6" s="7">
        <f>Resultados!R6/Resultados!R6</f>
        <v>1</v>
      </c>
    </row>
    <row r="7" spans="1:18" ht="15.75" thickBot="1">
      <c r="A7" s="2" t="s">
        <v>30</v>
      </c>
      <c r="B7" s="2"/>
      <c r="C7" s="7">
        <f>Resultados!C7/Resultados!C6</f>
        <v>-0.93245296202809913</v>
      </c>
      <c r="D7" s="7">
        <f>Resultados!D7/Resultados!D6</f>
        <v>-0.92956477337578469</v>
      </c>
      <c r="E7" s="7">
        <f>Resultados!E7/Resultados!E6</f>
        <v>-0.94031929367660716</v>
      </c>
      <c r="F7" s="7">
        <f>Resultados!F7/Resultados!F6</f>
        <v>-0.92972367074418827</v>
      </c>
      <c r="G7" s="7">
        <f>Resultados!G7/Resultados!G6</f>
        <v>-0.91418673935324135</v>
      </c>
      <c r="H7" s="7">
        <f>Resultados!H7/Resultados!H6</f>
        <v>-0.9285988128719157</v>
      </c>
      <c r="I7" s="7">
        <f>Resultados!I7/Resultados!I6</f>
        <v>-0.92096891517011981</v>
      </c>
      <c r="J7" s="7">
        <f>Resultados!J7/Resultados!J6</f>
        <v>-0.91360538222042187</v>
      </c>
      <c r="K7" s="7">
        <f>Resultados!K7/Resultados!K6</f>
        <v>-0.89724092101862973</v>
      </c>
      <c r="L7" s="7">
        <f>Resultados!L7/Resultados!L6</f>
        <v>-0.879645221720184</v>
      </c>
      <c r="M7" s="7">
        <f>Resultados!M7/Resultados!M6</f>
        <v>-0.87150716490735081</v>
      </c>
      <c r="N7" s="7">
        <f>Resultados!N7/Resultados!N6</f>
        <v>-0.86636011395974577</v>
      </c>
      <c r="O7" s="7">
        <f>Resultados!O7/Resultados!O6</f>
        <v>-0.86127442916692287</v>
      </c>
      <c r="P7" s="7">
        <f>Resultados!P7/Resultados!P6</f>
        <v>-0.85624838395947156</v>
      </c>
      <c r="Q7" s="7">
        <f>Resultados!Q7/Resultados!Q6</f>
        <v>-0.85615807335945271</v>
      </c>
      <c r="R7" s="7">
        <f>Resultados!R7/Resultados!R6</f>
        <v>-0.85619635204579825</v>
      </c>
    </row>
    <row r="8" spans="1:18" ht="15.75">
      <c r="A8" s="1" t="s">
        <v>31</v>
      </c>
      <c r="B8" s="2"/>
      <c r="C8" s="8">
        <f t="shared" ref="C8:O8" si="1">SUM(C6:C7)</f>
        <v>6.754703797190087E-2</v>
      </c>
      <c r="D8" s="8">
        <f t="shared" si="1"/>
        <v>7.0435226624215308E-2</v>
      </c>
      <c r="E8" s="8">
        <f t="shared" si="1"/>
        <v>5.968070632339284E-2</v>
      </c>
      <c r="F8" s="8">
        <f t="shared" si="1"/>
        <v>7.0276329255811731E-2</v>
      </c>
      <c r="G8" s="8">
        <f>SUM(G6:G7)</f>
        <v>8.5813260646758649E-2</v>
      </c>
      <c r="H8" s="8">
        <f t="shared" si="1"/>
        <v>7.1401187128084298E-2</v>
      </c>
      <c r="I8" s="8">
        <f t="shared" si="1"/>
        <v>7.9031084829880194E-2</v>
      </c>
      <c r="J8" s="8">
        <f t="shared" si="1"/>
        <v>8.6394617779578131E-2</v>
      </c>
      <c r="K8" s="8">
        <f t="shared" si="1"/>
        <v>0.10275907898137027</v>
      </c>
      <c r="L8" s="8">
        <f t="shared" si="1"/>
        <v>0.120354778279816</v>
      </c>
      <c r="M8" s="8">
        <f t="shared" si="1"/>
        <v>0.12849283509264919</v>
      </c>
      <c r="N8" s="8">
        <f t="shared" si="1"/>
        <v>0.13363988604025423</v>
      </c>
      <c r="O8" s="8">
        <f t="shared" si="1"/>
        <v>0.13872557083307713</v>
      </c>
      <c r="P8" s="8">
        <f>SUM(P6:P7)</f>
        <v>0.14375161604052844</v>
      </c>
      <c r="Q8" s="8">
        <f>SUM(Q6:Q7)</f>
        <v>0.14384192664054729</v>
      </c>
      <c r="R8" s="8">
        <f>SUM(R6:R7)</f>
        <v>0.14380364795420175</v>
      </c>
    </row>
    <row r="9" spans="1:18" ht="15.75">
      <c r="A9" s="1"/>
      <c r="B9" s="2"/>
      <c r="C9" s="7"/>
      <c r="D9" s="7"/>
      <c r="E9" s="7"/>
      <c r="F9" s="7"/>
      <c r="G9" s="7"/>
      <c r="H9" s="7"/>
      <c r="I9" s="7"/>
      <c r="J9" s="7"/>
      <c r="K9" s="7"/>
      <c r="L9" s="7"/>
      <c r="M9" s="7"/>
      <c r="N9" s="7"/>
      <c r="O9" s="7"/>
      <c r="P9" s="7"/>
      <c r="Q9" s="7"/>
      <c r="R9" s="7"/>
    </row>
    <row r="10" spans="1:18" ht="15.75">
      <c r="A10" s="1" t="s">
        <v>32</v>
      </c>
      <c r="B10" s="2"/>
      <c r="C10" s="7"/>
      <c r="D10" s="7"/>
      <c r="E10" s="7"/>
      <c r="F10" s="7"/>
      <c r="G10" s="7"/>
      <c r="H10" s="7"/>
      <c r="I10" s="7"/>
      <c r="J10" s="7"/>
      <c r="K10" s="7"/>
      <c r="L10" s="7"/>
      <c r="M10" s="7"/>
      <c r="N10" s="7"/>
      <c r="O10" s="7"/>
      <c r="P10" s="7"/>
      <c r="Q10" s="7"/>
      <c r="R10" s="7"/>
    </row>
    <row r="11" spans="1:18" ht="15.75">
      <c r="A11" s="1"/>
      <c r="B11" s="2" t="s">
        <v>33</v>
      </c>
      <c r="C11" s="7">
        <f>Resultados!C14/Resultados!C6</f>
        <v>-5.5715412909582672E-2</v>
      </c>
      <c r="D11" s="7">
        <f>Resultados!D14/Resultados!D6</f>
        <v>-4.8592129810403922E-2</v>
      </c>
      <c r="E11" s="7">
        <f>Resultados!E14/Resultados!E6</f>
        <v>-4.4226962447373182E-2</v>
      </c>
      <c r="F11" s="7">
        <f>Resultados!F14/Resultados!F6</f>
        <v>-4.9595148747154205E-2</v>
      </c>
      <c r="G11" s="7">
        <f>Resultados!G14/Resultados!G6</f>
        <v>-5.441207263269647E-2</v>
      </c>
      <c r="H11" s="7">
        <f>Resultados!H14/Resultados!H6</f>
        <v>-4.9211879694557314E-2</v>
      </c>
      <c r="I11" s="7">
        <f>Resultados!I14/Resultados!I6</f>
        <v>-4.7787326302991096E-2</v>
      </c>
      <c r="J11" s="7">
        <f>Resultados!J14/Resultados!J6</f>
        <v>-4.6693102554857147E-2</v>
      </c>
      <c r="K11" s="7">
        <f>Resultados!K14/Resultados!K6</f>
        <v>-4.5690296263272812E-2</v>
      </c>
      <c r="L11" s="7">
        <f>Resultados!L14/Resultados!L6</f>
        <v>-4.4955030329145274E-2</v>
      </c>
      <c r="M11" s="7">
        <f>Resultados!M14/Resultados!M6</f>
        <v>-4.4084862585304085E-2</v>
      </c>
      <c r="N11" s="7">
        <f>Resultados!N14/Resultados!N6</f>
        <v>-4.324265327953758E-2</v>
      </c>
      <c r="O11" s="7">
        <f>Resultados!O14/Resultados!O6</f>
        <v>-4.2407571339045935E-2</v>
      </c>
      <c r="P11" s="7">
        <f>Resultados!P14/Resultados!P6</f>
        <v>-4.1579885651946258E-2</v>
      </c>
      <c r="Q11" s="7">
        <f>Resultados!Q14/Resultados!Q6</f>
        <v>-4.0759854861337264E-2</v>
      </c>
      <c r="R11" s="7">
        <f>Resultados!R14/Resultados!R6</f>
        <v>-3.9947727087319418E-2</v>
      </c>
    </row>
    <row r="12" spans="1:18" ht="15.75">
      <c r="A12" s="1"/>
      <c r="B12" s="2" t="s">
        <v>34</v>
      </c>
      <c r="C12" s="7">
        <f>Resultados!C16/Resultados!C6</f>
        <v>-4.6914316894414325E-2</v>
      </c>
      <c r="D12" s="7">
        <f>Resultados!D16/Resultados!D6</f>
        <v>-4.076265614727153E-2</v>
      </c>
      <c r="E12" s="7">
        <f>Resultados!E16/Resultados!E6</f>
        <v>-3.6916141615037402E-2</v>
      </c>
      <c r="F12" s="7">
        <f>Resultados!F16/Resultados!F6</f>
        <v>-4.5222894460186729E-2</v>
      </c>
      <c r="G12" s="7">
        <f>Resultados!G16/Resultados!G6</f>
        <v>-4.7351580896263672E-2</v>
      </c>
      <c r="H12" s="7">
        <f>Resultados!H16/Resultados!H6</f>
        <v>-4.2826163196249212E-2</v>
      </c>
      <c r="I12" s="7">
        <f>Resultados!I16/Resultados!I6</f>
        <v>-4.1586459360353434E-2</v>
      </c>
      <c r="J12" s="7">
        <f>Resultados!J16/Resultados!J6</f>
        <v>-4.0634221707541718E-2</v>
      </c>
      <c r="K12" s="7">
        <f>Resultados!K16/Resultados!K6</f>
        <v>-3.9761539213717834E-2</v>
      </c>
      <c r="L12" s="7">
        <f>Resultados!L16/Resultados!L6</f>
        <v>-3.9121681133046149E-2</v>
      </c>
      <c r="M12" s="7">
        <f>Resultados!M16/Resultados!M6</f>
        <v>-3.8364426054858791E-2</v>
      </c>
      <c r="N12" s="7">
        <f>Resultados!N16/Resultados!N6</f>
        <v>-3.7631501537485734E-2</v>
      </c>
      <c r="O12" s="7">
        <f>Resultados!O16/Resultados!O6</f>
        <v>-3.6904779540933186E-2</v>
      </c>
      <c r="P12" s="7">
        <f>Resultados!P16/Resultados!P6</f>
        <v>-3.6184494062488914E-2</v>
      </c>
      <c r="Q12" s="7">
        <f>Resultados!Q16/Resultados!Q6</f>
        <v>-3.5470870183812897E-2</v>
      </c>
      <c r="R12" s="7">
        <f>Resultados!R16/Resultados!R6</f>
        <v>-3.4764123829027049E-2</v>
      </c>
    </row>
    <row r="13" spans="1:18" ht="15.75">
      <c r="A13" s="1"/>
      <c r="B13" s="2" t="s">
        <v>41</v>
      </c>
      <c r="C13" s="7">
        <f>Resultados!C28/Resultados!C6</f>
        <v>5.028636929273262E-3</v>
      </c>
      <c r="D13" s="7">
        <f>Resultados!D28/Resultados!D6</f>
        <v>7.2254094120552531E-3</v>
      </c>
      <c r="E13" s="7">
        <f>Resultados!E28/Resultados!E6</f>
        <v>6.0086538629980204E-3</v>
      </c>
      <c r="F13" s="7">
        <f>Resultados!F28/Resultados!F6</f>
        <v>1.147020531493459E-2</v>
      </c>
      <c r="G13" s="7">
        <f>Resultados!G28/Resultados!G6</f>
        <v>7.6482537956571728E-3</v>
      </c>
      <c r="H13" s="7">
        <f>Resultados!H28/Resultados!H6</f>
        <v>6.7013476467676124E-3</v>
      </c>
      <c r="I13" s="7">
        <f>Resultados!I28/Resultados!I6</f>
        <v>6.5073614065037297E-3</v>
      </c>
      <c r="J13" s="7">
        <f>Resultados!J28/Resultados!J6</f>
        <v>6.3583572679683249E-3</v>
      </c>
      <c r="K13" s="7">
        <f>Resultados!K28/Resultados!K6</f>
        <v>6.221801752836988E-3</v>
      </c>
      <c r="L13" s="7">
        <f>Resultados!L28/Resultados!L6</f>
        <v>6.1216781105782993E-3</v>
      </c>
      <c r="M13" s="7">
        <f>Resultados!M28/Resultados!M6</f>
        <v>6.003184433875112E-3</v>
      </c>
      <c r="N13" s="7">
        <f>Resultados!N28/Resultados!N6</f>
        <v>5.8884979519867242E-3</v>
      </c>
      <c r="O13" s="7">
        <f>Resultados!O28/Resultados!O6</f>
        <v>5.7747820274679645E-3</v>
      </c>
      <c r="P13" s="7">
        <f>Resultados!P28/Resultados!P6</f>
        <v>5.6620732757207371E-3</v>
      </c>
      <c r="Q13" s="7">
        <f>Resultados!Q28/Resultados!Q6</f>
        <v>5.5504069170481387E-3</v>
      </c>
      <c r="R13" s="7">
        <f>Resultados!R28/Resultados!R6</f>
        <v>5.4398167388012061E-3</v>
      </c>
    </row>
    <row r="14" spans="1:18" ht="15.75">
      <c r="A14" s="1"/>
      <c r="B14" s="2" t="s">
        <v>42</v>
      </c>
      <c r="C14" s="7">
        <f>Resultados!C29/Resultados!C6</f>
        <v>-3.5490949631194035E-2</v>
      </c>
      <c r="D14" s="7">
        <f>Resultados!D29/Resultados!D6</f>
        <v>-1.1533956086865107E-2</v>
      </c>
      <c r="E14" s="7">
        <f>Resultados!E29/Resultados!E6</f>
        <v>-1.3042107291551096E-2</v>
      </c>
      <c r="F14" s="7">
        <f>Resultados!F29/Resultados!F6</f>
        <v>-7.728029074098571E-3</v>
      </c>
      <c r="G14" s="7">
        <f>Resultados!G29/Resultados!G6</f>
        <v>-8.0633607499843874E-3</v>
      </c>
      <c r="H14" s="7">
        <f>Resultados!H29/Resultados!H6</f>
        <v>-4.8203994532764723E-3</v>
      </c>
      <c r="I14" s="7">
        <f>Resultados!I29/Resultados!I6</f>
        <v>-2.8135261450315608E-3</v>
      </c>
      <c r="J14" s="7">
        <f>Resultados!J29/Resultados!J6</f>
        <v>-1.848047963230565E-3</v>
      </c>
      <c r="K14" s="7">
        <f>Resultados!K29/Resultados!K6</f>
        <v>-1.8181246710513299E-3</v>
      </c>
      <c r="L14" s="7">
        <f>Resultados!L29/Resultados!L6</f>
        <v>-8.5230439782484643E-4</v>
      </c>
      <c r="M14" s="7">
        <f>Resultados!M29/Resultados!M6</f>
        <v>-8.3988953302288182E-4</v>
      </c>
      <c r="N14" s="7">
        <f>Resultados!N29/Resultados!N6</f>
        <v>-8.2246467497354924E-4</v>
      </c>
      <c r="O14" s="7">
        <f>Resultados!O29/Resultados!O6</f>
        <v>-8.0617433095749491E-4</v>
      </c>
      <c r="P14" s="7">
        <f>Resultados!P29/Resultados!P6</f>
        <v>-7.911482410512807E-4</v>
      </c>
      <c r="Q14" s="7">
        <f>Resultados!Q29/Resultados!Q6</f>
        <v>-7.7521293713006794E-4</v>
      </c>
      <c r="R14" s="7">
        <f>Resultados!R29/Resultados!R6</f>
        <v>-7.5975741000499112E-4</v>
      </c>
    </row>
    <row r="15" spans="1:18" ht="16.5" thickBot="1">
      <c r="A15" s="1"/>
      <c r="B15" s="2"/>
      <c r="C15" s="7"/>
      <c r="D15" s="7"/>
      <c r="E15" s="7"/>
      <c r="F15" s="7"/>
      <c r="G15" s="7"/>
      <c r="H15" s="7"/>
      <c r="I15" s="7"/>
      <c r="J15" s="7"/>
      <c r="K15" s="7"/>
      <c r="L15" s="7"/>
      <c r="M15" s="7"/>
      <c r="N15" s="7"/>
      <c r="O15" s="7"/>
      <c r="P15" s="7"/>
      <c r="Q15" s="7"/>
      <c r="R15" s="7"/>
    </row>
    <row r="16" spans="1:18" ht="15.75">
      <c r="A16" s="1" t="s">
        <v>35</v>
      </c>
      <c r="B16" s="2"/>
      <c r="C16" s="8">
        <f>SUM(C8:C14)</f>
        <v>-6.5545004534016904E-2</v>
      </c>
      <c r="D16" s="8">
        <f t="shared" ref="D16:O16" si="2">SUM(D8:D14)</f>
        <v>-2.3228106008269998E-2</v>
      </c>
      <c r="E16" s="8">
        <f t="shared" si="2"/>
        <v>-2.8495851167570821E-2</v>
      </c>
      <c r="F16" s="8">
        <f t="shared" si="2"/>
        <v>-2.0799537710693185E-2</v>
      </c>
      <c r="G16" s="8">
        <f>SUM(G8:G14)</f>
        <v>-1.6365499836528706E-2</v>
      </c>
      <c r="H16" s="8">
        <f t="shared" si="2"/>
        <v>-1.8755907569231088E-2</v>
      </c>
      <c r="I16" s="8">
        <f t="shared" si="2"/>
        <v>-6.6488655719921666E-3</v>
      </c>
      <c r="J16" s="8">
        <f t="shared" si="2"/>
        <v>3.5776028219170267E-3</v>
      </c>
      <c r="K16" s="8">
        <f t="shared" si="2"/>
        <v>2.1710920586165278E-2</v>
      </c>
      <c r="L16" s="8">
        <f t="shared" si="2"/>
        <v>4.1547440530378031E-2</v>
      </c>
      <c r="M16" s="8">
        <f t="shared" si="2"/>
        <v>5.1206841353338549E-2</v>
      </c>
      <c r="N16" s="8">
        <f t="shared" si="2"/>
        <v>5.783176450024409E-2</v>
      </c>
      <c r="O16" s="8">
        <f t="shared" si="2"/>
        <v>6.4381827649608481E-2</v>
      </c>
      <c r="P16" s="8">
        <f>SUM(P8:P14)</f>
        <v>7.0858161360762728E-2</v>
      </c>
      <c r="Q16" s="8">
        <f>SUM(Q8:Q14)</f>
        <v>7.2386395575315204E-2</v>
      </c>
      <c r="R16" s="8">
        <f>SUM(R8:R14)</f>
        <v>7.3771856366651498E-2</v>
      </c>
    </row>
    <row r="17" spans="1:18" ht="15.75">
      <c r="A17" s="1"/>
      <c r="B17" s="2"/>
      <c r="C17" s="7"/>
      <c r="D17" s="7"/>
      <c r="E17" s="7"/>
      <c r="F17" s="7"/>
      <c r="G17" s="7"/>
      <c r="H17" s="7"/>
      <c r="I17" s="7"/>
      <c r="J17" s="7"/>
      <c r="K17" s="7"/>
      <c r="L17" s="7"/>
      <c r="M17" s="7"/>
      <c r="N17" s="7"/>
      <c r="O17" s="7"/>
      <c r="P17" s="7"/>
      <c r="Q17" s="7"/>
      <c r="R17" s="7"/>
    </row>
    <row r="18" spans="1:18" ht="15.75">
      <c r="A18" s="1" t="s">
        <v>36</v>
      </c>
      <c r="B18" s="2"/>
      <c r="C18" s="7"/>
      <c r="D18" s="7"/>
      <c r="E18" s="7"/>
      <c r="F18" s="7"/>
      <c r="G18" s="7"/>
      <c r="H18" s="7"/>
      <c r="I18" s="7"/>
      <c r="J18" s="7"/>
      <c r="K18" s="7"/>
      <c r="L18" s="7"/>
      <c r="M18" s="7"/>
      <c r="N18" s="7"/>
      <c r="O18" s="7"/>
      <c r="P18" s="7"/>
      <c r="Q18" s="7"/>
      <c r="R18" s="7"/>
    </row>
    <row r="19" spans="1:18" ht="15.75">
      <c r="A19" s="1"/>
      <c r="B19" s="2" t="s">
        <v>37</v>
      </c>
      <c r="C19" s="7">
        <f>Resultados!C24/Resultados!C6</f>
        <v>2.4424807942184414E-2</v>
      </c>
      <c r="D19" s="7">
        <f>Resultados!D24/Resultados!D6</f>
        <v>2.2497221638182199E-2</v>
      </c>
      <c r="E19" s="7">
        <f>Resultados!E24/Resultados!E6</f>
        <v>5.2261858186425933E-3</v>
      </c>
      <c r="F19" s="7">
        <f>Resultados!F24/Resultados!F6</f>
        <v>1.315505489685518E-2</v>
      </c>
      <c r="G19" s="7">
        <f>Resultados!G24/Resultados!G6</f>
        <v>5.7637416932690222E-3</v>
      </c>
      <c r="H19" s="7">
        <f>Resultados!H24/Resultados!H6</f>
        <v>2.503396327756314E-3</v>
      </c>
      <c r="I19" s="7">
        <f>Resultados!I24/Resultados!I6</f>
        <v>2.9176648044850345E-3</v>
      </c>
      <c r="J19" s="7">
        <f>Resultados!J24/Resultados!J6</f>
        <v>2.877745838145034E-3</v>
      </c>
      <c r="K19" s="7">
        <f>Resultados!K24/Resultados!K6</f>
        <v>2.7139136165885802E-3</v>
      </c>
      <c r="L19" s="7">
        <f>Resultados!L24/Resultados!L6</f>
        <v>2.7802105709699163E-3</v>
      </c>
      <c r="M19" s="7">
        <f>Resultados!M24/Resultados!M6</f>
        <v>2.7353264118784902E-3</v>
      </c>
      <c r="N19" s="7">
        <f>Resultados!N24/Resultados!N6</f>
        <v>2.7159589059436769E-3</v>
      </c>
      <c r="O19" s="7">
        <f>Resultados!O24/Resultados!O6</f>
        <v>2.7345528941283984E-3</v>
      </c>
      <c r="P19" s="7">
        <f>Resultados!P24/Resultados!P6</f>
        <v>2.7286127373168548E-3</v>
      </c>
      <c r="Q19" s="7">
        <f>Resultados!Q24/Resultados!Q6</f>
        <v>2.7263748457963103E-3</v>
      </c>
      <c r="R19" s="7">
        <f>Resultados!R24/Resultados!R6</f>
        <v>2.7298468257471874E-3</v>
      </c>
    </row>
    <row r="20" spans="1:18" ht="15.75">
      <c r="A20" s="1"/>
      <c r="B20" s="2" t="s">
        <v>38</v>
      </c>
      <c r="C20" s="7">
        <f>Resultados!C25/Resultados!C6</f>
        <v>-9.2564604833929361E-3</v>
      </c>
      <c r="D20" s="7">
        <f>Resultados!D25/Resultados!D6</f>
        <v>-3.784579341002613E-3</v>
      </c>
      <c r="E20" s="7">
        <f>Resultados!E25/Resultados!E6</f>
        <v>-1.8393838356116389E-3</v>
      </c>
      <c r="F20" s="7">
        <f>Resultados!F25/Resultados!F6</f>
        <v>-3.9545229856648538E-3</v>
      </c>
      <c r="G20" s="7">
        <f>Resultados!G25/Resultados!G6</f>
        <v>-4.2208662878050396E-3</v>
      </c>
      <c r="H20" s="7">
        <f>Resultados!H25/Resultados!H6</f>
        <v>-8.1454778749892268E-3</v>
      </c>
      <c r="I20" s="7">
        <f>Resultados!I25/Resultados!I6</f>
        <v>-6.4332284150603056E-3</v>
      </c>
      <c r="J20" s="7">
        <f>Resultados!J25/Resultados!J6</f>
        <v>-5.2882118231615954E-3</v>
      </c>
      <c r="K20" s="7">
        <f>Resultados!K25/Resultados!K6</f>
        <v>-4.2197047507997092E-3</v>
      </c>
      <c r="L20" s="7">
        <f>Resultados!L25/Resultados!L6</f>
        <v>-3.2322424846478151E-3</v>
      </c>
      <c r="M20" s="7">
        <f>Resultados!M25/Resultados!M6</f>
        <v>-2.3472608458836356E-3</v>
      </c>
      <c r="N20" s="7">
        <f>Resultados!N25/Resultados!N6</f>
        <v>-1.7612410494323577E-3</v>
      </c>
      <c r="O20" s="7">
        <f>Resultados!O25/Resultados!O6</f>
        <v>-1.2271583847963336E-3</v>
      </c>
      <c r="P20" s="7">
        <f>Resultados!P25/Resultados!P6</f>
        <v>-7.4163924698837657E-4</v>
      </c>
      <c r="Q20" s="7">
        <f>Resultados!Q25/Resultados!Q6</f>
        <v>-3.5226900637361149E-4</v>
      </c>
      <c r="R20" s="7">
        <f>Resultados!R25/Resultados!R6</f>
        <v>0</v>
      </c>
    </row>
    <row r="21" spans="1:18" ht="16.5" thickBot="1">
      <c r="A21" s="1"/>
      <c r="B21" s="2" t="s">
        <v>39</v>
      </c>
      <c r="C21" s="7">
        <f>Resultados!C26/Resultados!C6</f>
        <v>1.4332204081792879E-2</v>
      </c>
      <c r="D21" s="7">
        <f>Resultados!D26/Resultados!D6</f>
        <v>1.0876493890941372E-2</v>
      </c>
      <c r="E21" s="7">
        <f>Resultados!E26/Resultados!E6</f>
        <v>-5.2845789562810583E-4</v>
      </c>
      <c r="F21" s="7">
        <f>Resultados!F26/Resultados!F6</f>
        <v>1.0324925330529892E-2</v>
      </c>
      <c r="G21" s="7">
        <f>Resultados!G26/Resultados!G6</f>
        <v>-1.1850752519111451E-2</v>
      </c>
      <c r="H21" s="7">
        <f>Resultados!H26/Resultados!H6</f>
        <v>-5.6791629538514308E-3</v>
      </c>
      <c r="I21" s="7">
        <f>Resultados!I26/Resultados!I6</f>
        <v>-7.56842175561923E-3</v>
      </c>
      <c r="J21" s="7">
        <f>Resultados!J26/Resultados!J6</f>
        <v>-4.7263445653748836E-3</v>
      </c>
      <c r="K21" s="7">
        <f>Resultados!K26/Resultados!K6</f>
        <v>-3.2854167860336772E-3</v>
      </c>
      <c r="L21" s="7">
        <f>Resultados!L26/Resultados!L6</f>
        <v>-1.64261364845278E-3</v>
      </c>
      <c r="M21" s="7">
        <f>Resultados!M26/Resultados!M6</f>
        <v>-1.4676888985373044E-3</v>
      </c>
      <c r="N21" s="7">
        <f>Resultados!N26/Resultados!N6</f>
        <v>-1.116115722286182E-3</v>
      </c>
      <c r="O21" s="7">
        <f>Resultados!O26/Resultados!O6</f>
        <v>-7.9554352381865578E-4</v>
      </c>
      <c r="P21" s="7">
        <f>Resultados!P26/Resultados!P6</f>
        <v>-5.0393551038749687E-4</v>
      </c>
      <c r="Q21" s="7">
        <f>Resultados!Q26/Resultados!Q6</f>
        <v>-2.3936281991743735E-4</v>
      </c>
      <c r="R21" s="7">
        <f>Resultados!R26/Resultados!R6</f>
        <v>0</v>
      </c>
    </row>
    <row r="22" spans="1:18" ht="15.75">
      <c r="A22" s="1" t="s">
        <v>40</v>
      </c>
      <c r="B22" s="2"/>
      <c r="C22" s="9">
        <f t="shared" ref="C22:O22" si="3">SUM(C19:C21)</f>
        <v>2.9500551540584355E-2</v>
      </c>
      <c r="D22" s="9">
        <f t="shared" si="3"/>
        <v>2.9589136188120958E-2</v>
      </c>
      <c r="E22" s="9">
        <f t="shared" si="3"/>
        <v>2.8583440874028485E-3</v>
      </c>
      <c r="F22" s="9">
        <f t="shared" si="3"/>
        <v>1.9525457241720216E-2</v>
      </c>
      <c r="G22" s="9">
        <f>SUM(G19:G21)</f>
        <v>-1.0307877113647468E-2</v>
      </c>
      <c r="H22" s="9">
        <f t="shared" si="3"/>
        <v>-1.1321244501084344E-2</v>
      </c>
      <c r="I22" s="9">
        <f t="shared" si="3"/>
        <v>-1.1083985366194501E-2</v>
      </c>
      <c r="J22" s="9">
        <f t="shared" si="3"/>
        <v>-7.1368105503914446E-3</v>
      </c>
      <c r="K22" s="9">
        <f t="shared" si="3"/>
        <v>-4.7912079202448062E-3</v>
      </c>
      <c r="L22" s="9">
        <f t="shared" si="3"/>
        <v>-2.0946455621306788E-3</v>
      </c>
      <c r="M22" s="9">
        <f t="shared" si="3"/>
        <v>-1.0796233325424498E-3</v>
      </c>
      <c r="N22" s="9">
        <f t="shared" si="3"/>
        <v>-1.613978657748628E-4</v>
      </c>
      <c r="O22" s="9">
        <f t="shared" si="3"/>
        <v>7.1185098551340904E-4</v>
      </c>
      <c r="P22" s="9">
        <f>SUM(P19:P21)</f>
        <v>1.4830379799409814E-3</v>
      </c>
      <c r="Q22" s="9">
        <f>SUM(Q19:Q21)</f>
        <v>2.1347430195052617E-3</v>
      </c>
      <c r="R22" s="9">
        <f>SUM(R19:R21)</f>
        <v>2.7298468257471874E-3</v>
      </c>
    </row>
    <row r="23" spans="1:18" ht="15.75" thickBot="1">
      <c r="A23" s="2"/>
    </row>
    <row r="24" spans="1:18" ht="15.75">
      <c r="A24" s="1" t="s">
        <v>43</v>
      </c>
      <c r="B24" s="2"/>
      <c r="C24" s="8">
        <f t="shared" ref="C24:O24" si="4">C16+SUM(C22:C23)</f>
        <v>-3.6044452993432549E-2</v>
      </c>
      <c r="D24" s="8">
        <f t="shared" si="4"/>
        <v>6.3610301798509607E-3</v>
      </c>
      <c r="E24" s="8">
        <f t="shared" si="4"/>
        <v>-2.5637507080167973E-2</v>
      </c>
      <c r="F24" s="8">
        <f t="shared" si="4"/>
        <v>-1.2740804689729684E-3</v>
      </c>
      <c r="G24" s="8">
        <f>G16+SUM(G22:G23)</f>
        <v>-2.6673376950176172E-2</v>
      </c>
      <c r="H24" s="8">
        <f t="shared" si="4"/>
        <v>-3.007715207031543E-2</v>
      </c>
      <c r="I24" s="8">
        <f t="shared" si="4"/>
        <v>-1.7732850938186669E-2</v>
      </c>
      <c r="J24" s="8">
        <f t="shared" si="4"/>
        <v>-3.5592077284744179E-3</v>
      </c>
      <c r="K24" s="8">
        <f t="shared" si="4"/>
        <v>1.6919712665920471E-2</v>
      </c>
      <c r="L24" s="8">
        <f t="shared" si="4"/>
        <v>3.945279496824735E-2</v>
      </c>
      <c r="M24" s="8">
        <f t="shared" si="4"/>
        <v>5.0127218020796102E-2</v>
      </c>
      <c r="N24" s="8">
        <f t="shared" si="4"/>
        <v>5.7670366634469228E-2</v>
      </c>
      <c r="O24" s="8">
        <f t="shared" si="4"/>
        <v>6.5093678635121888E-2</v>
      </c>
      <c r="P24" s="8">
        <f>P16+SUM(P22:P23)</f>
        <v>7.234119934070371E-2</v>
      </c>
      <c r="Q24" s="8">
        <f>Q16+SUM(Q22:Q23)</f>
        <v>7.4521138594820471E-2</v>
      </c>
      <c r="R24" s="8">
        <f>R16+SUM(R22:R23)</f>
        <v>7.6501703192398685E-2</v>
      </c>
    </row>
    <row r="25" spans="1:18" ht="15.75">
      <c r="A25" s="1"/>
      <c r="B25" s="2"/>
      <c r="C25" s="7"/>
      <c r="D25" s="7"/>
      <c r="E25" s="7"/>
      <c r="F25" s="7"/>
      <c r="G25" s="7"/>
      <c r="H25" s="7"/>
      <c r="I25" s="7"/>
      <c r="J25" s="7"/>
      <c r="K25" s="7"/>
      <c r="L25" s="7"/>
      <c r="M25" s="7"/>
      <c r="N25" s="7"/>
      <c r="O25" s="7"/>
      <c r="P25" s="7"/>
      <c r="Q25" s="7"/>
      <c r="R25" s="7"/>
    </row>
    <row r="26" spans="1:18" ht="15.75">
      <c r="A26" s="1" t="s">
        <v>44</v>
      </c>
      <c r="B26" s="2"/>
      <c r="C26" s="7">
        <f>Resultados!C32/Resultados!C6</f>
        <v>0</v>
      </c>
      <c r="D26" s="7">
        <f>Resultados!D32/Resultados!D6</f>
        <v>0</v>
      </c>
      <c r="E26" s="7">
        <f>Resultados!E32/Resultados!E6</f>
        <v>-6.7122911715415201E-3</v>
      </c>
      <c r="F26" s="7">
        <f>Resultados!F32/Resultados!F6</f>
        <v>-8.3198150842772895E-3</v>
      </c>
      <c r="G26" s="7">
        <f>Resultados!G32/Resultados!G6</f>
        <v>-8.0266256212828645E-3</v>
      </c>
      <c r="H26" s="7">
        <f>Resultados!H32/Resultados!H6</f>
        <v>-6.7197039783908922E-3</v>
      </c>
      <c r="I26" s="7">
        <f>Resultados!I32/Resultados!I6</f>
        <v>-6.1085242365217828E-3</v>
      </c>
      <c r="J26" s="7">
        <f>Resultados!J32/Resultados!J6</f>
        <v>-5.4377840937236705E-3</v>
      </c>
      <c r="K26" s="7">
        <f>Resultados!K32/Resultados!K6</f>
        <v>-5.8073533570262908E-3</v>
      </c>
      <c r="L26" s="7">
        <f>Resultados!L32/Resultados!L6</f>
        <v>-1.2277474724977666E-2</v>
      </c>
      <c r="M26" s="7">
        <f>Resultados!M32/Resultados!M6</f>
        <v>-8.3397305799577433E-3</v>
      </c>
      <c r="N26" s="7">
        <f>Resultados!N32/Resultados!N6</f>
        <v>-8.6945345238122612E-3</v>
      </c>
      <c r="O26" s="7">
        <f>Resultados!O32/Resultados!O6</f>
        <v>-9.2986633960882217E-3</v>
      </c>
      <c r="P26" s="7">
        <f>Resultados!P32/Resultados!P6</f>
        <v>-9.9199179456982006E-3</v>
      </c>
      <c r="Q26" s="7">
        <f>Resultados!Q32/Resultados!Q6</f>
        <v>-1.0004093746097573E-2</v>
      </c>
      <c r="R26" s="7">
        <f>Resultados!R32/Resultados!R6</f>
        <v>-1.0364213627262694E-2</v>
      </c>
    </row>
    <row r="27" spans="1:18" ht="16.5" thickBot="1">
      <c r="A27" s="1"/>
      <c r="B27" s="2"/>
      <c r="C27" s="7"/>
      <c r="D27" s="7"/>
      <c r="E27" s="7"/>
      <c r="F27" s="7"/>
      <c r="G27" s="7"/>
      <c r="H27" s="7"/>
      <c r="I27" s="7"/>
      <c r="J27" s="7"/>
      <c r="K27" s="7"/>
      <c r="L27" s="7"/>
      <c r="M27" s="7"/>
      <c r="N27" s="7"/>
      <c r="O27" s="7"/>
      <c r="P27" s="7"/>
      <c r="Q27" s="7"/>
      <c r="R27" s="7"/>
    </row>
    <row r="28" spans="1:18" ht="17.25" thickTop="1" thickBot="1">
      <c r="A28" s="5" t="s">
        <v>45</v>
      </c>
      <c r="B28" s="5"/>
      <c r="C28" s="10">
        <f t="shared" ref="C28:I28" si="5">C24+C26</f>
        <v>-3.6044452993432549E-2</v>
      </c>
      <c r="D28" s="10">
        <f t="shared" si="5"/>
        <v>6.3610301798509607E-3</v>
      </c>
      <c r="E28" s="10">
        <f t="shared" si="5"/>
        <v>-3.2349798251709493E-2</v>
      </c>
      <c r="F28" s="10">
        <f t="shared" si="5"/>
        <v>-9.593895553250258E-3</v>
      </c>
      <c r="G28" s="10">
        <f>G24+G26</f>
        <v>-3.470000257145904E-2</v>
      </c>
      <c r="H28" s="10">
        <f t="shared" si="5"/>
        <v>-3.679685604870632E-2</v>
      </c>
      <c r="I28" s="10">
        <f t="shared" si="5"/>
        <v>-2.3841375174708451E-2</v>
      </c>
      <c r="J28" s="10">
        <f t="shared" ref="J28:O28" si="6">J24+J26</f>
        <v>-8.9969918221980884E-3</v>
      </c>
      <c r="K28" s="10">
        <f t="shared" si="6"/>
        <v>1.111235930889418E-2</v>
      </c>
      <c r="L28" s="10">
        <f t="shared" si="6"/>
        <v>2.7175320243269685E-2</v>
      </c>
      <c r="M28" s="10">
        <f t="shared" si="6"/>
        <v>4.1787487440838357E-2</v>
      </c>
      <c r="N28" s="10">
        <f t="shared" si="6"/>
        <v>4.8975832110656967E-2</v>
      </c>
      <c r="O28" s="10">
        <f t="shared" si="6"/>
        <v>5.5795015239033664E-2</v>
      </c>
      <c r="P28" s="10">
        <f>P24+P26</f>
        <v>6.242128139500551E-2</v>
      </c>
      <c r="Q28" s="10">
        <f>Q24+Q26</f>
        <v>6.4517044848722893E-2</v>
      </c>
      <c r="R28" s="10">
        <f>R24+R26</f>
        <v>6.6137489565135987E-2</v>
      </c>
    </row>
    <row r="29" spans="1:18" ht="15.75" thickTop="1">
      <c r="A29" s="2"/>
      <c r="B29" s="2"/>
      <c r="C29" s="2"/>
      <c r="D29" s="2"/>
      <c r="E29" s="2"/>
      <c r="F29" s="2"/>
      <c r="G29" s="2"/>
    </row>
  </sheetData>
  <phoneticPr fontId="0" type="noConversion"/>
  <printOptions horizontalCentered="1" verticalCentered="1"/>
  <pageMargins left="0.51181102362204722" right="0.51181102362204722" top="0.51181102362204722" bottom="0.51181102362204722" header="0.51181102362204722" footer="0.51181102362204722"/>
  <pageSetup firstPageNumber="3" orientation="landscape" blackAndWhite="1" horizontalDpi="300" verticalDpi="300"/>
  <headerFooter>
    <oddHeader>&amp;C&amp;A</oddHeader>
    <oddFooter>&amp;CCompañía Modelo - EVA&amp;RPágina &amp;P</oddFooter>
  </headerFooter>
</worksheet>
</file>

<file path=xl/worksheets/sheet7.xml><?xml version="1.0" encoding="utf-8"?>
<worksheet xmlns="http://schemas.openxmlformats.org/spreadsheetml/2006/main" xmlns:r="http://schemas.openxmlformats.org/officeDocument/2006/relationships">
  <sheetPr transitionEvaluation="1" enableFormatConditionsCalculation="0">
    <pageSetUpPr fitToPage="1"/>
  </sheetPr>
  <dimension ref="A1:R29"/>
  <sheetViews>
    <sheetView showGridLines="0" zoomScale="70" zoomScaleNormal="70" workbookViewId="0">
      <selection activeCell="H26" sqref="H26"/>
    </sheetView>
  </sheetViews>
  <sheetFormatPr baseColWidth="10" defaultColWidth="8.88671875" defaultRowHeight="15"/>
  <cols>
    <col min="1" max="1" width="3.6640625" customWidth="1"/>
    <col min="2" max="2" width="31.6640625" customWidth="1"/>
    <col min="3" max="7" width="7.33203125" customWidth="1"/>
    <col min="8" max="8" width="8.33203125" bestFit="1" customWidth="1"/>
    <col min="9" max="9" width="9.21875" customWidth="1"/>
    <col min="10" max="15" width="8.33203125" bestFit="1" customWidth="1"/>
  </cols>
  <sheetData>
    <row r="1" spans="1:18" ht="15.75">
      <c r="A1" s="1" t="str">
        <f>+Balance!A1</f>
        <v>ENKA de Colombia S.A.</v>
      </c>
      <c r="B1" s="2"/>
      <c r="C1" s="2"/>
      <c r="D1" s="2"/>
      <c r="E1" s="2"/>
      <c r="F1" s="2"/>
      <c r="G1" s="2"/>
    </row>
    <row r="2" spans="1:18" ht="15.75">
      <c r="A2" s="1" t="s">
        <v>60</v>
      </c>
      <c r="B2" s="2"/>
      <c r="C2" s="2"/>
      <c r="D2" s="2"/>
      <c r="E2" s="2"/>
      <c r="F2" s="2"/>
      <c r="G2" s="2"/>
    </row>
    <row r="4" spans="1:18" ht="16.5" thickBot="1">
      <c r="A4" s="2"/>
      <c r="B4" s="2"/>
      <c r="C4" s="3">
        <f>Balance!$D$4</f>
        <v>2009</v>
      </c>
      <c r="D4" s="3">
        <f>C4+1</f>
        <v>2010</v>
      </c>
      <c r="E4" s="3">
        <f>D4+1</f>
        <v>2011</v>
      </c>
      <c r="F4" s="3">
        <f>E4+1</f>
        <v>2012</v>
      </c>
      <c r="G4" s="3">
        <f>+F4+1</f>
        <v>2013</v>
      </c>
      <c r="H4" s="3">
        <f t="shared" ref="H4:R4" si="0">+G4+1</f>
        <v>2014</v>
      </c>
      <c r="I4" s="3">
        <f t="shared" si="0"/>
        <v>2015</v>
      </c>
      <c r="J4" s="3">
        <f t="shared" si="0"/>
        <v>2016</v>
      </c>
      <c r="K4" s="3">
        <f t="shared" si="0"/>
        <v>2017</v>
      </c>
      <c r="L4" s="3">
        <f t="shared" si="0"/>
        <v>2018</v>
      </c>
      <c r="M4" s="3">
        <f t="shared" si="0"/>
        <v>2019</v>
      </c>
      <c r="N4" s="3">
        <f t="shared" si="0"/>
        <v>2020</v>
      </c>
      <c r="O4" s="3">
        <f t="shared" si="0"/>
        <v>2021</v>
      </c>
      <c r="P4" s="3">
        <f t="shared" si="0"/>
        <v>2022</v>
      </c>
      <c r="Q4" s="3">
        <f t="shared" si="0"/>
        <v>2023</v>
      </c>
      <c r="R4" s="3">
        <f t="shared" si="0"/>
        <v>2024</v>
      </c>
    </row>
    <row r="5" spans="1:18" ht="15.75">
      <c r="A5" s="1" t="s">
        <v>61</v>
      </c>
      <c r="B5" s="2"/>
      <c r="C5" s="2"/>
      <c r="D5" s="2"/>
      <c r="E5" s="2"/>
      <c r="F5" s="2"/>
      <c r="G5" s="2"/>
      <c r="H5" s="2"/>
      <c r="I5" s="2"/>
      <c r="J5" s="2"/>
      <c r="K5" s="2"/>
      <c r="L5" s="2"/>
      <c r="M5" s="2"/>
      <c r="N5" s="2"/>
      <c r="O5" s="2"/>
    </row>
    <row r="6" spans="1:18" ht="15.75">
      <c r="A6" s="1"/>
      <c r="B6" s="2"/>
      <c r="C6" s="7"/>
      <c r="D6" s="7"/>
      <c r="E6" s="7"/>
      <c r="F6" s="7"/>
      <c r="G6" s="7"/>
      <c r="H6" s="7"/>
      <c r="I6" s="7"/>
      <c r="J6" s="7"/>
      <c r="K6" s="7"/>
      <c r="L6" s="7"/>
      <c r="M6" s="7"/>
      <c r="N6" s="7"/>
      <c r="O6" s="7"/>
      <c r="P6" s="7"/>
      <c r="Q6" s="7"/>
      <c r="R6" s="7"/>
    </row>
    <row r="7" spans="1:18" ht="15.75">
      <c r="A7" s="1"/>
      <c r="B7" s="2" t="s">
        <v>4</v>
      </c>
      <c r="C7" s="7">
        <f>KWOp.!D8/Resultados!C6</f>
        <v>0.21420580118630295</v>
      </c>
      <c r="D7" s="7">
        <f>KWOp.!E8/Resultados!D6</f>
        <v>0.25695758534493401</v>
      </c>
      <c r="E7" s="7">
        <f>KWOp.!F8/Resultados!E6</f>
        <v>0.24328916865689945</v>
      </c>
      <c r="F7" s="7">
        <f>KWOp.!G8/Resultados!F6</f>
        <v>0.25022104948027263</v>
      </c>
      <c r="G7" s="7">
        <f>KWOp.!H8/Resultados!G6</f>
        <v>0.22834556000866948</v>
      </c>
      <c r="H7" s="7">
        <f>KWOp.!I8/Resultados!H6</f>
        <v>0.23333333333333331</v>
      </c>
      <c r="I7" s="7">
        <f>KWOp.!J8/Resultados!I6</f>
        <v>0.23055555555555554</v>
      </c>
      <c r="J7" s="7">
        <f>KWOp.!K8/Resultados!J6</f>
        <v>0.22777777777777777</v>
      </c>
      <c r="K7" s="7">
        <f>KWOp.!L8/Resultados!K6</f>
        <v>0.22500000000000001</v>
      </c>
      <c r="L7" s="7">
        <f>KWOp.!M8/Resultados!L6</f>
        <v>0.22222222222222224</v>
      </c>
      <c r="M7" s="7">
        <f>KWOp.!N8/Resultados!M6</f>
        <v>0.21944444444444444</v>
      </c>
      <c r="N7" s="7">
        <f>KWOp.!O8/Resultados!N6</f>
        <v>0.21944444444444447</v>
      </c>
      <c r="O7" s="7">
        <f>KWOp.!P8/Resultados!O6</f>
        <v>0.21944444444444444</v>
      </c>
      <c r="P7" s="7">
        <f>KWOp.!Q8/Resultados!P6</f>
        <v>0.21944444444444444</v>
      </c>
      <c r="Q7" s="7">
        <f>KWOp.!R8/Resultados!Q6</f>
        <v>0.21944444444444447</v>
      </c>
      <c r="R7" s="7">
        <f>KWOp.!S8/Resultados!R6</f>
        <v>0.21944444444444441</v>
      </c>
    </row>
    <row r="8" spans="1:18" ht="15.75">
      <c r="A8" s="1"/>
      <c r="B8" s="2" t="s">
        <v>5</v>
      </c>
      <c r="C8" s="7">
        <f>KWOp.!D9/Resultados!C6</f>
        <v>0.16683611982366403</v>
      </c>
      <c r="D8" s="7">
        <f>KWOp.!E9/Resultados!D6</f>
        <v>0.17191468343362135</v>
      </c>
      <c r="E8" s="7">
        <f>KWOp.!F9/Resultados!E6</f>
        <v>0.15326154870279646</v>
      </c>
      <c r="F8" s="7">
        <f>KWOp.!G9/Resultados!F6</f>
        <v>0.17485536053692396</v>
      </c>
      <c r="G8" s="7">
        <f>KWOp.!H9/Resultados!G6</f>
        <v>0.25311238377923656</v>
      </c>
      <c r="H8" s="7">
        <f>KWOp.!I9/Resultados!H6</f>
        <v>0.15218702766511955</v>
      </c>
      <c r="I8" s="7">
        <f>KWOp.!J9/Resultados!I6</f>
        <v>0.14837832522185262</v>
      </c>
      <c r="J8" s="7">
        <f>KWOp.!K9/Resultados!J6</f>
        <v>0.14465418551823345</v>
      </c>
      <c r="K8" s="7">
        <f>KWOp.!L9/Resultados!K6</f>
        <v>0.1395708099362313</v>
      </c>
      <c r="L8" s="7">
        <f>KWOp.!M9/Resultados!L6</f>
        <v>0.13439024220725035</v>
      </c>
      <c r="M8" s="7">
        <f>KWOp.!N9/Resultados!M6</f>
        <v>0.13072607473610262</v>
      </c>
      <c r="N8" s="7">
        <f>KWOp.!O9/Resultados!N6</f>
        <v>0.12995401709396187</v>
      </c>
      <c r="O8" s="7">
        <f>KWOp.!P9/Resultados!O6</f>
        <v>0.12919116437503844</v>
      </c>
      <c r="P8" s="7">
        <f>KWOp.!Q9/Resultados!P6</f>
        <v>0.12843725759392075</v>
      </c>
      <c r="Q8" s="7">
        <f>KWOp.!R9/Resultados!Q6</f>
        <v>0.12842371100391789</v>
      </c>
      <c r="R8" s="7">
        <f>KWOp.!S9/Resultados!R6</f>
        <v>0.12842945280686974</v>
      </c>
    </row>
    <row r="9" spans="1:18" ht="15.75">
      <c r="A9" s="1"/>
      <c r="B9" s="2" t="s">
        <v>957</v>
      </c>
      <c r="C9" s="7">
        <f>KWOp.!D10/Resultados!C6</f>
        <v>1.6609026422915823E-2</v>
      </c>
      <c r="D9" s="7">
        <f>KWOp.!E10/Resultados!D6</f>
        <v>2.4866755440749976E-2</v>
      </c>
      <c r="E9" s="7">
        <f>KWOp.!F10/Resultados!E6</f>
        <v>2.8084179547219611E-2</v>
      </c>
      <c r="F9" s="7">
        <f>KWOp.!G10/Resultados!F6</f>
        <v>2.5582561110608287E-2</v>
      </c>
      <c r="G9" s="7">
        <f>KWOp.!H10/Resultados!G6</f>
        <v>2.1490050290391194E-2</v>
      </c>
      <c r="H9" s="7">
        <f>KWOp.!I10/Resultados!H6</f>
        <v>2.3326514562376978E-2</v>
      </c>
      <c r="I9" s="7">
        <f>KWOp.!J10/Resultados!I6</f>
        <v>2.3326514562376978E-2</v>
      </c>
      <c r="J9" s="7">
        <f>KWOp.!K10/Resultados!J6</f>
        <v>2.3326514562376978E-2</v>
      </c>
      <c r="K9" s="7">
        <f>KWOp.!L10/Resultados!K6</f>
        <v>2.3326514562376981E-2</v>
      </c>
      <c r="L9" s="7">
        <f>KWOp.!M10/Resultados!L6</f>
        <v>2.3326514562376978E-2</v>
      </c>
      <c r="M9" s="7">
        <f>KWOp.!N10/Resultados!M6</f>
        <v>2.3326514562376978E-2</v>
      </c>
      <c r="N9" s="7">
        <f>KWOp.!O10/Resultados!N6</f>
        <v>2.3326514562376978E-2</v>
      </c>
      <c r="O9" s="7">
        <f>KWOp.!P10/Resultados!O6</f>
        <v>2.3326514562376978E-2</v>
      </c>
      <c r="P9" s="7">
        <f>KWOp.!Q10/Resultados!P6</f>
        <v>2.3326514562376978E-2</v>
      </c>
      <c r="Q9" s="7">
        <f>KWOp.!R10/Resultados!Q6</f>
        <v>2.3326514562376978E-2</v>
      </c>
      <c r="R9" s="7">
        <f>KWOp.!S10/Resultados!R6</f>
        <v>2.3326514562376978E-2</v>
      </c>
    </row>
    <row r="10" spans="1:18" ht="15.75">
      <c r="A10" s="1"/>
      <c r="B10" s="2" t="s">
        <v>958</v>
      </c>
      <c r="C10" s="7">
        <f>KWOp.!D11/Resultados!C6</f>
        <v>2.8146234803192263E-3</v>
      </c>
      <c r="D10" s="7">
        <f>KWOp.!E11/Resultados!D6</f>
        <v>4.165039698034622E-3</v>
      </c>
      <c r="E10" s="7">
        <f>KWOp.!F11/Resultados!E6</f>
        <v>4.7969962569998775E-3</v>
      </c>
      <c r="F10" s="7">
        <f>KWOp.!G11/Resultados!F6</f>
        <v>1.6065249629263471E-2</v>
      </c>
      <c r="G10" s="7">
        <f>KWOp.!H11/Resultados!G6</f>
        <v>7.7290710788005248E-3</v>
      </c>
      <c r="H10" s="7">
        <f>KWOp.!I11/Resultados!H6</f>
        <v>4.8764326285385623E-3</v>
      </c>
      <c r="I10" s="7">
        <f>KWOp.!J11/Resultados!I6</f>
        <v>4.8764326285385623E-3</v>
      </c>
      <c r="J10" s="7">
        <f>KWOp.!K11/Resultados!J6</f>
        <v>4.8764326285385623E-3</v>
      </c>
      <c r="K10" s="7">
        <f>KWOp.!L11/Resultados!K6</f>
        <v>4.8764326285385623E-3</v>
      </c>
      <c r="L10" s="7">
        <f>KWOp.!M11/Resultados!L6</f>
        <v>4.8764326285385623E-3</v>
      </c>
      <c r="M10" s="7">
        <f>KWOp.!N11/Resultados!M6</f>
        <v>4.8764326285385623E-3</v>
      </c>
      <c r="N10" s="7">
        <f>KWOp.!O11/Resultados!N6</f>
        <v>4.8764326285385623E-3</v>
      </c>
      <c r="O10" s="7">
        <f>KWOp.!P11/Resultados!O6</f>
        <v>4.8764326285385623E-3</v>
      </c>
      <c r="P10" s="7">
        <f>KWOp.!Q11/Resultados!P6</f>
        <v>4.8764326285385632E-3</v>
      </c>
      <c r="Q10" s="7">
        <f>KWOp.!R11/Resultados!Q6</f>
        <v>4.8764326285385623E-3</v>
      </c>
      <c r="R10" s="7">
        <f>KWOp.!S11/Resultados!R6</f>
        <v>4.8764326285385623E-3</v>
      </c>
    </row>
    <row r="11" spans="1:18" ht="15.75">
      <c r="A11" s="1"/>
      <c r="B11" s="2" t="s">
        <v>303</v>
      </c>
      <c r="C11" s="7">
        <f>KWOp.!D12/Resultados!C6</f>
        <v>2.8813579282486916E-3</v>
      </c>
      <c r="D11" s="7">
        <f>KWOp.!E12/Resultados!D6</f>
        <v>2.6465356414594994E-3</v>
      </c>
      <c r="E11" s="7">
        <f>KWOp.!F12/Resultados!E6</f>
        <v>2.1897426614424275E-3</v>
      </c>
      <c r="F11" s="7">
        <f>KWOp.!G12/Resultados!F6</f>
        <v>2.4437281126203588E-3</v>
      </c>
      <c r="G11" s="7">
        <f>KWOp.!H12/Resultados!G6</f>
        <v>2.4355390329110016E-3</v>
      </c>
      <c r="H11" s="7">
        <f>KWOp.!I12/Resultados!H6</f>
        <v>2.5193806753363961E-3</v>
      </c>
      <c r="I11" s="7">
        <f>KWOp.!J12/Resultados!I6</f>
        <v>2.5193806753363961E-3</v>
      </c>
      <c r="J11" s="7">
        <f>KWOp.!K12/Resultados!J6</f>
        <v>2.5193806753363961E-3</v>
      </c>
      <c r="K11" s="7">
        <f>KWOp.!L12/Resultados!K6</f>
        <v>2.5193806753363961E-3</v>
      </c>
      <c r="L11" s="7">
        <f>KWOp.!M12/Resultados!L6</f>
        <v>2.5193806753363961E-3</v>
      </c>
      <c r="M11" s="7">
        <f>KWOp.!N12/Resultados!M6</f>
        <v>2.5193806753363956E-3</v>
      </c>
      <c r="N11" s="7">
        <f>KWOp.!O12/Resultados!N6</f>
        <v>2.5193806753363956E-3</v>
      </c>
      <c r="O11" s="7">
        <f>KWOp.!P12/Resultados!O6</f>
        <v>2.5193806753363961E-3</v>
      </c>
      <c r="P11" s="7">
        <f>KWOp.!Q12/Resultados!P6</f>
        <v>2.5193806753363961E-3</v>
      </c>
      <c r="Q11" s="7">
        <f>KWOp.!R12/Resultados!Q6</f>
        <v>2.5193806753363961E-3</v>
      </c>
      <c r="R11" s="7">
        <f>KWOp.!S12/Resultados!R6</f>
        <v>2.5193806753363961E-3</v>
      </c>
    </row>
    <row r="12" spans="1:18" ht="16.5" thickBot="1">
      <c r="A12" s="1"/>
      <c r="B12" s="2" t="s">
        <v>304</v>
      </c>
      <c r="C12" s="7">
        <f>KWOp.!D13/Resultados!C6</f>
        <v>4.8716146988509899E-3</v>
      </c>
      <c r="D12" s="7">
        <f>KWOp.!E13/Resultados!D6</f>
        <v>6.3476806936393036E-3</v>
      </c>
      <c r="E12" s="7">
        <f>KWOp.!F13/Resultados!E6</f>
        <v>4.4261998329956261E-3</v>
      </c>
      <c r="F12" s="7">
        <f>KWOp.!G13/Resultados!F6</f>
        <v>1.2751247972262642E-2</v>
      </c>
      <c r="G12" s="7">
        <f>KWOp.!H13/Resultados!G6</f>
        <v>4.485359214456008E-3</v>
      </c>
      <c r="H12" s="7">
        <f>KWOp.!I13/Resultados!H6</f>
        <v>5.0327136099854817E-3</v>
      </c>
      <c r="I12" s="7">
        <f>KWOp.!J13/Resultados!I6</f>
        <v>5.0327136099854817E-3</v>
      </c>
      <c r="J12" s="7">
        <f>KWOp.!K13/Resultados!J6</f>
        <v>5.0327136099854817E-3</v>
      </c>
      <c r="K12" s="7">
        <f>KWOp.!L13/Resultados!K6</f>
        <v>5.0327136099854817E-3</v>
      </c>
      <c r="L12" s="7">
        <f>KWOp.!M13/Resultados!L6</f>
        <v>5.0327136099854817E-3</v>
      </c>
      <c r="M12" s="7">
        <f>KWOp.!N13/Resultados!M6</f>
        <v>5.0327136099854808E-3</v>
      </c>
      <c r="N12" s="7">
        <f>KWOp.!O13/Resultados!N6</f>
        <v>5.0327136099854817E-3</v>
      </c>
      <c r="O12" s="7">
        <f>KWOp.!P13/Resultados!O6</f>
        <v>5.0327136099854817E-3</v>
      </c>
      <c r="P12" s="7">
        <f>KWOp.!Q13/Resultados!P6</f>
        <v>5.0327136099854826E-3</v>
      </c>
      <c r="Q12" s="7">
        <f>KWOp.!R13/Resultados!Q6</f>
        <v>5.0327136099854817E-3</v>
      </c>
      <c r="R12" s="7">
        <f>KWOp.!S13/Resultados!R6</f>
        <v>5.0327136099854817E-3</v>
      </c>
    </row>
    <row r="13" spans="1:18" ht="15.75">
      <c r="A13" s="1" t="s">
        <v>62</v>
      </c>
      <c r="B13" s="2"/>
      <c r="C13" s="8">
        <f t="shared" ref="C13:O13" si="1">SUM(C6:C8)</f>
        <v>0.38104192100996698</v>
      </c>
      <c r="D13" s="8">
        <f t="shared" si="1"/>
        <v>0.42887226877855533</v>
      </c>
      <c r="E13" s="8">
        <f t="shared" si="1"/>
        <v>0.39655071735969594</v>
      </c>
      <c r="F13" s="8">
        <f t="shared" si="1"/>
        <v>0.42507641001719659</v>
      </c>
      <c r="G13" s="8">
        <f>SUM(G6:G8)</f>
        <v>0.48145794378790607</v>
      </c>
      <c r="H13" s="8">
        <f t="shared" si="1"/>
        <v>0.38552036099845288</v>
      </c>
      <c r="I13" s="8">
        <f t="shared" si="1"/>
        <v>0.37893388077740819</v>
      </c>
      <c r="J13" s="8">
        <f t="shared" si="1"/>
        <v>0.37243196329601125</v>
      </c>
      <c r="K13" s="8">
        <f t="shared" si="1"/>
        <v>0.36457080993623131</v>
      </c>
      <c r="L13" s="8">
        <f t="shared" si="1"/>
        <v>0.35661246442947259</v>
      </c>
      <c r="M13" s="8">
        <f t="shared" si="1"/>
        <v>0.35017051918054709</v>
      </c>
      <c r="N13" s="8">
        <f t="shared" si="1"/>
        <v>0.34939846153840637</v>
      </c>
      <c r="O13" s="8">
        <f t="shared" si="1"/>
        <v>0.34863560881948286</v>
      </c>
      <c r="P13" s="8">
        <f>SUM(P6:P8)</f>
        <v>0.34788170203836521</v>
      </c>
      <c r="Q13" s="8">
        <f>SUM(Q6:Q8)</f>
        <v>0.34786815544836236</v>
      </c>
      <c r="R13" s="8">
        <f>SUM(R6:R8)</f>
        <v>0.34787389725131412</v>
      </c>
    </row>
    <row r="14" spans="1:18" ht="15.75">
      <c r="A14" s="1"/>
      <c r="B14" s="2"/>
      <c r="C14" s="7"/>
      <c r="D14" s="7"/>
      <c r="E14" s="7"/>
      <c r="F14" s="7"/>
      <c r="G14" s="7"/>
      <c r="H14" s="7"/>
      <c r="I14" s="7"/>
      <c r="J14" s="7"/>
      <c r="K14" s="7"/>
      <c r="L14" s="7"/>
      <c r="M14" s="7"/>
      <c r="N14" s="7"/>
      <c r="O14" s="7"/>
      <c r="P14" s="7"/>
      <c r="Q14" s="7"/>
      <c r="R14" s="7"/>
    </row>
    <row r="15" spans="1:18" ht="15.75">
      <c r="A15" s="1" t="s">
        <v>50</v>
      </c>
      <c r="B15" s="2"/>
      <c r="C15" s="7"/>
      <c r="D15" s="7"/>
      <c r="E15" s="7"/>
      <c r="F15" s="7"/>
      <c r="G15" s="7"/>
      <c r="H15" s="7"/>
      <c r="I15" s="7"/>
      <c r="J15" s="7"/>
      <c r="K15" s="7"/>
      <c r="L15" s="7"/>
      <c r="M15" s="7"/>
      <c r="N15" s="7"/>
      <c r="O15" s="7"/>
      <c r="P15" s="7"/>
      <c r="Q15" s="7"/>
      <c r="R15" s="7"/>
    </row>
    <row r="16" spans="1:18" ht="15.75">
      <c r="A16" s="1"/>
      <c r="B16" s="2" t="s">
        <v>16</v>
      </c>
      <c r="C16" s="7">
        <f>KWOp.!D17/Resultados!C6</f>
        <v>9.1512555890100142E-2</v>
      </c>
      <c r="D16" s="7">
        <f>KWOp.!E17/Resultados!D6</f>
        <v>0.10165300013015749</v>
      </c>
      <c r="E16" s="7">
        <f>KWOp.!F17/Resultados!E6</f>
        <v>7.1283422772155811E-2</v>
      </c>
      <c r="F16" s="7">
        <f>KWOp.!G17/Resultados!F6</f>
        <v>8.9067275626074791E-2</v>
      </c>
      <c r="G16" s="7">
        <f>KWOp.!H17/Resultados!G6</f>
        <v>0.14137146929494268</v>
      </c>
      <c r="H16" s="7">
        <f>KWOp.!I17/Resultados!H6</f>
        <v>0.10603326405517385</v>
      </c>
      <c r="I16" s="7">
        <f>KWOp.!J17/Resultados!I6</f>
        <v>0.10502032813082229</v>
      </c>
      <c r="J16" s="7">
        <f>KWOp.!K17/Resultados!J6</f>
        <v>0.10432096765916814</v>
      </c>
      <c r="K16" s="7">
        <f>KWOp.!L17/Resultados!K6</f>
        <v>0.1028715819768919</v>
      </c>
      <c r="L16" s="7">
        <f>KWOp.!M17/Resultados!L6</f>
        <v>0.10143758549993945</v>
      </c>
      <c r="M16" s="7">
        <f>KWOp.!N17/Resultados!M6</f>
        <v>0.1011547127963031</v>
      </c>
      <c r="N16" s="7">
        <f>KWOp.!O17/Resultados!N6</f>
        <v>9.8938734587829522E-2</v>
      </c>
      <c r="O16" s="7">
        <f>KWOp.!P17/Resultados!O6</f>
        <v>9.8089587766232875E-2</v>
      </c>
      <c r="P16" s="7">
        <f>KWOp.!Q17/Resultados!P6</f>
        <v>9.7517177062050944E-2</v>
      </c>
      <c r="Q16" s="7">
        <f>KWOp.!R17/Resultados!Q6</f>
        <v>9.7506891688159888E-2</v>
      </c>
      <c r="R16" s="7">
        <f>KWOp.!S17/Resultados!R6</f>
        <v>9.7511251205215921E-2</v>
      </c>
    </row>
    <row r="17" spans="1:18" ht="15.75">
      <c r="A17" s="1"/>
      <c r="B17" s="2" t="s">
        <v>17</v>
      </c>
      <c r="C17" s="7">
        <f>KWOp.!D18/Resultados!C6</f>
        <v>4.6329409086091365E-2</v>
      </c>
      <c r="D17" s="7">
        <f>KWOp.!E18/Resultados!D6</f>
        <v>3.304331574538525E-2</v>
      </c>
      <c r="E17" s="7">
        <f>KWOp.!F18/Resultados!E6</f>
        <v>2.7231639737698026E-2</v>
      </c>
      <c r="F17" s="7">
        <f>KWOp.!G18/Resultados!F6</f>
        <v>3.2576079313249739E-2</v>
      </c>
      <c r="G17" s="7">
        <f>KWOp.!H18/Resultados!G6</f>
        <v>3.8913521833523743E-2</v>
      </c>
      <c r="H17" s="7">
        <f>KWOp.!I18/Resultados!H6</f>
        <v>3.0290490718942475E-2</v>
      </c>
      <c r="I17" s="7">
        <f>KWOp.!J18/Resultados!I6</f>
        <v>2.7580806082336675E-2</v>
      </c>
      <c r="J17" s="7">
        <f>KWOp.!K18/Resultados!J6</f>
        <v>2.5964868187242626E-2</v>
      </c>
      <c r="K17" s="7">
        <f>KWOp.!L18/Resultados!K6</f>
        <v>2.4829716967277159E-2</v>
      </c>
      <c r="L17" s="7">
        <f>KWOp.!M18/Resultados!L6</f>
        <v>2.3720484846594884E-2</v>
      </c>
      <c r="M17" s="7">
        <f>KWOp.!N18/Resultados!M6</f>
        <v>2.1805127908470855E-2</v>
      </c>
      <c r="N17" s="7">
        <f>KWOp.!O18/Resultados!N6</f>
        <v>2.052856300723099E-2</v>
      </c>
      <c r="O17" s="7">
        <f>KWOp.!P18/Resultados!O6</f>
        <v>2.0225212941243933E-2</v>
      </c>
      <c r="P17" s="7">
        <f>KWOp.!Q18/Resultados!P6</f>
        <v>1.990037740293301E-2</v>
      </c>
      <c r="Q17" s="7">
        <f>KWOp.!R18/Resultados!Q6</f>
        <v>1.9496857918234779E-2</v>
      </c>
      <c r="R17" s="7">
        <f>KWOp.!S18/Resultados!R6</f>
        <v>1.9041733404556557E-2</v>
      </c>
    </row>
    <row r="18" spans="1:18" ht="15.75">
      <c r="A18" s="1"/>
      <c r="B18" s="2" t="s">
        <v>18</v>
      </c>
      <c r="C18" s="7">
        <f>KWOp.!D19/Resultados!C6</f>
        <v>3.9687368739229255E-2</v>
      </c>
      <c r="D18" s="7">
        <f>KWOp.!E19/Resultados!D6</f>
        <v>1.9043042080917911E-2</v>
      </c>
      <c r="E18" s="7">
        <f>KWOp.!F19/Resultados!E6</f>
        <v>1.7179261093236323E-2</v>
      </c>
      <c r="F18" s="7">
        <f>KWOp.!G19/Resultados!F6</f>
        <v>4.5212451177654163E-2</v>
      </c>
      <c r="G18" s="7">
        <f>KWOp.!H19/Resultados!G6</f>
        <v>3.5596339711776177E-2</v>
      </c>
      <c r="H18" s="7">
        <f>KWOp.!I19/Resultados!H6</f>
        <v>2.5456393537745384E-2</v>
      </c>
      <c r="I18" s="7">
        <f>KWOp.!J19/Resultados!I6</f>
        <v>2.435020024387442E-2</v>
      </c>
      <c r="J18" s="7">
        <f>KWOp.!K19/Resultados!J6</f>
        <v>2.5206717184141584E-2</v>
      </c>
      <c r="K18" s="7">
        <f>KWOp.!L19/Resultados!K6</f>
        <v>2.6391407297430301E-2</v>
      </c>
      <c r="L18" s="7">
        <f>KWOp.!M19/Resultados!L6</f>
        <v>2.5390895728188024E-2</v>
      </c>
      <c r="M18" s="7">
        <f>KWOp.!N19/Resultados!M6</f>
        <v>2.431229634244968E-2</v>
      </c>
      <c r="N18" s="7">
        <f>KWOp.!O19/Resultados!N6</f>
        <v>2.4244049698305483E-2</v>
      </c>
      <c r="O18" s="7">
        <f>KWOp.!P19/Resultados!O6</f>
        <v>2.4354888618966182E-2</v>
      </c>
      <c r="P18" s="7">
        <f>KWOp.!Q19/Resultados!P6</f>
        <v>2.4317307435149257E-2</v>
      </c>
      <c r="Q18" s="7">
        <f>KWOp.!R19/Resultados!Q6</f>
        <v>2.4121945720952172E-2</v>
      </c>
      <c r="R18" s="7">
        <f>KWOp.!S19/Resultados!R6</f>
        <v>2.3995096840625639E-2</v>
      </c>
    </row>
    <row r="19" spans="1:18" ht="16.5" thickBot="1">
      <c r="A19" s="1"/>
      <c r="B19" s="111" t="s">
        <v>307</v>
      </c>
      <c r="C19" s="7">
        <f>KWOp.!D20/Resultados!C6</f>
        <v>7.9284449695965709E-2</v>
      </c>
      <c r="D19" s="7">
        <f>KWOp.!E20/Resultados!D6</f>
        <v>6.0970440900155853E-2</v>
      </c>
      <c r="E19" s="7">
        <f>KWOp.!F20/Resultados!E6</f>
        <v>7.01126403625046E-2</v>
      </c>
      <c r="F19" s="7">
        <f>KWOp.!G20/Resultados!F6</f>
        <v>3.8807237891013903E-2</v>
      </c>
      <c r="G19" s="7">
        <f>KWOp.!H20/Resultados!G6</f>
        <v>3.2922022342305277E-2</v>
      </c>
      <c r="H19" s="7">
        <f>KWOp.!I20/Resultados!H6</f>
        <v>3.5498762291536645E-2</v>
      </c>
      <c r="I19" s="7">
        <f>KWOp.!J20/Resultados!I6</f>
        <v>3.3886713736645604E-2</v>
      </c>
      <c r="J19" s="7">
        <f>KWOp.!K20/Resultados!J6</f>
        <v>2.998966207781022E-2</v>
      </c>
      <c r="K19" s="7">
        <f>KWOp.!L20/Resultados!K6</f>
        <v>3.0445221014646997E-2</v>
      </c>
      <c r="L19" s="7">
        <f>KWOp.!M20/Resultados!L6</f>
        <v>2.9888666906704615E-2</v>
      </c>
      <c r="M19" s="7">
        <f>KWOp.!N20/Resultados!M6</f>
        <v>2.9888666906704619E-2</v>
      </c>
      <c r="N19" s="7">
        <f>KWOp.!O20/Resultados!N6</f>
        <v>2.9888666906704615E-2</v>
      </c>
      <c r="O19" s="7">
        <f>KWOp.!P20/Resultados!O6</f>
        <v>2.9888666906704619E-2</v>
      </c>
      <c r="P19" s="7">
        <f>KWOp.!Q20/Resultados!P6</f>
        <v>2.9888666906704619E-2</v>
      </c>
      <c r="Q19" s="7">
        <f>KWOp.!R20/Resultados!Q6</f>
        <v>2.9888666906704619E-2</v>
      </c>
      <c r="R19" s="7">
        <f>KWOp.!S20/Resultados!R6</f>
        <v>2.9888666906704619E-2</v>
      </c>
    </row>
    <row r="20" spans="1:18" ht="15.75">
      <c r="A20" s="1" t="s">
        <v>51</v>
      </c>
      <c r="B20" s="2"/>
      <c r="C20" s="8">
        <f t="shared" ref="C20:O20" si="2">SUM(C16:C19)</f>
        <v>0.2568137834113865</v>
      </c>
      <c r="D20" s="8">
        <f t="shared" si="2"/>
        <v>0.21470979885661651</v>
      </c>
      <c r="E20" s="8">
        <f t="shared" si="2"/>
        <v>0.18580696396559476</v>
      </c>
      <c r="F20" s="8">
        <f t="shared" si="2"/>
        <v>0.2056630440079926</v>
      </c>
      <c r="G20" s="8">
        <f>SUM(G16:G19)</f>
        <v>0.24880335318254787</v>
      </c>
      <c r="H20" s="8">
        <f t="shared" si="2"/>
        <v>0.19727891060339836</v>
      </c>
      <c r="I20" s="8">
        <f t="shared" si="2"/>
        <v>0.190838048193679</v>
      </c>
      <c r="J20" s="8">
        <f t="shared" si="2"/>
        <v>0.18548221510836257</v>
      </c>
      <c r="K20" s="8">
        <f t="shared" si="2"/>
        <v>0.18453792725624638</v>
      </c>
      <c r="L20" s="8">
        <f t="shared" si="2"/>
        <v>0.18043763298142698</v>
      </c>
      <c r="M20" s="8">
        <f t="shared" si="2"/>
        <v>0.17716080395392825</v>
      </c>
      <c r="N20" s="8">
        <f t="shared" si="2"/>
        <v>0.1736000142000706</v>
      </c>
      <c r="O20" s="8">
        <f t="shared" si="2"/>
        <v>0.17255835623314761</v>
      </c>
      <c r="P20" s="8">
        <f>SUM(P16:P19)</f>
        <v>0.17162352880683782</v>
      </c>
      <c r="Q20" s="8">
        <f>SUM(Q16:Q19)</f>
        <v>0.17101436223405145</v>
      </c>
      <c r="R20" s="8">
        <f>SUM(R16:R19)</f>
        <v>0.17043674835710274</v>
      </c>
    </row>
    <row r="21" spans="1:18" ht="15.75">
      <c r="A21" s="1"/>
      <c r="B21" s="1" t="s">
        <v>52</v>
      </c>
      <c r="C21" s="7"/>
      <c r="D21" s="7"/>
      <c r="E21" s="7"/>
      <c r="F21" s="7"/>
      <c r="G21" s="7"/>
      <c r="H21" s="7"/>
      <c r="I21" s="7"/>
      <c r="J21" s="7"/>
      <c r="K21" s="7"/>
      <c r="L21" s="7"/>
      <c r="M21" s="7"/>
      <c r="N21" s="7"/>
      <c r="O21" s="7"/>
      <c r="P21" s="7"/>
      <c r="Q21" s="7"/>
      <c r="R21" s="7"/>
    </row>
    <row r="22" spans="1:18" ht="16.5" thickBot="1">
      <c r="A22" s="1"/>
      <c r="B22" s="1"/>
      <c r="C22" s="7"/>
      <c r="D22" s="7"/>
      <c r="E22" s="7"/>
      <c r="F22" s="7"/>
      <c r="G22" s="7"/>
      <c r="H22" s="7"/>
      <c r="I22" s="7"/>
      <c r="J22" s="7"/>
      <c r="K22" s="7"/>
      <c r="L22" s="7"/>
      <c r="M22" s="7"/>
      <c r="N22" s="7"/>
      <c r="O22" s="7"/>
      <c r="P22" s="7"/>
      <c r="Q22" s="7"/>
      <c r="R22" s="7"/>
    </row>
    <row r="23" spans="1:18" ht="16.5" thickTop="1">
      <c r="A23" s="13" t="s">
        <v>53</v>
      </c>
      <c r="B23" s="14"/>
      <c r="C23" s="16">
        <f t="shared" ref="C23:O23" si="3">C13-C20</f>
        <v>0.12422813759858048</v>
      </c>
      <c r="D23" s="16">
        <f t="shared" si="3"/>
        <v>0.21416246992193883</v>
      </c>
      <c r="E23" s="16">
        <f t="shared" si="3"/>
        <v>0.21074375339410117</v>
      </c>
      <c r="F23" s="16">
        <f t="shared" si="3"/>
        <v>0.219413366009204</v>
      </c>
      <c r="G23" s="16">
        <f>G13-G20</f>
        <v>0.2326545906053582</v>
      </c>
      <c r="H23" s="16">
        <f t="shared" si="3"/>
        <v>0.18824145039505452</v>
      </c>
      <c r="I23" s="16">
        <f t="shared" si="3"/>
        <v>0.18809583258372919</v>
      </c>
      <c r="J23" s="16">
        <f t="shared" si="3"/>
        <v>0.18694974818764867</v>
      </c>
      <c r="K23" s="16">
        <f t="shared" si="3"/>
        <v>0.18003288267998493</v>
      </c>
      <c r="L23" s="16">
        <f t="shared" si="3"/>
        <v>0.1761748314480456</v>
      </c>
      <c r="M23" s="16">
        <f t="shared" si="3"/>
        <v>0.17300971522661884</v>
      </c>
      <c r="N23" s="16">
        <f t="shared" si="3"/>
        <v>0.17579844733833577</v>
      </c>
      <c r="O23" s="16">
        <f t="shared" si="3"/>
        <v>0.17607725258633525</v>
      </c>
      <c r="P23" s="16">
        <f>P13-P20</f>
        <v>0.1762581732315274</v>
      </c>
      <c r="Q23" s="16">
        <f>Q13-Q20</f>
        <v>0.17685379321431091</v>
      </c>
      <c r="R23" s="16">
        <f>R13-R20</f>
        <v>0.17743714889421139</v>
      </c>
    </row>
    <row r="24" spans="1:18" ht="16.5" thickBot="1">
      <c r="A24" s="15"/>
      <c r="B24" s="15" t="s">
        <v>52</v>
      </c>
      <c r="C24" s="17"/>
      <c r="D24" s="17"/>
      <c r="E24" s="17"/>
      <c r="F24" s="17"/>
      <c r="G24" s="17"/>
      <c r="H24" s="17"/>
      <c r="I24" s="17"/>
      <c r="J24" s="17"/>
      <c r="K24" s="17"/>
      <c r="L24" s="17"/>
      <c r="M24" s="17"/>
      <c r="N24" s="17"/>
      <c r="O24" s="17"/>
      <c r="P24" s="17"/>
      <c r="Q24" s="17"/>
      <c r="R24" s="17"/>
    </row>
    <row r="25" spans="1:18" ht="16.5" thickTop="1">
      <c r="A25" s="1"/>
      <c r="B25" s="2"/>
      <c r="C25" s="7"/>
      <c r="D25" s="7"/>
      <c r="E25" s="7"/>
      <c r="F25" s="7"/>
      <c r="G25" s="7"/>
      <c r="H25" s="7"/>
      <c r="I25" s="7"/>
      <c r="J25" s="7"/>
      <c r="K25" s="7"/>
      <c r="L25" s="7"/>
      <c r="M25" s="7"/>
      <c r="N25" s="7"/>
      <c r="O25" s="7"/>
      <c r="P25" s="7"/>
      <c r="Q25" s="7"/>
      <c r="R25" s="7"/>
    </row>
    <row r="26" spans="1:18" ht="15.75">
      <c r="A26" s="1"/>
      <c r="B26" s="2" t="s">
        <v>19</v>
      </c>
      <c r="C26" s="7">
        <f>KWOp.!D29/Resultados!C6</f>
        <v>0</v>
      </c>
      <c r="D26" s="7">
        <f>KWOp.!E29/Resultados!D6</f>
        <v>0</v>
      </c>
      <c r="E26" s="7">
        <f>KWOp.!F29/Resultados!E6</f>
        <v>6.7122911715415201E-3</v>
      </c>
      <c r="F26" s="7">
        <f>KWOp.!G29/Resultados!F6</f>
        <v>8.3198150842772895E-3</v>
      </c>
      <c r="G26" s="7">
        <f>KWOp.!H29/Resultados!G6</f>
        <v>8.2249953162710897E-3</v>
      </c>
      <c r="H26" s="7">
        <f>KWOp.!I29/Resultados!H6</f>
        <v>6.7197039783908922E-3</v>
      </c>
      <c r="I26" s="7">
        <f>KWOp.!J29/Resultados!I6</f>
        <v>6.1085242365217828E-3</v>
      </c>
      <c r="J26" s="7">
        <f>KWOp.!K29/Resultados!J6</f>
        <v>5.4377840937236705E-3</v>
      </c>
      <c r="K26" s="7">
        <f>KWOp.!L29/Resultados!K6</f>
        <v>5.8073533570262908E-3</v>
      </c>
      <c r="L26" s="7">
        <f>KWOp.!M29/Resultados!L6</f>
        <v>1.2277474724977666E-2</v>
      </c>
      <c r="M26" s="7">
        <f>KWOp.!N29/Resultados!M6</f>
        <v>8.3397305799577433E-3</v>
      </c>
      <c r="N26" s="7">
        <f>KWOp.!O29/Resultados!N6</f>
        <v>8.6945345238122612E-3</v>
      </c>
      <c r="O26" s="7">
        <f>KWOp.!P29/Resultados!O6</f>
        <v>9.2986633960882217E-3</v>
      </c>
      <c r="P26" s="7">
        <f>KWOp.!Q29/Resultados!P6</f>
        <v>9.9199179456982006E-3</v>
      </c>
      <c r="Q26" s="7">
        <f>KWOp.!R29/Resultados!Q6</f>
        <v>1.0004093746097573E-2</v>
      </c>
      <c r="R26" s="7">
        <f>KWOp.!S29/Resultados!R6</f>
        <v>1.0364213627262694E-2</v>
      </c>
    </row>
    <row r="27" spans="1:18" ht="16.5" thickBot="1">
      <c r="A27" s="1"/>
      <c r="B27" s="2"/>
      <c r="C27" s="7"/>
      <c r="D27" s="7"/>
      <c r="E27" s="7"/>
      <c r="F27" s="7"/>
      <c r="G27" s="7"/>
      <c r="H27" s="7"/>
      <c r="I27" s="7"/>
      <c r="J27" s="7"/>
      <c r="K27" s="7"/>
      <c r="L27" s="7"/>
      <c r="M27" s="7"/>
      <c r="N27" s="7"/>
      <c r="O27" s="7"/>
      <c r="P27" s="7"/>
      <c r="Q27" s="7"/>
      <c r="R27" s="7"/>
    </row>
    <row r="28" spans="1:18" ht="17.25" thickTop="1" thickBot="1">
      <c r="A28" s="5" t="s">
        <v>53</v>
      </c>
      <c r="B28" s="12"/>
      <c r="C28" s="10">
        <f t="shared" ref="C28:I28" si="4">C23-C26</f>
        <v>0.12422813759858048</v>
      </c>
      <c r="D28" s="10">
        <f t="shared" si="4"/>
        <v>0.21416246992193883</v>
      </c>
      <c r="E28" s="10">
        <f t="shared" si="4"/>
        <v>0.20403146222255966</v>
      </c>
      <c r="F28" s="10">
        <f t="shared" si="4"/>
        <v>0.21109355092492671</v>
      </c>
      <c r="G28" s="10">
        <f>G23-G26</f>
        <v>0.22442959528908712</v>
      </c>
      <c r="H28" s="10">
        <f t="shared" si="4"/>
        <v>0.18152174641666363</v>
      </c>
      <c r="I28" s="10">
        <f t="shared" si="4"/>
        <v>0.18198730834720742</v>
      </c>
      <c r="J28" s="10">
        <f t="shared" ref="J28:O28" si="5">J23-J26</f>
        <v>0.181511964093925</v>
      </c>
      <c r="K28" s="10">
        <f t="shared" si="5"/>
        <v>0.17422552932295865</v>
      </c>
      <c r="L28" s="10">
        <f t="shared" si="5"/>
        <v>0.16389735672306793</v>
      </c>
      <c r="M28" s="10">
        <f t="shared" si="5"/>
        <v>0.16466998464666111</v>
      </c>
      <c r="N28" s="10">
        <f t="shared" si="5"/>
        <v>0.16710391281452353</v>
      </c>
      <c r="O28" s="10">
        <f t="shared" si="5"/>
        <v>0.16677858919024702</v>
      </c>
      <c r="P28" s="10">
        <f>P23-P26</f>
        <v>0.16633825528582918</v>
      </c>
      <c r="Q28" s="10">
        <f>Q23-Q26</f>
        <v>0.16684969946821335</v>
      </c>
      <c r="R28" s="10">
        <f>R23-R26</f>
        <v>0.16707293526694869</v>
      </c>
    </row>
    <row r="29" spans="1:18" ht="15.75" thickTop="1">
      <c r="A29" s="2"/>
      <c r="B29" s="2"/>
      <c r="C29" s="2"/>
      <c r="D29" s="2"/>
      <c r="E29" s="2"/>
      <c r="F29" s="2"/>
      <c r="G29" s="2"/>
      <c r="H29" s="2"/>
    </row>
  </sheetData>
  <phoneticPr fontId="0" type="noConversion"/>
  <printOptions horizontalCentered="1" verticalCentered="1"/>
  <pageMargins left="0.51181102362204722" right="0.51181102362204722" top="0.51181102362204722" bottom="0.51181102362204722" header="0.51181102362204722" footer="0.51181102362204722"/>
  <pageSetup firstPageNumber="5" orientation="landscape" blackAndWhite="1" horizontalDpi="300" verticalDpi="300"/>
  <headerFooter>
    <oddHeader>&amp;C&amp;A</oddHeader>
    <oddFooter>&amp;CCompañía Modelo - EVA&amp;RPágina &amp;P</oddFooter>
  </headerFooter>
</worksheet>
</file>

<file path=xl/worksheets/sheet8.xml><?xml version="1.0" encoding="utf-8"?>
<worksheet xmlns="http://schemas.openxmlformats.org/spreadsheetml/2006/main" xmlns:r="http://schemas.openxmlformats.org/officeDocument/2006/relationships">
  <sheetPr transitionEvaluation="1" enableFormatConditionsCalculation="0">
    <pageSetUpPr fitToPage="1"/>
  </sheetPr>
  <dimension ref="A1:R136"/>
  <sheetViews>
    <sheetView showGridLines="0" zoomScale="70" workbookViewId="0">
      <pane xSplit="2" ySplit="4" topLeftCell="F5" activePane="bottomRight" state="frozen"/>
      <selection pane="topRight" activeCell="C1" sqref="C1"/>
      <selection pane="bottomLeft" activeCell="A5" sqref="A5"/>
      <selection pane="bottomRight" activeCell="H24" sqref="H24"/>
    </sheetView>
  </sheetViews>
  <sheetFormatPr baseColWidth="10" defaultColWidth="8.88671875" defaultRowHeight="15"/>
  <cols>
    <col min="1" max="1" width="3.6640625" customWidth="1"/>
    <col min="2" max="2" width="35.6640625" customWidth="1"/>
    <col min="3" max="7" width="10.33203125" customWidth="1"/>
    <col min="8" max="8" width="11.5546875" style="122" customWidth="1"/>
    <col min="9" max="10" width="11.5546875" style="122" bestFit="1" customWidth="1"/>
    <col min="11" max="16" width="11.5546875" bestFit="1" customWidth="1"/>
    <col min="17" max="17" width="11" bestFit="1" customWidth="1"/>
    <col min="18" max="18" width="10.88671875" bestFit="1" customWidth="1"/>
  </cols>
  <sheetData>
    <row r="1" spans="1:18" ht="15.75">
      <c r="A1" s="1" t="str">
        <f>+Balance!A1</f>
        <v>ENKA de Colombia S.A.</v>
      </c>
      <c r="B1" s="2"/>
      <c r="C1" s="2"/>
      <c r="D1" s="2"/>
      <c r="E1" s="2"/>
      <c r="F1" s="2"/>
      <c r="G1" s="2"/>
    </row>
    <row r="2" spans="1:18" ht="15.75">
      <c r="A2" s="1" t="s">
        <v>114</v>
      </c>
      <c r="B2" s="2"/>
      <c r="C2" s="2"/>
      <c r="D2" s="2"/>
      <c r="E2" s="2"/>
      <c r="F2" s="2"/>
      <c r="G2" s="2"/>
    </row>
    <row r="3" spans="1:18" ht="15.75">
      <c r="A3" s="1"/>
      <c r="B3" s="2"/>
      <c r="C3" s="2"/>
      <c r="D3" s="2"/>
      <c r="E3" s="2"/>
      <c r="F3" s="2"/>
      <c r="G3" s="2"/>
    </row>
    <row r="4" spans="1:18" ht="16.5" thickBot="1">
      <c r="A4" s="2"/>
      <c r="B4" s="2"/>
      <c r="C4" s="3">
        <f>'KWOp.%'!$C$4</f>
        <v>2009</v>
      </c>
      <c r="D4" s="3">
        <f>C4+1</f>
        <v>2010</v>
      </c>
      <c r="E4" s="3">
        <f>D4+1</f>
        <v>2011</v>
      </c>
      <c r="F4" s="3">
        <f>E4+1</f>
        <v>2012</v>
      </c>
      <c r="G4" s="3">
        <f>+F4+1</f>
        <v>2013</v>
      </c>
      <c r="H4" s="123">
        <f>+G4+1</f>
        <v>2014</v>
      </c>
      <c r="I4" s="123">
        <f t="shared" ref="I4:R4" si="0">+H4+1</f>
        <v>2015</v>
      </c>
      <c r="J4" s="123">
        <f t="shared" si="0"/>
        <v>2016</v>
      </c>
      <c r="K4" s="123">
        <f t="shared" si="0"/>
        <v>2017</v>
      </c>
      <c r="L4" s="123">
        <f t="shared" si="0"/>
        <v>2018</v>
      </c>
      <c r="M4" s="123">
        <f t="shared" si="0"/>
        <v>2019</v>
      </c>
      <c r="N4" s="123">
        <f t="shared" si="0"/>
        <v>2020</v>
      </c>
      <c r="O4" s="123">
        <f t="shared" si="0"/>
        <v>2021</v>
      </c>
      <c r="P4" s="123">
        <f t="shared" si="0"/>
        <v>2022</v>
      </c>
      <c r="Q4" s="123">
        <f t="shared" si="0"/>
        <v>2023</v>
      </c>
      <c r="R4" s="123">
        <f t="shared" si="0"/>
        <v>2024</v>
      </c>
    </row>
    <row r="5" spans="1:18" ht="15.75">
      <c r="A5" s="1" t="s">
        <v>115</v>
      </c>
      <c r="B5" s="2"/>
      <c r="C5" s="2"/>
      <c r="D5" s="2"/>
      <c r="E5" s="2"/>
      <c r="F5" s="2"/>
      <c r="G5" s="2"/>
      <c r="H5" s="111"/>
      <c r="I5" s="111"/>
      <c r="J5" s="111"/>
      <c r="K5" s="2"/>
      <c r="L5" s="2"/>
      <c r="M5" s="2"/>
      <c r="N5" s="2"/>
      <c r="O5" s="2"/>
      <c r="P5" s="2"/>
      <c r="Q5" s="2"/>
      <c r="R5" s="2"/>
    </row>
    <row r="6" spans="1:18" ht="15.75">
      <c r="A6" s="1" t="s">
        <v>116</v>
      </c>
      <c r="B6" s="2"/>
      <c r="C6" s="2"/>
      <c r="D6" s="2"/>
      <c r="E6" s="2"/>
      <c r="F6" s="2"/>
      <c r="G6" s="2"/>
      <c r="H6" s="111"/>
      <c r="I6" s="111"/>
      <c r="J6" s="111"/>
      <c r="K6" s="2"/>
      <c r="L6" s="2"/>
      <c r="M6" s="2"/>
      <c r="N6" s="2"/>
      <c r="O6" s="2"/>
      <c r="P6" s="2"/>
      <c r="Q6" s="2"/>
      <c r="R6" s="2"/>
    </row>
    <row r="7" spans="1:18">
      <c r="A7" s="2"/>
      <c r="B7" s="2" t="s">
        <v>117</v>
      </c>
      <c r="C7" s="2">
        <f>Impuestos!C9</f>
        <v>-18388</v>
      </c>
      <c r="D7" s="2">
        <f>Impuestos!D9</f>
        <v>-8401</v>
      </c>
      <c r="E7" s="2">
        <f>Impuestos!E9</f>
        <v>-11162</v>
      </c>
      <c r="F7" s="2">
        <f>Impuestos!F9</f>
        <v>-7205</v>
      </c>
      <c r="G7" s="2">
        <f>Impuestos!G9</f>
        <v>-5449</v>
      </c>
      <c r="H7" s="2">
        <f>Impuestos!H9</f>
        <v>-7713.5368572440793</v>
      </c>
      <c r="I7" s="2">
        <f>Impuestos!I9</f>
        <v>-4101.4688377653647</v>
      </c>
      <c r="J7" s="2">
        <f>Impuestos!J9</f>
        <v>-455.60145695430379</v>
      </c>
      <c r="K7" s="2">
        <f>Impuestos!K9</f>
        <v>6683.3700510631752</v>
      </c>
      <c r="L7" s="2">
        <f>Impuestos!L9</f>
        <v>15255.489921050992</v>
      </c>
      <c r="M7" s="2">
        <f>Impuestos!M9</f>
        <v>20161.993821860768</v>
      </c>
      <c r="N7" s="2">
        <f>Impuestos!N9</f>
        <v>24096.48021668561</v>
      </c>
      <c r="O7" s="2">
        <f>Impuestos!O9</f>
        <v>28355.889992256791</v>
      </c>
      <c r="P7" s="2">
        <f>Impuestos!P9</f>
        <v>32964.384596733988</v>
      </c>
      <c r="Q7" s="2">
        <f>Impuestos!Q9</f>
        <v>35505.594735698483</v>
      </c>
      <c r="R7" s="2">
        <f>Impuestos!R9</f>
        <v>38864.195952435657</v>
      </c>
    </row>
    <row r="8" spans="1:18" ht="15.75" thickBot="1">
      <c r="A8" s="2"/>
      <c r="B8" s="2" t="s">
        <v>118</v>
      </c>
      <c r="C8" s="2">
        <f>+CapitalFijo!C11+ABS(Resultados!C18)</f>
        <v>13544</v>
      </c>
      <c r="D8" s="2">
        <f>+CapitalFijo!D11+ABS(Resultados!D18)</f>
        <v>12681</v>
      </c>
      <c r="E8" s="2">
        <f>+CapitalFijo!E11+ABS(Resultados!E18)</f>
        <v>11614</v>
      </c>
      <c r="F8" s="2">
        <f>+CapitalFijo!F11+ABS(Resultados!F18)</f>
        <v>11037</v>
      </c>
      <c r="G8" s="2">
        <f>+CapitalFijo!G11+ABS(Resultados!G18)</f>
        <v>10354</v>
      </c>
      <c r="H8" s="2">
        <f>+CapitalFijo!H11+ABS(Resultados!H18)</f>
        <v>17857.884915346978</v>
      </c>
      <c r="I8" s="2">
        <f>+CapitalFijo!I11+ABS(Resultados!I18)</f>
        <v>17857.884915346978</v>
      </c>
      <c r="J8" s="2">
        <f>+CapitalFijo!J11+ABS(Resultados!J18)</f>
        <v>17601.074089830334</v>
      </c>
      <c r="K8" s="2">
        <f>+CapitalFijo!K11+ABS(Resultados!K18)</f>
        <v>13841.969538193778</v>
      </c>
      <c r="L8" s="2">
        <f>+CapitalFijo!L11+ABS(Resultados!L18)</f>
        <v>9004.1147145000286</v>
      </c>
      <c r="M8" s="2">
        <f>+CapitalFijo!M11+ABS(Resultados!M18)</f>
        <v>7788.3340024789213</v>
      </c>
      <c r="N8" s="2">
        <f>+CapitalFijo!N11+ABS(Resultados!N18)</f>
        <v>7788.3340024789213</v>
      </c>
      <c r="O8" s="2">
        <f>+CapitalFijo!O11+ABS(Resultados!O18)</f>
        <v>7788.3340024789213</v>
      </c>
      <c r="P8" s="2">
        <f>+CapitalFijo!P11+ABS(Resultados!P18)</f>
        <v>7788.3340024789213</v>
      </c>
      <c r="Q8" s="2">
        <f>+CapitalFijo!Q11+ABS(Resultados!Q18)</f>
        <v>7788.3340024789213</v>
      </c>
      <c r="R8" s="2">
        <f>+CapitalFijo!R11+ABS(Resultados!R18)</f>
        <v>458.46886562427972</v>
      </c>
    </row>
    <row r="9" spans="1:18" ht="15.75">
      <c r="A9" s="2"/>
      <c r="B9" s="22" t="s">
        <v>119</v>
      </c>
      <c r="C9" s="23">
        <f>SUM(C7:C8)</f>
        <v>-4844</v>
      </c>
      <c r="D9" s="23">
        <f>SUM(D7:D8)</f>
        <v>4280</v>
      </c>
      <c r="E9" s="23">
        <f>SUM(E7:E8)</f>
        <v>452</v>
      </c>
      <c r="F9" s="23">
        <f>SUM(F7:F8)</f>
        <v>3832</v>
      </c>
      <c r="G9" s="23">
        <f>SUM(G7:G8)</f>
        <v>4905</v>
      </c>
      <c r="H9" s="23">
        <f t="shared" ref="H9:R9" si="1">SUM(H7:H8)</f>
        <v>10144.3480581029</v>
      </c>
      <c r="I9" s="23">
        <f t="shared" si="1"/>
        <v>13756.416077581613</v>
      </c>
      <c r="J9" s="23">
        <f t="shared" si="1"/>
        <v>17145.47263287603</v>
      </c>
      <c r="K9" s="23">
        <f t="shared" si="1"/>
        <v>20525.339589256953</v>
      </c>
      <c r="L9" s="23">
        <f t="shared" si="1"/>
        <v>24259.604635551019</v>
      </c>
      <c r="M9" s="23">
        <f t="shared" si="1"/>
        <v>27950.327824339689</v>
      </c>
      <c r="N9" s="23">
        <f t="shared" si="1"/>
        <v>31884.814219164531</v>
      </c>
      <c r="O9" s="23">
        <f t="shared" si="1"/>
        <v>36144.223994735716</v>
      </c>
      <c r="P9" s="23">
        <f t="shared" si="1"/>
        <v>40752.718599212909</v>
      </c>
      <c r="Q9" s="23">
        <f t="shared" si="1"/>
        <v>43293.928738177405</v>
      </c>
      <c r="R9" s="23">
        <f t="shared" si="1"/>
        <v>39322.664818059937</v>
      </c>
    </row>
    <row r="11" spans="1:18" ht="15.75">
      <c r="A11" s="1" t="s">
        <v>120</v>
      </c>
      <c r="B11" s="2"/>
      <c r="C11" s="2"/>
      <c r="D11" s="2"/>
      <c r="E11" s="2"/>
      <c r="F11" s="2"/>
      <c r="G11" s="2"/>
      <c r="H11" s="111"/>
      <c r="I11" s="111"/>
      <c r="J11" s="111"/>
      <c r="K11" s="2"/>
      <c r="L11" s="2"/>
      <c r="M11" s="2"/>
      <c r="N11" s="2"/>
      <c r="O11" s="2"/>
      <c r="P11" s="2"/>
      <c r="Q11" s="2"/>
      <c r="R11" s="2"/>
    </row>
    <row r="12" spans="1:18">
      <c r="A12" s="2"/>
      <c r="B12" s="2" t="s">
        <v>121</v>
      </c>
      <c r="C12" s="2">
        <f>-KWOp.!D25+KWOp.!C25+Resultados!C18</f>
        <v>34635</v>
      </c>
      <c r="D12" s="2">
        <f>-KWOp.!E25+KWOp.!D25+Resultados!D18</f>
        <v>-37244</v>
      </c>
      <c r="E12" s="2">
        <f>-KWOp.!F25+KWOp.!E25+Resultados!E18</f>
        <v>-10373</v>
      </c>
      <c r="F12" s="2">
        <f>-KWOp.!G25+KWOp.!F25+Resultados!F18</f>
        <v>6122</v>
      </c>
      <c r="G12" s="2">
        <f>-KWOp.!H25+KWOp.!G25+Resultados!G18</f>
        <v>5991</v>
      </c>
      <c r="H12" s="2">
        <f>-KWOp.!I25+KWOp.!H25+Resultados!H18</f>
        <v>3665.3435203109402</v>
      </c>
      <c r="I12" s="2">
        <f>-KWOp.!J25+KWOp.!I25+Resultados!I18</f>
        <v>-4664.6765021066967</v>
      </c>
      <c r="J12" s="2">
        <f>-KWOp.!K25+KWOp.!J25+Resultados!J18</f>
        <v>-4068.9682537894842</v>
      </c>
      <c r="K12" s="2">
        <f>-KWOp.!L25+KWOp.!K25+Resultados!K18</f>
        <v>-1920.137493438262</v>
      </c>
      <c r="L12" s="2">
        <f>-KWOp.!M25+KWOp.!L25+Resultados!L18</f>
        <v>-2506.4390208466211</v>
      </c>
      <c r="M12" s="2">
        <f>-KWOp.!N25+KWOp.!M25+Resultados!M18</f>
        <v>-3007.156439787228</v>
      </c>
      <c r="N12" s="2">
        <f>-KWOp.!O25+KWOp.!N25+Resultados!N18</f>
        <v>-5632.5247651569516</v>
      </c>
      <c r="O12" s="2">
        <f>-KWOp.!P25+KWOp.!O25+Resultados!O18</f>
        <v>-4873.3075305710227</v>
      </c>
      <c r="P12" s="2">
        <f>-KWOp.!Q25+KWOp.!P25+Resultados!P18</f>
        <v>-5108.9834461901337</v>
      </c>
      <c r="Q12" s="2">
        <f>-KWOp.!R25+KWOp.!Q25+Resultados!Q18</f>
        <v>-5611.3137205823441</v>
      </c>
      <c r="R12" s="2">
        <f>-KWOp.!S25+KWOp.!R25+Resultados!R18</f>
        <v>-5939.3238814926881</v>
      </c>
    </row>
    <row r="13" spans="1:18" ht="15.75" thickBot="1">
      <c r="A13" s="2"/>
      <c r="B13" s="2"/>
      <c r="C13" s="2"/>
      <c r="D13" s="2"/>
      <c r="E13" s="2"/>
      <c r="F13" s="2"/>
      <c r="G13" s="2"/>
      <c r="H13" s="111"/>
      <c r="I13" s="111"/>
      <c r="J13" s="111"/>
      <c r="K13" s="2"/>
      <c r="L13" s="2"/>
      <c r="M13" s="2"/>
      <c r="N13" s="2"/>
      <c r="O13" s="2"/>
      <c r="P13" s="2"/>
      <c r="Q13" s="2"/>
      <c r="R13" s="2"/>
    </row>
    <row r="14" spans="1:18" ht="15.75">
      <c r="A14" s="2"/>
      <c r="B14" s="22" t="s">
        <v>122</v>
      </c>
      <c r="C14" s="23">
        <f t="shared" ref="C14:R14" si="2">C9+C12</f>
        <v>29791</v>
      </c>
      <c r="D14" s="23">
        <f t="shared" si="2"/>
        <v>-32964</v>
      </c>
      <c r="E14" s="23">
        <f t="shared" si="2"/>
        <v>-9921</v>
      </c>
      <c r="F14" s="23">
        <f t="shared" si="2"/>
        <v>9954</v>
      </c>
      <c r="G14" s="23">
        <f t="shared" si="2"/>
        <v>10896</v>
      </c>
      <c r="H14" s="23">
        <f t="shared" si="2"/>
        <v>13809.69157841384</v>
      </c>
      <c r="I14" s="23">
        <f t="shared" si="2"/>
        <v>9091.7395754749159</v>
      </c>
      <c r="J14" s="23">
        <f t="shared" si="2"/>
        <v>13076.504379086546</v>
      </c>
      <c r="K14" s="23">
        <f t="shared" si="2"/>
        <v>18605.202095818691</v>
      </c>
      <c r="L14" s="23">
        <f t="shared" si="2"/>
        <v>21753.165614704398</v>
      </c>
      <c r="M14" s="23">
        <f t="shared" si="2"/>
        <v>24943.171384552461</v>
      </c>
      <c r="N14" s="23">
        <f t="shared" si="2"/>
        <v>26252.289454007579</v>
      </c>
      <c r="O14" s="23">
        <f t="shared" si="2"/>
        <v>31270.916464164693</v>
      </c>
      <c r="P14" s="23">
        <f t="shared" si="2"/>
        <v>35643.735153022775</v>
      </c>
      <c r="Q14" s="23">
        <f t="shared" si="2"/>
        <v>37682.615017595061</v>
      </c>
      <c r="R14" s="23">
        <f t="shared" si="2"/>
        <v>33383.340936567249</v>
      </c>
    </row>
    <row r="16" spans="1:18" ht="15.75">
      <c r="A16" s="1" t="s">
        <v>123</v>
      </c>
      <c r="B16" s="2"/>
      <c r="C16" s="2"/>
      <c r="D16" s="2"/>
      <c r="E16" s="2"/>
      <c r="F16" s="2"/>
      <c r="G16" s="2"/>
      <c r="H16" s="111"/>
      <c r="I16" s="111"/>
      <c r="J16" s="111"/>
      <c r="K16" s="2"/>
      <c r="L16" s="2"/>
      <c r="M16" s="2"/>
      <c r="N16" s="2"/>
      <c r="O16" s="2"/>
      <c r="P16" s="2"/>
      <c r="Q16" s="2"/>
      <c r="R16" s="2"/>
    </row>
    <row r="17" spans="1:18">
      <c r="A17" s="2"/>
      <c r="B17" s="2" t="s">
        <v>124</v>
      </c>
      <c r="C17" s="2">
        <f>Impuestos!C34</f>
        <v>0</v>
      </c>
      <c r="D17" s="2">
        <f>Impuestos!D34</f>
        <v>0</v>
      </c>
      <c r="E17" s="2">
        <f>Impuestos!E34</f>
        <v>0</v>
      </c>
      <c r="F17" s="2">
        <f>Impuestos!F34</f>
        <v>-2299</v>
      </c>
      <c r="G17" s="2">
        <f>Impuestos!G34+54</f>
        <v>-2336</v>
      </c>
      <c r="H17" s="2">
        <f>Impuestos!H34-54</f>
        <v>-2239</v>
      </c>
      <c r="I17" s="2">
        <f>Impuestos!I34</f>
        <v>-2079.155665505381</v>
      </c>
      <c r="J17" s="2">
        <f>Impuestos!J34</f>
        <v>-2013.153597995642</v>
      </c>
      <c r="K17" s="2">
        <f>Impuestos!K34</f>
        <v>-1900.6759042612218</v>
      </c>
      <c r="L17" s="2">
        <f>Impuestos!L34</f>
        <v>-2146.592160468872</v>
      </c>
      <c r="M17" s="2">
        <f>Impuestos!M34</f>
        <v>-4872.560073854911</v>
      </c>
      <c r="N17" s="2">
        <f>Impuestos!N34</f>
        <v>-3406.6054122404339</v>
      </c>
      <c r="O17" s="2">
        <f>Impuestos!O34</f>
        <v>-3736.2068986508111</v>
      </c>
      <c r="P17" s="2">
        <f>Impuestos!P34</f>
        <v>-4204.4738260426739</v>
      </c>
      <c r="Q17" s="2">
        <f>Impuestos!Q34</f>
        <v>-4720.5970352956747</v>
      </c>
      <c r="R17" s="2">
        <f>Impuestos!R34</f>
        <v>-5011.3516255765371</v>
      </c>
    </row>
    <row r="19" spans="1:18" ht="15.75">
      <c r="A19" s="2"/>
      <c r="B19" s="22" t="s">
        <v>125</v>
      </c>
      <c r="C19" s="22">
        <f t="shared" ref="C19:R19" si="3">C14+C17</f>
        <v>29791</v>
      </c>
      <c r="D19" s="22">
        <f t="shared" si="3"/>
        <v>-32964</v>
      </c>
      <c r="E19" s="22">
        <f t="shared" si="3"/>
        <v>-9921</v>
      </c>
      <c r="F19" s="22">
        <f t="shared" si="3"/>
        <v>7655</v>
      </c>
      <c r="G19" s="22">
        <f t="shared" si="3"/>
        <v>8560</v>
      </c>
      <c r="H19" s="22">
        <f t="shared" si="3"/>
        <v>11570.69157841384</v>
      </c>
      <c r="I19" s="22">
        <f t="shared" si="3"/>
        <v>7012.5839099695349</v>
      </c>
      <c r="J19" s="22">
        <f t="shared" si="3"/>
        <v>11063.350781090903</v>
      </c>
      <c r="K19" s="22">
        <f t="shared" si="3"/>
        <v>16704.52619155747</v>
      </c>
      <c r="L19" s="22">
        <f t="shared" si="3"/>
        <v>19606.573454235528</v>
      </c>
      <c r="M19" s="22">
        <f t="shared" si="3"/>
        <v>20070.61131069755</v>
      </c>
      <c r="N19" s="22">
        <f t="shared" si="3"/>
        <v>22845.684041767145</v>
      </c>
      <c r="O19" s="22">
        <f t="shared" si="3"/>
        <v>27534.709565513884</v>
      </c>
      <c r="P19" s="22">
        <f t="shared" si="3"/>
        <v>31439.2613269801</v>
      </c>
      <c r="Q19" s="22">
        <f t="shared" si="3"/>
        <v>32962.017982299389</v>
      </c>
      <c r="R19" s="22">
        <f t="shared" si="3"/>
        <v>28371.989310990713</v>
      </c>
    </row>
    <row r="20" spans="1:18" ht="15.75">
      <c r="A20" s="2"/>
      <c r="B20" s="22" t="s">
        <v>126</v>
      </c>
      <c r="C20" s="22"/>
      <c r="D20" s="22"/>
      <c r="E20" s="22"/>
      <c r="F20" s="22"/>
      <c r="G20" s="22"/>
      <c r="H20" s="22"/>
      <c r="I20" s="22"/>
      <c r="J20" s="22"/>
      <c r="K20" s="22"/>
      <c r="L20" s="22"/>
      <c r="M20" s="22"/>
      <c r="N20" s="22"/>
      <c r="O20" s="22"/>
      <c r="P20" s="22"/>
      <c r="Q20" s="22"/>
      <c r="R20" s="22"/>
    </row>
    <row r="22" spans="1:18" ht="15.75">
      <c r="A22" s="1" t="s">
        <v>127</v>
      </c>
      <c r="B22" s="2"/>
      <c r="C22" s="2"/>
      <c r="D22" s="2"/>
      <c r="E22" s="2"/>
      <c r="F22" s="2"/>
      <c r="G22" s="2"/>
      <c r="H22" s="111"/>
      <c r="I22" s="111"/>
      <c r="J22" s="111"/>
      <c r="K22" s="2"/>
      <c r="L22" s="2"/>
      <c r="M22" s="2"/>
      <c r="N22" s="2"/>
      <c r="O22" s="2"/>
      <c r="P22" s="2"/>
      <c r="Q22" s="2"/>
      <c r="R22" s="2"/>
    </row>
    <row r="23" spans="1:18">
      <c r="A23" s="2"/>
      <c r="B23" s="2"/>
      <c r="C23" s="40"/>
      <c r="D23" s="40"/>
      <c r="E23" s="40"/>
      <c r="F23" s="40"/>
      <c r="G23" s="40"/>
      <c r="H23" s="125"/>
      <c r="I23" s="125"/>
      <c r="J23" s="125"/>
      <c r="K23" s="40"/>
      <c r="L23" s="40"/>
      <c r="M23" s="40"/>
      <c r="N23" s="40"/>
      <c r="O23" s="40"/>
      <c r="P23" s="40"/>
      <c r="Q23" s="40"/>
      <c r="R23" s="40"/>
    </row>
    <row r="24" spans="1:18">
      <c r="A24" s="2"/>
      <c r="B24" s="2" t="s">
        <v>68</v>
      </c>
      <c r="C24" s="2">
        <f>-CapitalFijo!C12</f>
        <v>-6720</v>
      </c>
      <c r="D24" s="2">
        <f>-CapitalFijo!D12</f>
        <v>-2643</v>
      </c>
      <c r="E24" s="2">
        <f>-CapitalFijo!E12</f>
        <v>-9969</v>
      </c>
      <c r="F24" s="2">
        <f>-CapitalFijo!F12</f>
        <v>-36281</v>
      </c>
      <c r="G24" s="2">
        <f>-CapitalFijo!G12</f>
        <v>-42798</v>
      </c>
      <c r="H24" s="2">
        <f>-CapitalFijo!H12</f>
        <v>-1817.0950000000303</v>
      </c>
      <c r="I24" s="2">
        <f>-CapitalFijo!I12</f>
        <v>-1817.0950000000303</v>
      </c>
      <c r="J24" s="2">
        <f>-CapitalFijo!J12</f>
        <v>-1811.0949999999721</v>
      </c>
      <c r="K24" s="2">
        <f>-CapitalFijo!K12</f>
        <v>-1424.2949999999837</v>
      </c>
      <c r="L24" s="2">
        <f>-CapitalFijo!L12</f>
        <v>-926.49499999999534</v>
      </c>
      <c r="M24" s="2">
        <f>-CapitalFijo!M12</f>
        <v>-8013.9500000000116</v>
      </c>
      <c r="N24" s="2">
        <f>-CapitalFijo!N12</f>
        <v>-8013.9500000000116</v>
      </c>
      <c r="O24" s="2">
        <f>-CapitalFijo!O12</f>
        <v>-8013.9499999999534</v>
      </c>
      <c r="P24" s="2">
        <f>-CapitalFijo!P12</f>
        <v>-8013.9500000000116</v>
      </c>
      <c r="Q24" s="2">
        <f>-CapitalFijo!Q12</f>
        <v>-8013.9499999999534</v>
      </c>
      <c r="R24" s="2">
        <f>-CapitalFijo!R12</f>
        <v>-471.75</v>
      </c>
    </row>
    <row r="25" spans="1:18" ht="15.75" thickBot="1">
      <c r="A25" s="2"/>
      <c r="B25" s="2"/>
      <c r="C25" s="2"/>
      <c r="D25" s="2"/>
      <c r="E25" s="2"/>
      <c r="F25" s="2"/>
      <c r="G25" s="2"/>
      <c r="H25" s="111"/>
      <c r="I25" s="111"/>
      <c r="J25" s="111"/>
      <c r="K25" s="2"/>
      <c r="L25" s="2"/>
      <c r="M25" s="2"/>
      <c r="N25" s="2"/>
      <c r="O25" s="2"/>
      <c r="P25" s="2"/>
      <c r="Q25" s="2"/>
      <c r="R25" s="2"/>
    </row>
    <row r="26" spans="1:18" ht="17.25" thickTop="1" thickBot="1">
      <c r="A26" s="24" t="s">
        <v>115</v>
      </c>
      <c r="B26" s="24"/>
      <c r="C26" s="24">
        <f t="shared" ref="C26:R26" si="4">+C19+C24</f>
        <v>23071</v>
      </c>
      <c r="D26" s="24">
        <f t="shared" si="4"/>
        <v>-35607</v>
      </c>
      <c r="E26" s="24">
        <f t="shared" si="4"/>
        <v>-19890</v>
      </c>
      <c r="F26" s="24">
        <f t="shared" si="4"/>
        <v>-28626</v>
      </c>
      <c r="G26" s="24">
        <f t="shared" si="4"/>
        <v>-34238</v>
      </c>
      <c r="H26" s="24">
        <f t="shared" si="4"/>
        <v>9753.5965784138098</v>
      </c>
      <c r="I26" s="24">
        <f t="shared" si="4"/>
        <v>5195.4889099695047</v>
      </c>
      <c r="J26" s="24">
        <f t="shared" si="4"/>
        <v>9252.2557810909311</v>
      </c>
      <c r="K26" s="24">
        <f t="shared" si="4"/>
        <v>15280.231191557486</v>
      </c>
      <c r="L26" s="24">
        <f t="shared" si="4"/>
        <v>18680.078454235532</v>
      </c>
      <c r="M26" s="24">
        <f t="shared" si="4"/>
        <v>12056.661310697538</v>
      </c>
      <c r="N26" s="24">
        <f t="shared" si="4"/>
        <v>14831.734041767133</v>
      </c>
      <c r="O26" s="24">
        <f t="shared" si="4"/>
        <v>19520.75956551393</v>
      </c>
      <c r="P26" s="24">
        <f t="shared" si="4"/>
        <v>23425.311326980089</v>
      </c>
      <c r="Q26" s="24">
        <f t="shared" si="4"/>
        <v>24948.067982299435</v>
      </c>
      <c r="R26" s="24">
        <f t="shared" si="4"/>
        <v>27900.239310990713</v>
      </c>
    </row>
    <row r="27" spans="1:18" ht="16.5" thickTop="1">
      <c r="A27" s="580"/>
      <c r="B27" s="580"/>
      <c r="C27" s="580"/>
      <c r="D27" s="580"/>
      <c r="E27" s="580"/>
      <c r="F27" s="580"/>
      <c r="G27" s="580"/>
      <c r="H27" s="580"/>
      <c r="I27" s="580"/>
      <c r="J27" s="580"/>
      <c r="K27" s="580"/>
      <c r="L27" s="580"/>
      <c r="M27" s="580"/>
      <c r="N27" s="580"/>
      <c r="O27" s="580"/>
      <c r="P27" s="580"/>
      <c r="Q27" s="580"/>
      <c r="R27" s="580"/>
    </row>
    <row r="28" spans="1:18">
      <c r="A28" s="2"/>
      <c r="B28" s="2"/>
      <c r="C28" s="2"/>
      <c r="D28" s="2"/>
      <c r="E28" s="2"/>
      <c r="F28" s="2"/>
      <c r="G28" s="2"/>
      <c r="H28" s="111"/>
      <c r="I28" s="111"/>
      <c r="J28" s="111"/>
      <c r="K28" s="2"/>
      <c r="L28" s="2"/>
      <c r="M28" s="2"/>
      <c r="N28" s="2"/>
      <c r="O28" s="2"/>
      <c r="P28" s="2"/>
      <c r="Q28" s="2"/>
      <c r="R28" s="2"/>
    </row>
    <row r="29" spans="1:18" ht="15.75">
      <c r="A29" s="1" t="s">
        <v>128</v>
      </c>
      <c r="B29" s="2"/>
      <c r="C29" s="2"/>
      <c r="D29" s="2"/>
      <c r="E29" s="2"/>
      <c r="F29" s="2"/>
      <c r="G29" s="2"/>
      <c r="H29" s="111"/>
      <c r="I29" s="111"/>
      <c r="J29" s="111"/>
      <c r="K29" s="2"/>
      <c r="L29" s="2"/>
      <c r="M29" s="2"/>
      <c r="N29" s="2"/>
      <c r="O29" s="2"/>
      <c r="P29" s="2"/>
      <c r="Q29" s="2"/>
      <c r="R29" s="2"/>
    </row>
    <row r="30" spans="1:18" ht="15.75">
      <c r="A30" s="1" t="s">
        <v>129</v>
      </c>
      <c r="B30" s="2"/>
      <c r="C30" s="2"/>
      <c r="D30" s="2"/>
      <c r="E30" s="2"/>
      <c r="F30" s="2"/>
      <c r="G30" s="2"/>
      <c r="H30" s="111"/>
      <c r="I30" s="111"/>
      <c r="J30" s="111"/>
      <c r="K30" s="2"/>
      <c r="L30" s="2"/>
      <c r="M30" s="2"/>
      <c r="N30" s="2"/>
      <c r="O30" s="2"/>
      <c r="P30" s="2"/>
      <c r="Q30" s="2"/>
      <c r="R30" s="2"/>
    </row>
    <row r="31" spans="1:18">
      <c r="A31" s="2"/>
      <c r="B31" s="2" t="s">
        <v>130</v>
      </c>
      <c r="C31" s="2">
        <f>Resultados!C25</f>
        <v>-2358</v>
      </c>
      <c r="D31" s="2">
        <f>Resultados!D25</f>
        <v>-1134</v>
      </c>
      <c r="E31" s="2">
        <f>Resultados!E25</f>
        <v>-630</v>
      </c>
      <c r="F31" s="2">
        <f>Resultados!F25</f>
        <v>-1136</v>
      </c>
      <c r="G31" s="2">
        <f>Resultados!G25</f>
        <v>-1149</v>
      </c>
      <c r="H31" s="2">
        <f>Resultados!H25</f>
        <v>-2520.3069252000037</v>
      </c>
      <c r="I31" s="2">
        <f>Resultados!I25</f>
        <v>-2120.1646140772045</v>
      </c>
      <c r="J31" s="2">
        <f>Resultados!J25</f>
        <v>-1848.3957096630024</v>
      </c>
      <c r="K31" s="2">
        <f>Resultados!K25</f>
        <v>-1559.7441004000032</v>
      </c>
      <c r="L31" s="2">
        <f>Resultados!L25</f>
        <v>-1254.7214706368045</v>
      </c>
      <c r="M31" s="2">
        <f>Resultados!M25</f>
        <v>-958.80693325320442</v>
      </c>
      <c r="N31" s="2">
        <f>Resultados!N25</f>
        <v>-756.83878660256346</v>
      </c>
      <c r="O31" s="2">
        <f>Resultados!O25</f>
        <v>-554.8706399519225</v>
      </c>
      <c r="P31" s="2">
        <f>Resultados!P25</f>
        <v>-352.92429330128249</v>
      </c>
      <c r="Q31" s="2">
        <f>Resultados!Q25</f>
        <v>-176.4621466506409</v>
      </c>
      <c r="R31" s="2">
        <f>Resultados!R25</f>
        <v>0</v>
      </c>
    </row>
    <row r="32" spans="1:18">
      <c r="A32" s="2"/>
      <c r="B32" s="2" t="s">
        <v>131</v>
      </c>
      <c r="C32" s="2">
        <f>Impuestos!C35</f>
        <v>0</v>
      </c>
      <c r="D32" s="2">
        <f>Impuestos!D35</f>
        <v>0</v>
      </c>
      <c r="E32" s="2">
        <f>Impuestos!E35</f>
        <v>0</v>
      </c>
      <c r="F32" s="2">
        <f>Impuestos!F35</f>
        <v>0</v>
      </c>
      <c r="G32" s="2">
        <f>Impuestos!G35</f>
        <v>0</v>
      </c>
      <c r="H32" s="2">
        <f>Impuestos!H35</f>
        <v>0</v>
      </c>
      <c r="I32" s="2">
        <f>Impuestos!I35</f>
        <v>0</v>
      </c>
      <c r="J32" s="2">
        <f>Impuestos!J35</f>
        <v>0</v>
      </c>
      <c r="K32" s="2">
        <f>Impuestos!K35</f>
        <v>0</v>
      </c>
      <c r="L32" s="2">
        <f>Impuestos!L35</f>
        <v>0</v>
      </c>
      <c r="M32" s="2">
        <f>Impuestos!M35</f>
        <v>106.57756610729692</v>
      </c>
      <c r="N32" s="2">
        <f>Impuestos!N35</f>
        <v>0</v>
      </c>
      <c r="O32" s="2">
        <f>Impuestos!O35</f>
        <v>0</v>
      </c>
      <c r="P32" s="2">
        <f>Impuestos!P35</f>
        <v>0</v>
      </c>
      <c r="Q32" s="2">
        <f>Impuestos!Q35</f>
        <v>0</v>
      </c>
      <c r="R32" s="2">
        <f>Impuestos!R35</f>
        <v>0</v>
      </c>
    </row>
    <row r="33" spans="1:18" ht="15.75" thickBot="1">
      <c r="A33" s="2"/>
      <c r="B33" s="2" t="s">
        <v>361</v>
      </c>
      <c r="C33" s="2">
        <f>+Resultados!C24</f>
        <v>6222</v>
      </c>
      <c r="D33" s="2">
        <f>+Resultados!D24</f>
        <v>6741</v>
      </c>
      <c r="E33" s="2">
        <f>+Resultados!E24</f>
        <v>1790</v>
      </c>
      <c r="F33" s="2">
        <f>+Resultados!F24</f>
        <v>3779</v>
      </c>
      <c r="G33" s="2">
        <f>+Resultados!G24</f>
        <v>1569</v>
      </c>
      <c r="H33" s="2">
        <f>+Resultados!H24</f>
        <v>774.58034975914063</v>
      </c>
      <c r="I33" s="2">
        <f>+Resultados!I24</f>
        <v>961.55915430055006</v>
      </c>
      <c r="J33" s="2">
        <f>+Resultados!J24</f>
        <v>1005.8623290070313</v>
      </c>
      <c r="K33" s="2">
        <f>+Resultados!K24</f>
        <v>1003.1533015827808</v>
      </c>
      <c r="L33" s="2">
        <f>+Resultados!L24</f>
        <v>1079.2475851846425</v>
      </c>
      <c r="M33" s="2">
        <f>+Resultados!M24</f>
        <v>1117.3235957218039</v>
      </c>
      <c r="N33" s="2">
        <f>+Resultados!N24</f>
        <v>1167.0992130800796</v>
      </c>
      <c r="O33" s="2">
        <f>+Resultados!O24</f>
        <v>1236.4525501728369</v>
      </c>
      <c r="P33" s="2">
        <f>+Resultados!P24</f>
        <v>1298.4665063518698</v>
      </c>
      <c r="Q33" s="2">
        <f>+Resultados!Q24</f>
        <v>1365.7232091354558</v>
      </c>
      <c r="R33" s="2">
        <f>+Resultados!R24</f>
        <v>1439.7714911257585</v>
      </c>
    </row>
    <row r="34" spans="1:18" ht="15.75">
      <c r="A34" s="2"/>
      <c r="B34" s="22" t="s">
        <v>132</v>
      </c>
      <c r="C34" s="23">
        <f>SUM(C31:C33)</f>
        <v>3864</v>
      </c>
      <c r="D34" s="23">
        <f>SUM(D31:D33)</f>
        <v>5607</v>
      </c>
      <c r="E34" s="23">
        <f>SUM(E31:E33)</f>
        <v>1160</v>
      </c>
      <c r="F34" s="23">
        <f>SUM(F31:F33)</f>
        <v>2643</v>
      </c>
      <c r="G34" s="23">
        <f>SUM(G31:G33)</f>
        <v>420</v>
      </c>
      <c r="H34" s="23">
        <f t="shared" ref="H34:R34" si="5">SUM(H31:H33)</f>
        <v>-1745.7265754408631</v>
      </c>
      <c r="I34" s="23">
        <f t="shared" si="5"/>
        <v>-1158.6054597766545</v>
      </c>
      <c r="J34" s="23">
        <f t="shared" si="5"/>
        <v>-842.53338065597109</v>
      </c>
      <c r="K34" s="23">
        <f t="shared" si="5"/>
        <v>-556.59079881722232</v>
      </c>
      <c r="L34" s="23">
        <f t="shared" si="5"/>
        <v>-175.47388545216199</v>
      </c>
      <c r="M34" s="23">
        <f t="shared" si="5"/>
        <v>265.09422857589641</v>
      </c>
      <c r="N34" s="23">
        <f t="shared" si="5"/>
        <v>410.26042647751615</v>
      </c>
      <c r="O34" s="23">
        <f t="shared" si="5"/>
        <v>681.58191022091444</v>
      </c>
      <c r="P34" s="23">
        <f t="shared" si="5"/>
        <v>945.54221305058741</v>
      </c>
      <c r="Q34" s="23">
        <f t="shared" si="5"/>
        <v>1189.2610624848148</v>
      </c>
      <c r="R34" s="23">
        <f t="shared" si="5"/>
        <v>1439.7714911257585</v>
      </c>
    </row>
    <row r="36" spans="1:18">
      <c r="A36" s="2"/>
      <c r="B36" s="2" t="s">
        <v>133</v>
      </c>
      <c r="C36" s="2">
        <f>+PasivoFciero!D37</f>
        <v>-605</v>
      </c>
      <c r="D36" s="2">
        <f>+PasivoFciero!E37</f>
        <v>3423</v>
      </c>
      <c r="E36" s="2">
        <f>+PasivoFciero!F37</f>
        <v>8234</v>
      </c>
      <c r="F36" s="2">
        <f>+PasivoFciero!G37</f>
        <v>25316</v>
      </c>
      <c r="G36" s="2">
        <f>+PasivoFciero!H37</f>
        <v>10847</v>
      </c>
      <c r="H36" s="2">
        <f>+PasivoFciero!I37</f>
        <v>-15601.2</v>
      </c>
      <c r="I36" s="2">
        <f>+PasivoFciero!J37</f>
        <v>-8563.2842000000001</v>
      </c>
      <c r="J36" s="2">
        <f>+PasivoFciero!K37</f>
        <v>-7989.0054999999884</v>
      </c>
      <c r="K36" s="2">
        <f>+PasivoFciero!L37</f>
        <v>-7836.4000000000087</v>
      </c>
      <c r="L36" s="2">
        <f>+PasivoFciero!M37</f>
        <v>-7561.6448000000019</v>
      </c>
      <c r="M36" s="2">
        <f>+PasivoFciero!N37</f>
        <v>-5600.3202000000001</v>
      </c>
      <c r="N36" s="2">
        <f>+PasivoFciero!O37</f>
        <v>-5480.4161599999989</v>
      </c>
      <c r="O36" s="2">
        <f>+PasivoFciero!P37</f>
        <v>-5359.5121199999849</v>
      </c>
      <c r="P36" s="2">
        <f>+PasivoFciero!Q37</f>
        <v>-4070.6080800000091</v>
      </c>
      <c r="Q36" s="2">
        <f>+PasivoFciero!R37</f>
        <v>-3950.7040400000042</v>
      </c>
      <c r="R36" s="2">
        <f>+PasivoFciero!S37</f>
        <v>-3.637978807091713E-12</v>
      </c>
    </row>
    <row r="38" spans="1:18" ht="15.75">
      <c r="A38" s="2"/>
      <c r="B38" s="25" t="s">
        <v>134</v>
      </c>
      <c r="C38" s="26">
        <f t="shared" ref="C38:R38" si="6">+C34+C36</f>
        <v>3259</v>
      </c>
      <c r="D38" s="26">
        <f t="shared" si="6"/>
        <v>9030</v>
      </c>
      <c r="E38" s="26">
        <f t="shared" si="6"/>
        <v>9394</v>
      </c>
      <c r="F38" s="26">
        <f t="shared" si="6"/>
        <v>27959</v>
      </c>
      <c r="G38" s="26">
        <f t="shared" si="6"/>
        <v>11267</v>
      </c>
      <c r="H38" s="26">
        <f t="shared" si="6"/>
        <v>-17346.926575440863</v>
      </c>
      <c r="I38" s="26">
        <f t="shared" si="6"/>
        <v>-9721.8896597766543</v>
      </c>
      <c r="J38" s="26">
        <f t="shared" si="6"/>
        <v>-8831.5388806559604</v>
      </c>
      <c r="K38" s="26">
        <f t="shared" si="6"/>
        <v>-8392.9907988172308</v>
      </c>
      <c r="L38" s="26">
        <f t="shared" si="6"/>
        <v>-7737.1186854521638</v>
      </c>
      <c r="M38" s="26">
        <f t="shared" si="6"/>
        <v>-5335.2259714241036</v>
      </c>
      <c r="N38" s="26">
        <f t="shared" si="6"/>
        <v>-5070.1557335224825</v>
      </c>
      <c r="O38" s="26">
        <f t="shared" si="6"/>
        <v>-4677.9302097790705</v>
      </c>
      <c r="P38" s="26">
        <f t="shared" si="6"/>
        <v>-3125.0658669494214</v>
      </c>
      <c r="Q38" s="26">
        <f t="shared" si="6"/>
        <v>-2761.4429775151893</v>
      </c>
      <c r="R38" s="26">
        <f t="shared" si="6"/>
        <v>1439.7714911257549</v>
      </c>
    </row>
    <row r="40" spans="1:18" ht="15.75">
      <c r="A40" s="1" t="s">
        <v>135</v>
      </c>
      <c r="B40" s="2"/>
      <c r="C40" s="2"/>
      <c r="D40" s="2"/>
      <c r="E40" s="2"/>
      <c r="F40" s="2"/>
      <c r="G40" s="2"/>
      <c r="H40" s="111"/>
      <c r="I40" s="111"/>
      <c r="J40" s="111"/>
      <c r="K40" s="2"/>
      <c r="L40" s="2"/>
      <c r="M40" s="2"/>
      <c r="N40" s="2"/>
      <c r="O40" s="2"/>
      <c r="P40" s="2"/>
      <c r="Q40" s="2"/>
      <c r="R40" s="2"/>
    </row>
    <row r="41" spans="1:18" ht="15.75">
      <c r="A41" s="1"/>
      <c r="B41" s="2" t="s">
        <v>136</v>
      </c>
      <c r="C41" s="2">
        <f>+IF(Balance!D8-Balance!C8&gt;=0,-(Balance!D8-Balance!C8),ABS(Balance!D8-Balance!C8))</f>
        <v>-53024</v>
      </c>
      <c r="D41" s="2">
        <f>+IF(Balance!E8-Balance!D8&gt;=0,-(Balance!E8-Balance!D8),ABS(Balance!E8-Balance!D8))</f>
        <v>3385</v>
      </c>
      <c r="E41" s="2">
        <f>+IF(Balance!F8-Balance!E8&gt;=0,-(Balance!F8-Balance!E8),ABS(Balance!F8-Balance!E8))</f>
        <v>11967</v>
      </c>
      <c r="F41" s="2">
        <f>+IF(Balance!G8-Balance!F8&gt;=0,-(Balance!G8-Balance!F8),ABS(Balance!G8-Balance!F8))</f>
        <v>6510</v>
      </c>
      <c r="G41" s="2">
        <f>+IF(Balance!H8-Balance!G8&gt;=0,-(Balance!H8-Balance!G8),ABS(Balance!H8-Balance!G8))</f>
        <v>29380</v>
      </c>
      <c r="H41" s="2">
        <f>+IF(Balance!I8-Balance!H8&gt;=0,-(Balance!I8-Balance!H8),ABS(Balance!I8-Balance!H8))</f>
        <v>1782</v>
      </c>
      <c r="I41" s="2">
        <f>+IF(Balance!J8-Balance!I8&gt;=0,-(Balance!J8-Balance!I8),ABS(Balance!J8-Balance!I8))</f>
        <v>0</v>
      </c>
      <c r="J41" s="2">
        <f>+IF(Balance!K8-Balance!J8&gt;=0,-(Balance!K8-Balance!J8),ABS(Balance!K8-Balance!J8))</f>
        <v>0</v>
      </c>
      <c r="K41" s="2">
        <f>+IF(Balance!L8-Balance!K8&gt;=0,-(Balance!L8-Balance!K8),ABS(Balance!L8-Balance!K8))</f>
        <v>0</v>
      </c>
      <c r="L41" s="2">
        <f>+IF(Balance!M8-Balance!L8&gt;=0,-(Balance!M8-Balance!L8),ABS(Balance!M8-Balance!L8))</f>
        <v>0</v>
      </c>
      <c r="M41" s="2">
        <f>+IF(Balance!N8-Balance!M8&gt;=0,-(Balance!N8-Balance!M8),ABS(Balance!N8-Balance!M8))</f>
        <v>0</v>
      </c>
      <c r="N41" s="2">
        <f>+IF(Balance!O8-Balance!N8&gt;=0,-(Balance!O8-Balance!N8),ABS(Balance!O8-Balance!N8))</f>
        <v>0</v>
      </c>
      <c r="O41" s="2">
        <f>+IF(Balance!P8-Balance!O8&gt;=0,-(Balance!P8-Balance!O8),ABS(Balance!P8-Balance!O8))</f>
        <v>0</v>
      </c>
      <c r="P41" s="2">
        <f>+IF(Balance!Q8-Balance!P8&gt;=0,-(Balance!Q8-Balance!P8),ABS(Balance!Q8-Balance!P8))</f>
        <v>0</v>
      </c>
      <c r="Q41" s="2">
        <f>+IF(Balance!R8-Balance!Q8&gt;=0,-(Balance!R8-Balance!Q8),ABS(Balance!R8-Balance!Q8))</f>
        <v>0</v>
      </c>
      <c r="R41" s="2">
        <f>+IF(Balance!S8-Balance!R8&gt;=0,-(Balance!S8-Balance!R8),ABS(Balance!S8-Balance!R8))</f>
        <v>0</v>
      </c>
    </row>
    <row r="43" spans="1:18" ht="15.75">
      <c r="A43" s="1" t="s">
        <v>137</v>
      </c>
      <c r="B43" s="2"/>
      <c r="C43" s="2"/>
      <c r="D43" s="2"/>
      <c r="E43" s="2"/>
      <c r="F43" s="2"/>
      <c r="G43" s="2"/>
      <c r="H43" s="111"/>
      <c r="I43" s="111"/>
      <c r="J43" s="111"/>
      <c r="K43" s="2"/>
      <c r="L43" s="2"/>
      <c r="M43" s="2"/>
      <c r="N43" s="2"/>
      <c r="O43" s="2"/>
      <c r="P43" s="2"/>
      <c r="Q43" s="2"/>
      <c r="R43" s="2"/>
    </row>
    <row r="44" spans="1:18">
      <c r="A44" s="2"/>
      <c r="B44" s="2" t="s">
        <v>138</v>
      </c>
      <c r="C44" s="2">
        <f>+Balance!D59+Balance!D60-FCL!C101</f>
        <v>0</v>
      </c>
      <c r="D44" s="2">
        <f>+Balance!E59+Balance!E60-Balance!D59-Balance!D60</f>
        <v>0</v>
      </c>
      <c r="E44" s="2">
        <f>+Balance!F59+Balance!F60-Balance!E59-Balance!E60</f>
        <v>0</v>
      </c>
      <c r="F44" s="2">
        <f>+Balance!G59+Balance!G60-Balance!F59-Balance!F60</f>
        <v>0</v>
      </c>
      <c r="G44" s="2">
        <f>+Balance!H59+Balance!H60-Balance!G59-Balance!G60</f>
        <v>0</v>
      </c>
      <c r="H44" s="2">
        <f>+Balance!I59+Balance!I60-Balance!H59-Balance!H60</f>
        <v>0</v>
      </c>
      <c r="I44" s="2">
        <f>+Balance!J59+Balance!J60-Balance!I59-Balance!I60</f>
        <v>0</v>
      </c>
      <c r="J44" s="2">
        <f>+Balance!K59+Balance!K60-Balance!J59-Balance!J60</f>
        <v>0</v>
      </c>
      <c r="K44" s="2">
        <f>+Balance!L59+Balance!L60-Balance!K59-Balance!K60</f>
        <v>0</v>
      </c>
      <c r="L44" s="2">
        <f>+Balance!M59+Balance!M60-Balance!L59-Balance!L60</f>
        <v>0</v>
      </c>
      <c r="M44" s="2">
        <f>+Balance!N59+Balance!N60-Balance!M59-Balance!M60</f>
        <v>0</v>
      </c>
      <c r="N44" s="2">
        <f>+Balance!O59+Balance!O60-Balance!N59-Balance!N60</f>
        <v>0</v>
      </c>
      <c r="O44" s="2">
        <f>+Balance!P59+Balance!P60-Balance!O59-Balance!O60</f>
        <v>0</v>
      </c>
      <c r="P44" s="2">
        <f>+Balance!Q59+Balance!Q60-Balance!P59-Balance!P60</f>
        <v>0</v>
      </c>
      <c r="Q44" s="2">
        <f>+Balance!R59+Balance!R60-Balance!Q59-Balance!Q60</f>
        <v>0</v>
      </c>
      <c r="R44" s="2">
        <f>+Balance!S59+Balance!S60-Balance!R59-Balance!R60</f>
        <v>0</v>
      </c>
    </row>
    <row r="45" spans="1:18" ht="15.75" thickBot="1">
      <c r="A45" s="2"/>
      <c r="B45" s="2" t="s">
        <v>139</v>
      </c>
      <c r="C45" s="18">
        <f>+Balance!D61+Balance!D64-FCL!C102-FCL!C105-FCL!C106</f>
        <v>0</v>
      </c>
      <c r="D45" s="18">
        <f>+Balance!E61+Balance!E64-Balance!D64-Balance!D65</f>
        <v>0</v>
      </c>
      <c r="E45" s="18">
        <f>+Balance!F61+Balance!F64-Balance!E64-Balance!E65</f>
        <v>0</v>
      </c>
      <c r="F45" s="18">
        <f>+Balance!G61+Balance!G64-Balance!F64-Balance!F65</f>
        <v>2</v>
      </c>
      <c r="G45" s="18">
        <f>+Balance!H61+Balance!H64-Balance!G64-Balance!G65</f>
        <v>0</v>
      </c>
      <c r="H45" s="18">
        <f>+Balance!I61+Balance!I64-Balance!H64-Balance!H65</f>
        <v>0</v>
      </c>
      <c r="I45" s="18">
        <f>+Balance!J61+Balance!J64-Balance!I64-Balance!I65</f>
        <v>0</v>
      </c>
      <c r="J45" s="18">
        <f>+Balance!K61+Balance!K64-Balance!J64-Balance!J65</f>
        <v>-1.4551915228366852E-11</v>
      </c>
      <c r="K45" s="18">
        <f>+Balance!L61+Balance!L64-Balance!K64-Balance!K65</f>
        <v>-1.0004441719502211E-11</v>
      </c>
      <c r="L45" s="18">
        <f>+Balance!M61+Balance!M64-Balance!L64-Balance!L65</f>
        <v>-3.637978807091713E-12</v>
      </c>
      <c r="M45" s="18">
        <f>+Balance!N61+Balance!N64-Balance!M64-Balance!M65</f>
        <v>0</v>
      </c>
      <c r="N45" s="18">
        <f>+Balance!O61+Balance!O64-Balance!N64-Balance!N65</f>
        <v>0</v>
      </c>
      <c r="O45" s="18">
        <f>+Balance!P61+Balance!P64-Balance!O64-Balance!O65</f>
        <v>0</v>
      </c>
      <c r="P45" s="18">
        <f>+Balance!Q61+Balance!Q64-Balance!P64-Balance!P65</f>
        <v>0</v>
      </c>
      <c r="Q45" s="18">
        <f>+Balance!R61+Balance!R64-Balance!Q64-Balance!Q65</f>
        <v>0</v>
      </c>
      <c r="R45" s="18">
        <f>+Balance!S61+Balance!S64-Balance!R64-Balance!R65</f>
        <v>0</v>
      </c>
    </row>
    <row r="46" spans="1:18" ht="15.75">
      <c r="A46" s="2"/>
      <c r="B46" s="22" t="s">
        <v>140</v>
      </c>
      <c r="C46" s="25">
        <f t="shared" ref="C46:O46" si="7">SUM(C44:C45)</f>
        <v>0</v>
      </c>
      <c r="D46" s="25">
        <f t="shared" si="7"/>
        <v>0</v>
      </c>
      <c r="E46" s="25">
        <f t="shared" si="7"/>
        <v>0</v>
      </c>
      <c r="F46" s="25">
        <f t="shared" si="7"/>
        <v>2</v>
      </c>
      <c r="G46" s="25">
        <f t="shared" si="7"/>
        <v>0</v>
      </c>
      <c r="H46" s="25">
        <f t="shared" si="7"/>
        <v>0</v>
      </c>
      <c r="I46" s="25">
        <f t="shared" si="7"/>
        <v>0</v>
      </c>
      <c r="J46" s="25">
        <f t="shared" si="7"/>
        <v>-1.4551915228366852E-11</v>
      </c>
      <c r="K46" s="25">
        <f t="shared" si="7"/>
        <v>-1.0004441719502211E-11</v>
      </c>
      <c r="L46" s="25">
        <f t="shared" si="7"/>
        <v>-3.637978807091713E-12</v>
      </c>
      <c r="M46" s="25">
        <f t="shared" si="7"/>
        <v>0</v>
      </c>
      <c r="N46" s="25">
        <f t="shared" si="7"/>
        <v>0</v>
      </c>
      <c r="O46" s="25">
        <f t="shared" si="7"/>
        <v>0</v>
      </c>
      <c r="P46" s="25">
        <f>SUM(P44:P45)</f>
        <v>0</v>
      </c>
      <c r="Q46" s="25">
        <f>SUM(Q44:Q45)</f>
        <v>0</v>
      </c>
      <c r="R46" s="25">
        <f>SUM(R44:R45)</f>
        <v>0</v>
      </c>
    </row>
    <row r="48" spans="1:18" ht="15.75">
      <c r="A48" s="1" t="s">
        <v>141</v>
      </c>
      <c r="B48" s="2"/>
      <c r="C48" s="2"/>
      <c r="D48" s="2"/>
      <c r="E48" s="2"/>
      <c r="F48" s="2"/>
      <c r="G48" s="2"/>
      <c r="H48" s="111"/>
      <c r="I48" s="111"/>
      <c r="J48" s="111"/>
      <c r="K48" s="2"/>
      <c r="L48" s="2"/>
      <c r="M48" s="2"/>
      <c r="N48" s="2"/>
      <c r="O48" s="2"/>
      <c r="P48" s="2"/>
      <c r="Q48" s="2"/>
      <c r="R48" s="2"/>
    </row>
    <row r="49" spans="1:18" ht="15.75" thickBot="1">
      <c r="A49" s="2"/>
      <c r="B49" s="2" t="s">
        <v>142</v>
      </c>
      <c r="C49" s="18">
        <v>0</v>
      </c>
      <c r="D49" s="18">
        <v>0</v>
      </c>
      <c r="E49" s="18">
        <v>0</v>
      </c>
      <c r="F49" s="18">
        <v>0</v>
      </c>
      <c r="G49" s="18">
        <v>0</v>
      </c>
      <c r="H49" s="126">
        <v>0</v>
      </c>
      <c r="I49" s="126">
        <v>0</v>
      </c>
      <c r="J49" s="126">
        <v>0</v>
      </c>
      <c r="K49" s="18">
        <v>0</v>
      </c>
      <c r="L49" s="18">
        <v>0</v>
      </c>
      <c r="M49" s="18">
        <v>0</v>
      </c>
      <c r="N49" s="18">
        <v>0</v>
      </c>
      <c r="O49" s="18">
        <v>0</v>
      </c>
      <c r="P49" s="18">
        <v>0</v>
      </c>
      <c r="Q49" s="18">
        <v>0</v>
      </c>
      <c r="R49" s="18">
        <v>0</v>
      </c>
    </row>
    <row r="50" spans="1:18" ht="15.75">
      <c r="A50" s="2"/>
      <c r="B50" s="22" t="s">
        <v>143</v>
      </c>
      <c r="C50" s="25">
        <v>0</v>
      </c>
      <c r="D50" s="25">
        <f t="shared" ref="D50:O50" si="8">+D49-C50</f>
        <v>0</v>
      </c>
      <c r="E50" s="25">
        <f t="shared" si="8"/>
        <v>0</v>
      </c>
      <c r="F50" s="25">
        <f t="shared" si="8"/>
        <v>0</v>
      </c>
      <c r="G50" s="25">
        <f t="shared" si="8"/>
        <v>0</v>
      </c>
      <c r="H50" s="25">
        <f>+H49-F50</f>
        <v>0</v>
      </c>
      <c r="I50" s="25">
        <f t="shared" si="8"/>
        <v>0</v>
      </c>
      <c r="J50" s="25">
        <f t="shared" si="8"/>
        <v>0</v>
      </c>
      <c r="K50" s="25">
        <f t="shared" si="8"/>
        <v>0</v>
      </c>
      <c r="L50" s="25">
        <f t="shared" si="8"/>
        <v>0</v>
      </c>
      <c r="M50" s="25">
        <f t="shared" si="8"/>
        <v>0</v>
      </c>
      <c r="N50" s="25">
        <f t="shared" si="8"/>
        <v>0</v>
      </c>
      <c r="O50" s="25">
        <f t="shared" si="8"/>
        <v>0</v>
      </c>
      <c r="P50" s="25">
        <f>+P49-O50</f>
        <v>0</v>
      </c>
      <c r="Q50" s="25">
        <f>+Q49-P50</f>
        <v>0</v>
      </c>
      <c r="R50" s="25">
        <f>+R49-Q50</f>
        <v>0</v>
      </c>
    </row>
    <row r="51" spans="1:18">
      <c r="A51" s="2"/>
      <c r="B51" s="2"/>
      <c r="C51" s="2"/>
      <c r="D51" s="2"/>
      <c r="E51" s="2"/>
      <c r="F51" s="2"/>
      <c r="G51" s="2"/>
      <c r="H51" s="111"/>
      <c r="I51" s="111"/>
      <c r="J51" s="111"/>
      <c r="K51" s="2"/>
      <c r="L51" s="2"/>
      <c r="M51" s="2"/>
      <c r="N51" s="2"/>
      <c r="O51" s="2"/>
      <c r="P51" s="2"/>
      <c r="Q51" s="2"/>
      <c r="R51" s="2"/>
    </row>
    <row r="52" spans="1:18" s="122" customFormat="1" ht="15.75">
      <c r="A52" s="124" t="s">
        <v>346</v>
      </c>
      <c r="B52" s="111"/>
      <c r="C52" s="111">
        <f>+(Balance!C20-Balance!D20)+(Balance!C22-Balance!D22)+(Balance!C21-Balance!D21)</f>
        <v>360</v>
      </c>
      <c r="D52" s="111">
        <f>+(Balance!D20-Balance!E20)+(Balance!D22-Balance!E22)+(Balance!D21-Balance!E21)</f>
        <v>-82</v>
      </c>
      <c r="E52" s="111">
        <f>+(Balance!E20-Balance!F20)+(Balance!E22-Balance!F22)+(Balance!E21-Balance!F21)</f>
        <v>229</v>
      </c>
      <c r="F52" s="111">
        <f>+(Balance!F20-Balance!G20)+(Balance!F22-Balance!G22)+(Balance!F21-Balance!G21)</f>
        <v>558</v>
      </c>
      <c r="G52" s="111">
        <f>+(Balance!G20-Balance!H20)+(Balance!G22-Balance!H22)+(Balance!G21-Balance!H21)</f>
        <v>-1014</v>
      </c>
      <c r="H52" s="111">
        <f>+(Balance!H20-Balance!I20)+(Balance!H22-Balance!I22)+(Balance!H21-Balance!I21)</f>
        <v>198.5</v>
      </c>
      <c r="I52" s="111">
        <f>+(Balance!I20-Balance!J20)+(Balance!I22-Balance!J22)+(Balance!I21-Balance!J21)</f>
        <v>198.5</v>
      </c>
      <c r="J52" s="111">
        <f>+(Balance!J20-Balance!K20)+(Balance!J22-Balance!K22)+(Balance!J21-Balance!K21)</f>
        <v>0</v>
      </c>
      <c r="K52" s="111">
        <f>+(Balance!K20-Balance!L20)+(Balance!K22-Balance!L22)+(Balance!K21-Balance!L21)</f>
        <v>0</v>
      </c>
      <c r="L52" s="111">
        <f>+(Balance!L20-Balance!M20)+(Balance!L22-Balance!M22)+(Balance!L21-Balance!M21)</f>
        <v>0</v>
      </c>
      <c r="M52" s="111">
        <f>+(Balance!M20-Balance!N20)+(Balance!M22-Balance!N22)+(Balance!M21-Balance!N21)</f>
        <v>0</v>
      </c>
      <c r="N52" s="111">
        <f>+(Balance!N20-Balance!O20)+(Balance!N22-Balance!O22)+(Balance!N21-Balance!O21)</f>
        <v>0</v>
      </c>
      <c r="O52" s="111">
        <f>+(Balance!O20-Balance!P20)+(Balance!O22-Balance!P22)+(Balance!O21-Balance!P21)</f>
        <v>0</v>
      </c>
      <c r="P52" s="111">
        <f>+(Balance!P20-Balance!Q20)+(Balance!P22-Balance!Q22)+(Balance!P21-Balance!Q21)</f>
        <v>0</v>
      </c>
      <c r="Q52" s="111">
        <f>+(Balance!Q20-Balance!R20)+(Balance!Q22-Balance!R22)+(Balance!Q21-Balance!R21)</f>
        <v>0</v>
      </c>
      <c r="R52" s="111">
        <f>+(Balance!R20-Balance!S20)+(Balance!R22-Balance!S22)+(Balance!R21-Balance!S21)</f>
        <v>0</v>
      </c>
    </row>
    <row r="53" spans="1:18">
      <c r="A53" s="2"/>
      <c r="B53" s="2"/>
      <c r="C53" s="2"/>
      <c r="D53" s="2"/>
      <c r="E53" s="2"/>
      <c r="F53" s="2"/>
      <c r="G53" s="2"/>
      <c r="H53" s="111"/>
      <c r="I53" s="111"/>
      <c r="J53" s="111"/>
      <c r="K53" s="2"/>
      <c r="L53" s="2"/>
      <c r="M53" s="2"/>
      <c r="N53" s="2"/>
      <c r="O53" s="2"/>
      <c r="P53" s="2"/>
      <c r="Q53" s="2"/>
      <c r="R53" s="2"/>
    </row>
    <row r="54" spans="1:18" ht="15.75">
      <c r="A54" s="1" t="s">
        <v>1176</v>
      </c>
      <c r="B54" s="2"/>
      <c r="C54" s="2">
        <f>+Balance!C7-Balance!D7</f>
        <v>26334</v>
      </c>
      <c r="D54" s="2">
        <f>+Balance!D7-Balance!E7</f>
        <v>23274</v>
      </c>
      <c r="E54" s="2">
        <f>+Balance!E7-Balance!F7</f>
        <v>-1700</v>
      </c>
      <c r="F54" s="2">
        <f>+Balance!F7-Balance!G7</f>
        <v>-6403</v>
      </c>
      <c r="G54" s="2">
        <f>+Balance!G7-Balance!H7</f>
        <v>-5395</v>
      </c>
      <c r="H54" s="2">
        <f>+Balance!H7-Balance!I7</f>
        <v>5612.8299970270527</v>
      </c>
      <c r="I54" s="2">
        <f>+Balance!I7-Balance!J7</f>
        <v>4327.9007498071496</v>
      </c>
      <c r="J54" s="2">
        <f>+Balance!J7-Balance!K7</f>
        <v>-420.71690043494709</v>
      </c>
      <c r="K54" s="2">
        <f>+Balance!K7-Balance!L7</f>
        <v>-6887.2403927402556</v>
      </c>
      <c r="L54" s="2">
        <f>+Balance!L7-Balance!M7</f>
        <v>-10942.959768783367</v>
      </c>
      <c r="M54" s="2">
        <f>+Balance!M7-Balance!N7</f>
        <v>-6721.4353392734265</v>
      </c>
      <c r="N54" s="2">
        <f>+Balance!N7-Balance!O7</f>
        <v>-9761.5783082446505</v>
      </c>
      <c r="O54" s="2">
        <f>+Balance!O7-Balance!P7</f>
        <v>-14842.829355734859</v>
      </c>
      <c r="P54" s="2">
        <f>+Balance!P7-Balance!Q7</f>
        <v>-20300.245460030666</v>
      </c>
      <c r="Q54" s="2">
        <f>+Balance!Q7-Balance!R7</f>
        <v>-22186.625004784248</v>
      </c>
      <c r="R54" s="2">
        <f>+Balance!R7-Balance!S7</f>
        <v>-29340.010802116463</v>
      </c>
    </row>
    <row r="55" spans="1:18" ht="15.75" thickBot="1">
      <c r="A55" s="2"/>
      <c r="B55" s="2"/>
      <c r="C55" s="2"/>
      <c r="D55" s="2"/>
      <c r="E55" s="2"/>
      <c r="F55" s="2"/>
      <c r="G55" s="2"/>
      <c r="H55" s="111"/>
      <c r="I55" s="111"/>
      <c r="J55" s="111"/>
      <c r="K55" s="2"/>
      <c r="L55" s="2"/>
      <c r="M55" s="2"/>
      <c r="N55" s="2"/>
      <c r="O55" s="2"/>
      <c r="P55" s="2"/>
      <c r="Q55" s="2"/>
      <c r="R55" s="2"/>
    </row>
    <row r="56" spans="1:18" ht="17.25" thickTop="1" thickBot="1">
      <c r="A56" s="24" t="s">
        <v>128</v>
      </c>
      <c r="B56" s="24"/>
      <c r="C56" s="24">
        <f>+C50+C46+C41+C38+C52+C54</f>
        <v>-23071</v>
      </c>
      <c r="D56" s="24">
        <f>+D50+D46+D41+D38+D52+D54</f>
        <v>35607</v>
      </c>
      <c r="E56" s="24">
        <f>+E50+E46+E41+E38+E52+E54</f>
        <v>19890</v>
      </c>
      <c r="F56" s="24">
        <f>+F50+F46+F41+F38+F52+F54</f>
        <v>28626</v>
      </c>
      <c r="G56" s="24">
        <f>+G50+G46+G41+G38+G52+G54</f>
        <v>34238</v>
      </c>
      <c r="H56" s="24">
        <f t="shared" ref="H56:R56" si="9">+H50+H46+H41+H38+H52+H54</f>
        <v>-9753.5965784138098</v>
      </c>
      <c r="I56" s="24">
        <f t="shared" si="9"/>
        <v>-5195.4889099695047</v>
      </c>
      <c r="J56" s="24">
        <f t="shared" si="9"/>
        <v>-9252.255781090922</v>
      </c>
      <c r="K56" s="24">
        <f t="shared" si="9"/>
        <v>-15280.231191557497</v>
      </c>
      <c r="L56" s="24">
        <f t="shared" si="9"/>
        <v>-18680.078454235532</v>
      </c>
      <c r="M56" s="24">
        <f t="shared" si="9"/>
        <v>-12056.661310697531</v>
      </c>
      <c r="N56" s="24">
        <f t="shared" si="9"/>
        <v>-14831.734041767133</v>
      </c>
      <c r="O56" s="24">
        <f t="shared" si="9"/>
        <v>-19520.75956551393</v>
      </c>
      <c r="P56" s="24">
        <f t="shared" si="9"/>
        <v>-23425.311326980089</v>
      </c>
      <c r="Q56" s="24">
        <f t="shared" si="9"/>
        <v>-24948.067982299435</v>
      </c>
      <c r="R56" s="24">
        <f t="shared" si="9"/>
        <v>-27900.23931099071</v>
      </c>
    </row>
    <row r="57" spans="1:18" ht="15.75" thickTop="1">
      <c r="A57" s="2"/>
      <c r="B57" s="2"/>
      <c r="C57" s="2"/>
      <c r="D57" s="2"/>
      <c r="E57" s="2"/>
      <c r="F57" s="2"/>
      <c r="G57" s="2"/>
      <c r="H57" s="2"/>
      <c r="I57" s="2"/>
      <c r="J57" s="2"/>
      <c r="K57" s="2"/>
      <c r="L57" s="2"/>
      <c r="M57" s="2"/>
      <c r="N57" s="2"/>
      <c r="O57" s="2"/>
      <c r="P57" s="2"/>
      <c r="Q57" s="2"/>
      <c r="R57" s="2"/>
    </row>
    <row r="58" spans="1:18" ht="15.75">
      <c r="A58" s="2"/>
      <c r="B58" s="1" t="s">
        <v>362</v>
      </c>
      <c r="C58" s="1">
        <f t="shared" ref="C58:R58" si="10">+C56+C26</f>
        <v>0</v>
      </c>
      <c r="D58" s="1">
        <f t="shared" si="10"/>
        <v>0</v>
      </c>
      <c r="E58" s="1">
        <f t="shared" si="10"/>
        <v>0</v>
      </c>
      <c r="F58" s="1">
        <f t="shared" si="10"/>
        <v>0</v>
      </c>
      <c r="G58" s="1">
        <f t="shared" si="10"/>
        <v>0</v>
      </c>
      <c r="H58" s="1">
        <f t="shared" si="10"/>
        <v>0</v>
      </c>
      <c r="I58" s="1">
        <f t="shared" si="10"/>
        <v>0</v>
      </c>
      <c r="J58" s="1">
        <f t="shared" si="10"/>
        <v>0</v>
      </c>
      <c r="K58" s="1">
        <f t="shared" si="10"/>
        <v>0</v>
      </c>
      <c r="L58" s="1">
        <f t="shared" si="10"/>
        <v>0</v>
      </c>
      <c r="M58" s="1">
        <f t="shared" si="10"/>
        <v>0</v>
      </c>
      <c r="N58" s="1">
        <f t="shared" si="10"/>
        <v>0</v>
      </c>
      <c r="O58" s="1">
        <f t="shared" si="10"/>
        <v>0</v>
      </c>
      <c r="P58" s="1">
        <f t="shared" si="10"/>
        <v>0</v>
      </c>
      <c r="Q58" s="1">
        <f t="shared" si="10"/>
        <v>0</v>
      </c>
      <c r="R58" s="1">
        <f t="shared" si="10"/>
        <v>0</v>
      </c>
    </row>
    <row r="59" spans="1:18">
      <c r="A59" s="2"/>
      <c r="B59" s="2"/>
      <c r="C59" s="2"/>
      <c r="D59" s="2"/>
      <c r="E59" s="2"/>
      <c r="F59" s="2"/>
      <c r="G59" s="2"/>
      <c r="H59" s="111"/>
      <c r="I59" s="111"/>
      <c r="J59" s="111"/>
      <c r="K59" s="2"/>
      <c r="L59" s="2"/>
      <c r="M59" s="2"/>
      <c r="N59" s="2"/>
      <c r="O59" s="2"/>
      <c r="P59" s="2"/>
      <c r="Q59" s="2"/>
      <c r="R59" s="2"/>
    </row>
    <row r="60" spans="1:18">
      <c r="A60" s="2"/>
      <c r="B60" s="2"/>
      <c r="C60" s="2"/>
      <c r="D60" s="2"/>
      <c r="E60" s="2"/>
      <c r="F60" s="2"/>
      <c r="G60" s="2"/>
      <c r="H60" s="111"/>
      <c r="I60" s="111"/>
      <c r="J60" s="111"/>
      <c r="K60" s="2"/>
      <c r="L60" s="2"/>
      <c r="M60" s="2"/>
      <c r="N60" s="2"/>
      <c r="O60" s="2"/>
      <c r="P60" s="2"/>
      <c r="Q60" s="2"/>
      <c r="R60" s="2"/>
    </row>
    <row r="61" spans="1:18">
      <c r="A61" s="2"/>
      <c r="B61" s="2" t="s">
        <v>1175</v>
      </c>
      <c r="C61" s="2"/>
      <c r="D61" s="2"/>
      <c r="E61" s="2"/>
      <c r="F61" s="2"/>
      <c r="G61" s="2">
        <f>+Balance!H7+Balance!H8</f>
        <v>23069</v>
      </c>
      <c r="H61" s="2">
        <f>+Balance!I7+Balance!I8</f>
        <v>15674.170002972947</v>
      </c>
      <c r="I61" s="2">
        <f>+Balance!J7+Balance!J8</f>
        <v>11346.269253165798</v>
      </c>
      <c r="J61" s="2">
        <f>+Balance!K7+Balance!K8</f>
        <v>11766.986153600745</v>
      </c>
      <c r="K61" s="2">
        <f>+Balance!L7+Balance!L8</f>
        <v>18654.226546341</v>
      </c>
      <c r="L61" s="2">
        <f>+Balance!M7+Balance!M8</f>
        <v>29597.186315124367</v>
      </c>
      <c r="M61" s="2">
        <f>+Balance!N7+Balance!N8</f>
        <v>36318.621654397793</v>
      </c>
      <c r="N61" s="2">
        <f>+Balance!O7+Balance!O8</f>
        <v>46080.199962642444</v>
      </c>
      <c r="O61" s="2">
        <f>+Balance!P7+Balance!P8</f>
        <v>60923.029318377303</v>
      </c>
      <c r="P61" s="2">
        <f>+Balance!Q7+Balance!Q8</f>
        <v>81223.274778407969</v>
      </c>
      <c r="Q61" s="2">
        <f>+Balance!R7+Balance!R8</f>
        <v>103409.89978319222</v>
      </c>
      <c r="R61" s="2">
        <f>+Balance!S7+Balance!S8</f>
        <v>132749.91058530868</v>
      </c>
    </row>
    <row r="62" spans="1:18">
      <c r="A62" s="2"/>
      <c r="B62" s="2" t="s">
        <v>1177</v>
      </c>
      <c r="C62" s="2"/>
      <c r="D62" s="2"/>
      <c r="E62" s="2"/>
      <c r="F62" s="2"/>
      <c r="G62" s="2">
        <f>+Balance!H31</f>
        <v>0</v>
      </c>
      <c r="H62" s="111">
        <f>IF(Balance!H8+H26+H34+H46+H50+H52+H54+PasivoFciero!I36+(PasivoFciero!I8+PasivoFciero!I10+PasivoFciero!I14+PasivoFciero!I16-PasivoFciero!H8-PasivoFciero!H10-PasivoFciero!H14-PasivoFciero!H16)-G62&gt;0,0,ABS(Balance!H8+H26+H34+H52+H54+PasivoFciero!I36+(PasivoFciero!I8+PasivoFciero!I10+PasivoFciero!I14+PasivoFciero!I16-PasivoFciero!H8-PasivoFciero!H10-PasivoFciero!H14-PasivoFciero!H16)-G62))</f>
        <v>0</v>
      </c>
      <c r="I62" s="111">
        <f>IF(Balance!I8+I26+I34+I46+I50+I52+I54+PasivoFciero!J36+(PasivoFciero!J8+PasivoFciero!J10+PasivoFciero!J14+PasivoFciero!J16-PasivoFciero!I8-PasivoFciero!I10-PasivoFciero!I14-PasivoFciero!I16)-H62&gt;0,0,ABS(Balance!I8+I26+I34+I52+I54+PasivoFciero!J36+(PasivoFciero!J8+PasivoFciero!J10+PasivoFciero!J14+PasivoFciero!J16-PasivoFciero!I8-PasivoFciero!I10-PasivoFciero!I14-PasivoFciero!I16)-H62))</f>
        <v>0</v>
      </c>
      <c r="J62" s="111">
        <f>IF(Balance!J8+J26+J34+J46+J50+J52+J54+PasivoFciero!K36+(PasivoFciero!K8+PasivoFciero!K10+PasivoFciero!K14+PasivoFciero!K16-PasivoFciero!J8-PasivoFciero!J10-PasivoFciero!J14-PasivoFciero!J16)-I62&gt;0,0,ABS(Balance!J8+J26+J34+J52+J54+PasivoFciero!K36+(PasivoFciero!K8+PasivoFciero!K10+PasivoFciero!K14+PasivoFciero!K16-PasivoFciero!J8-PasivoFciero!J10-PasivoFciero!J14-PasivoFciero!J16)-I62))</f>
        <v>1.1823431123048067E-11</v>
      </c>
      <c r="K62" s="111">
        <f>IF(Balance!K8+K26+K34+K46+K50+K52+K54+PasivoFciero!L36+(PasivoFciero!L8+PasivoFciero!L10+PasivoFciero!L14+PasivoFciero!L16-PasivoFciero!K8-PasivoFciero!K10-PasivoFciero!K14-PasivoFciero!K16)-J62&gt;0,0,ABS(Balance!K8+K26+K34+K52+K54+PasivoFciero!L36+(PasivoFciero!L8+PasivoFciero!L10+PasivoFciero!L14+PasivoFciero!L16-PasivoFciero!K8-PasivoFciero!K10-PasivoFciero!K14-PasivoFciero!K16)-J62))</f>
        <v>2.7284841053187847E-12</v>
      </c>
      <c r="L62" s="111">
        <f>IF(Balance!L8+L26+L34+L46+L50+L52+L54+PasivoFciero!M36+(PasivoFciero!M8+PasivoFciero!M10+PasivoFciero!M14+PasivoFciero!M16-PasivoFciero!L8-PasivoFciero!L10-PasivoFciero!L14-PasivoFciero!L16)-K62&gt;0,0,ABS(Balance!L8+L26+L34+L52+L54+PasivoFciero!M36+(PasivoFciero!M8+PasivoFciero!M10+PasivoFciero!M14+PasivoFciero!M16-PasivoFciero!L8-PasivoFciero!L10-PasivoFciero!L14-PasivoFciero!L16)-K62))</f>
        <v>9.0949470177292824E-13</v>
      </c>
      <c r="M62" s="111">
        <f>IF(Balance!M8+M26+M34+M46+M50+M52+M54+PasivoFciero!N36+(PasivoFciero!N8+PasivoFciero!N10+PasivoFciero!N14+PasivoFciero!N16-PasivoFciero!M8-PasivoFciero!M10-PasivoFciero!M14-PasivoFciero!M16)-L62&gt;0,0,ABS(Balance!M8+M26+M34+M52+M54+PasivoFciero!N36+(PasivoFciero!N8+PasivoFciero!N10+PasivoFciero!N14+PasivoFciero!N16-PasivoFciero!M8-PasivoFciero!M10-PasivoFciero!M14-PasivoFciero!M16)-L62))</f>
        <v>0</v>
      </c>
      <c r="N62" s="111">
        <f>IF(Balance!N8+N26+N34+N46+N50+N52+N54+PasivoFciero!O36+(PasivoFciero!O8+PasivoFciero!O10+PasivoFciero!O14+PasivoFciero!O16-PasivoFciero!N8-PasivoFciero!N10-PasivoFciero!N14-PasivoFciero!N16)-M62&gt;0,0,ABS(Balance!N8+N26+N34+N52+N54+PasivoFciero!O36+(PasivoFciero!O8+PasivoFciero!O10+PasivoFciero!O14+PasivoFciero!O16-PasivoFciero!N8-PasivoFciero!N10-PasivoFciero!N14-PasivoFciero!N16)-M62))</f>
        <v>0</v>
      </c>
      <c r="O62" s="111">
        <f>IF(Balance!O8+O26+O34+O46+O50+O52+O54+PasivoFciero!P36+(PasivoFciero!P8+PasivoFciero!P10+PasivoFciero!P14+PasivoFciero!P16-PasivoFciero!O8-PasivoFciero!O10-PasivoFciero!O14-PasivoFciero!O16)-N62&gt;0,0,ABS(Balance!O8+O26+O34+O52+O54+PasivoFciero!P36+(PasivoFciero!P8+PasivoFciero!P10+PasivoFciero!P14+PasivoFciero!P16-PasivoFciero!O8-PasivoFciero!O10-PasivoFciero!O14-PasivoFciero!O16)-N62))</f>
        <v>1.546140993013978E-11</v>
      </c>
      <c r="P62" s="111">
        <f>IF(Balance!P8+P26+P34+P46+P50+P52+P54+PasivoFciero!Q36+(PasivoFciero!Q8+PasivoFciero!Q10+PasivoFciero!Q14+PasivoFciero!Q16-PasivoFciero!P8-PasivoFciero!P10-PasivoFciero!P14-PasivoFciero!P16)-O62&gt;0,0,ABS(Balance!P8+P26+P34+P52+P54+PasivoFciero!Q36+(PasivoFciero!Q8+PasivoFciero!Q10+PasivoFciero!Q14+PasivoFciero!Q16-PasivoFciero!P8-PasivoFciero!P10-PasivoFciero!P14-PasivoFciero!P16)-O62))</f>
        <v>7.73070496506989E-12</v>
      </c>
      <c r="Q62" s="111">
        <f>IF(Balance!Q8+Q26+Q34+Q46+Q50+Q52+Q54+PasivoFciero!R36+(PasivoFciero!R8+PasivoFciero!R10+PasivoFciero!R14+PasivoFciero!R16-PasivoFciero!Q8-PasivoFciero!Q10-PasivoFciero!Q14-PasivoFciero!Q16)-P62&gt;0,0,ABS(Balance!Q8+Q26+Q34+Q52+Q54+PasivoFciero!R36+(PasivoFciero!R8+PasivoFciero!R10+PasivoFciero!R14+PasivoFciero!R16-PasivoFciero!Q8-PasivoFciero!Q10-PasivoFciero!Q14-PasivoFciero!Q16)-P62))</f>
        <v>3.637978807091713E-12</v>
      </c>
      <c r="R62" s="111">
        <f>IF(Balance!R8+R26+R34+R46+R50+R52+R54+PasivoFciero!S36+(PasivoFciero!S8+PasivoFciero!S10+PasivoFciero!S14+PasivoFciero!S16-PasivoFciero!R8-PasivoFciero!R10-PasivoFciero!R14-PasivoFciero!R16)-Q62&gt;0,0,ABS(Balance!R8+R26+R34+R52+R54+PasivoFciero!S36+(PasivoFciero!S8+PasivoFciero!S10+PasivoFciero!S14+PasivoFciero!S16-PasivoFciero!R8-PasivoFciero!R10-PasivoFciero!R14-PasivoFciero!R16)-Q62))</f>
        <v>0</v>
      </c>
    </row>
    <row r="63" spans="1:18">
      <c r="A63" s="2"/>
      <c r="B63" s="2"/>
      <c r="C63" s="2"/>
      <c r="D63" s="2"/>
      <c r="E63" s="2"/>
      <c r="F63" s="2"/>
      <c r="G63" s="2"/>
      <c r="H63" s="111"/>
      <c r="I63" s="111"/>
      <c r="J63" s="111"/>
      <c r="K63" s="2"/>
      <c r="L63" s="2"/>
      <c r="M63" s="2"/>
      <c r="N63" s="2"/>
      <c r="O63" s="2"/>
      <c r="P63" s="2"/>
      <c r="Q63" s="2"/>
      <c r="R63" s="2"/>
    </row>
    <row r="64" spans="1:18">
      <c r="A64" s="2"/>
      <c r="B64" s="2"/>
      <c r="C64" s="2"/>
      <c r="D64" s="2"/>
      <c r="E64" s="2"/>
      <c r="F64" s="2"/>
      <c r="G64" s="2"/>
      <c r="H64" s="111"/>
      <c r="I64" s="111"/>
      <c r="J64" s="111"/>
      <c r="K64" s="111"/>
      <c r="L64" s="111"/>
      <c r="M64" s="111"/>
      <c r="N64" s="111"/>
      <c r="O64" s="111"/>
      <c r="P64" s="111"/>
      <c r="Q64" s="111"/>
      <c r="R64" s="111"/>
    </row>
    <row r="65" spans="1:18">
      <c r="A65" s="2"/>
      <c r="B65" s="2"/>
      <c r="C65" s="2"/>
      <c r="D65" s="2"/>
      <c r="E65" s="2"/>
      <c r="F65" s="2"/>
      <c r="G65" s="2"/>
      <c r="H65" s="111">
        <f>+Balance!H7+FCL!H26+FCL!H34+FCL!H41+FCL!H46+FCL!H50+FCL!H52+PasivoFciero!I36+(PasivoFciero!I8+PasivoFciero!I10+PasivoFciero!I14+PasivoFciero!I16-PasivoFciero!H8-PasivoFciero!H10-PasivoFciero!H14-PasivoFciero!H16)</f>
        <v>15674.170002972947</v>
      </c>
      <c r="I65" s="111"/>
      <c r="J65" s="111"/>
      <c r="K65" s="2"/>
      <c r="L65" s="2"/>
      <c r="M65" s="2"/>
      <c r="N65" s="2"/>
      <c r="O65" s="2"/>
      <c r="P65" s="2"/>
      <c r="Q65" s="2"/>
      <c r="R65" s="2"/>
    </row>
    <row r="66" spans="1:18">
      <c r="A66" s="2"/>
      <c r="B66" s="2"/>
      <c r="C66" s="2"/>
      <c r="D66" s="2"/>
      <c r="E66" s="2"/>
      <c r="F66" s="2"/>
      <c r="G66" s="2"/>
      <c r="H66" s="111"/>
      <c r="I66" s="111"/>
      <c r="J66" s="111"/>
      <c r="K66" s="2"/>
      <c r="L66" s="2"/>
      <c r="M66" s="2"/>
      <c r="N66" s="2"/>
      <c r="O66" s="2"/>
      <c r="P66" s="2"/>
      <c r="Q66" s="2"/>
      <c r="R66" s="2"/>
    </row>
    <row r="67" spans="1:18">
      <c r="A67" s="2"/>
      <c r="B67" s="2"/>
      <c r="C67" s="2"/>
      <c r="D67" s="2"/>
      <c r="E67" s="2"/>
      <c r="F67" s="2"/>
      <c r="G67" s="2"/>
      <c r="H67" s="125"/>
      <c r="I67" s="111"/>
      <c r="J67" s="111"/>
      <c r="K67" s="2"/>
      <c r="L67" s="2"/>
      <c r="M67" s="2"/>
      <c r="N67" s="2"/>
      <c r="O67" s="2"/>
      <c r="P67" s="2"/>
      <c r="Q67" s="2"/>
      <c r="R67" s="2"/>
    </row>
    <row r="68" spans="1:18">
      <c r="A68" s="2"/>
      <c r="B68" s="2"/>
      <c r="C68" s="2"/>
      <c r="D68" s="2"/>
      <c r="E68" s="2"/>
      <c r="F68" s="2"/>
      <c r="G68" s="2"/>
      <c r="H68" s="111"/>
      <c r="I68" s="111"/>
      <c r="J68" s="111"/>
      <c r="K68" s="2"/>
      <c r="L68" s="2"/>
      <c r="M68" s="2"/>
      <c r="N68" s="2"/>
      <c r="O68" s="2"/>
      <c r="P68" s="2"/>
      <c r="Q68" s="2"/>
      <c r="R68" s="2"/>
    </row>
    <row r="69" spans="1:18">
      <c r="A69" s="2"/>
      <c r="B69" s="2"/>
      <c r="C69" s="2"/>
      <c r="D69" s="2"/>
      <c r="E69" s="2"/>
      <c r="F69" s="2"/>
      <c r="G69" s="2"/>
      <c r="H69" s="111"/>
      <c r="I69" s="111"/>
      <c r="J69" s="111"/>
      <c r="K69" s="2"/>
      <c r="L69" s="2"/>
      <c r="M69" s="2"/>
      <c r="N69" s="2"/>
      <c r="O69" s="2"/>
      <c r="P69" s="2"/>
      <c r="Q69" s="2"/>
      <c r="R69" s="2"/>
    </row>
    <row r="70" spans="1:18">
      <c r="A70" s="2"/>
      <c r="B70" s="2"/>
      <c r="C70" s="2"/>
      <c r="D70" s="2"/>
      <c r="E70" s="2"/>
      <c r="F70" s="2"/>
      <c r="G70" s="2"/>
      <c r="H70" s="111"/>
      <c r="I70" s="111"/>
      <c r="J70" s="111"/>
      <c r="K70" s="2"/>
      <c r="L70" s="2"/>
      <c r="M70" s="2"/>
      <c r="N70" s="2"/>
      <c r="O70" s="2"/>
      <c r="P70" s="2"/>
      <c r="Q70" s="2"/>
      <c r="R70" s="2"/>
    </row>
    <row r="71" spans="1:18">
      <c r="A71" s="2"/>
      <c r="B71" s="2"/>
      <c r="C71" s="2"/>
      <c r="D71" s="2"/>
      <c r="E71" s="2"/>
      <c r="F71" s="2"/>
      <c r="G71" s="2"/>
      <c r="H71" s="111"/>
      <c r="I71" s="111"/>
      <c r="J71" s="111"/>
      <c r="K71" s="2"/>
      <c r="L71" s="2"/>
      <c r="M71" s="2"/>
      <c r="N71" s="2"/>
      <c r="O71" s="2"/>
      <c r="P71" s="2"/>
      <c r="Q71" s="2"/>
      <c r="R71" s="2"/>
    </row>
    <row r="72" spans="1:18">
      <c r="A72" s="2"/>
      <c r="B72" s="2"/>
      <c r="C72" s="2"/>
      <c r="D72" s="2"/>
      <c r="E72" s="2"/>
      <c r="F72" s="2"/>
      <c r="G72" s="2"/>
      <c r="H72" s="111"/>
      <c r="I72" s="111"/>
      <c r="J72" s="111"/>
      <c r="K72" s="2"/>
      <c r="L72" s="2"/>
      <c r="M72" s="2"/>
      <c r="N72" s="2"/>
      <c r="O72" s="2"/>
      <c r="P72" s="2"/>
      <c r="Q72" s="2"/>
      <c r="R72" s="2"/>
    </row>
    <row r="73" spans="1:18">
      <c r="A73" s="2"/>
      <c r="B73" s="2"/>
      <c r="C73" s="2"/>
      <c r="D73" s="2"/>
      <c r="E73" s="2"/>
      <c r="F73" s="2"/>
      <c r="G73" s="2"/>
      <c r="H73" s="111"/>
      <c r="I73" s="111"/>
      <c r="J73" s="111"/>
      <c r="K73" s="2"/>
      <c r="L73" s="2"/>
      <c r="M73" s="2"/>
      <c r="N73" s="2"/>
      <c r="O73" s="2"/>
      <c r="P73" s="2"/>
      <c r="Q73" s="2"/>
      <c r="R73" s="2"/>
    </row>
    <row r="74" spans="1:18">
      <c r="A74" s="2"/>
      <c r="B74" s="2"/>
      <c r="C74" s="2"/>
      <c r="D74" s="2"/>
      <c r="E74" s="2"/>
      <c r="F74" s="2"/>
      <c r="G74" s="2"/>
      <c r="H74" s="111"/>
      <c r="I74" s="111"/>
      <c r="J74" s="111"/>
      <c r="K74" s="2"/>
      <c r="L74" s="2"/>
      <c r="M74" s="2"/>
      <c r="N74" s="2"/>
      <c r="O74" s="2"/>
      <c r="P74" s="2"/>
      <c r="Q74" s="2"/>
      <c r="R74" s="2"/>
    </row>
    <row r="75" spans="1:18">
      <c r="A75" s="2"/>
      <c r="B75" s="2"/>
      <c r="C75" s="2"/>
      <c r="D75" s="2"/>
      <c r="E75" s="2"/>
      <c r="F75" s="2"/>
      <c r="G75" s="2"/>
      <c r="H75" s="111"/>
      <c r="I75" s="111"/>
      <c r="J75" s="111"/>
      <c r="K75" s="2"/>
      <c r="L75" s="2"/>
      <c r="M75" s="2"/>
      <c r="N75" s="2"/>
      <c r="O75" s="2"/>
      <c r="P75" s="2"/>
      <c r="Q75" s="2"/>
      <c r="R75" s="2"/>
    </row>
    <row r="76" spans="1:18">
      <c r="A76" s="2"/>
      <c r="B76" s="2"/>
      <c r="C76" s="2"/>
      <c r="D76" s="2"/>
      <c r="E76" s="2"/>
      <c r="F76" s="2"/>
      <c r="G76" s="2"/>
      <c r="H76" s="111"/>
      <c r="I76" s="111"/>
      <c r="J76" s="111"/>
      <c r="K76" s="2"/>
      <c r="L76" s="2"/>
      <c r="M76" s="2"/>
      <c r="N76" s="2"/>
      <c r="O76" s="2"/>
      <c r="P76" s="2"/>
      <c r="Q76" s="2"/>
      <c r="R76" s="2"/>
    </row>
    <row r="77" spans="1:18">
      <c r="A77" s="2"/>
      <c r="B77" s="2"/>
      <c r="C77" s="2"/>
      <c r="D77" s="2"/>
      <c r="E77" s="2"/>
      <c r="F77" s="2"/>
      <c r="G77" s="2"/>
      <c r="H77" s="111"/>
      <c r="I77" s="111"/>
      <c r="J77" s="111"/>
      <c r="K77" s="2"/>
      <c r="L77" s="2"/>
      <c r="M77" s="2"/>
      <c r="N77" s="2"/>
      <c r="O77" s="2"/>
      <c r="P77" s="2"/>
      <c r="Q77" s="2"/>
      <c r="R77" s="2"/>
    </row>
    <row r="78" spans="1:18">
      <c r="A78" s="2"/>
      <c r="B78" s="2"/>
      <c r="C78" s="2"/>
      <c r="D78" s="2"/>
      <c r="E78" s="2"/>
      <c r="F78" s="2"/>
      <c r="G78" s="2"/>
      <c r="H78" s="111">
        <f>+Balance!H7+Balance!H8-Balance!I7-Balance!I8</f>
        <v>7394.8299970270527</v>
      </c>
      <c r="I78" s="111">
        <f>+Balance!I7+Balance!I8-Balance!J7-Balance!J8</f>
        <v>4327.9007498071496</v>
      </c>
      <c r="J78" s="111">
        <f>+Balance!J7+Balance!J8-Balance!K7-Balance!K8</f>
        <v>-420.71690043494709</v>
      </c>
      <c r="K78" s="111">
        <f>+Balance!K7+Balance!K8-Balance!L7-Balance!L8</f>
        <v>-6887.2403927402556</v>
      </c>
      <c r="L78" s="111">
        <f>+Balance!L7+Balance!L8-Balance!M7-Balance!M8</f>
        <v>-10942.959768783367</v>
      </c>
      <c r="M78" s="111">
        <f>+Balance!M7+Balance!M8-Balance!N7-Balance!N8</f>
        <v>-6721.4353392734265</v>
      </c>
      <c r="N78" s="111">
        <f>+Balance!N7+Balance!N8-Balance!O7-Balance!O8</f>
        <v>-9761.5783082446505</v>
      </c>
      <c r="O78" s="111">
        <f>+Balance!O7+Balance!O8-Balance!P7-Balance!P8</f>
        <v>-14842.829355734859</v>
      </c>
      <c r="P78" s="111">
        <f>+Balance!P7+Balance!P8-Balance!Q7-Balance!Q8</f>
        <v>-20300.245460030666</v>
      </c>
      <c r="Q78" s="111">
        <f>+Balance!Q7+Balance!Q8-Balance!R7-Balance!R8</f>
        <v>-22186.625004784248</v>
      </c>
      <c r="R78" s="111">
        <f>+Balance!R7+Balance!R8-Balance!S7-Balance!S8</f>
        <v>-29340.010802116463</v>
      </c>
    </row>
    <row r="79" spans="1:18">
      <c r="A79" s="2"/>
      <c r="B79" s="2"/>
      <c r="C79" s="2"/>
      <c r="D79" s="2"/>
      <c r="E79" s="2"/>
      <c r="F79" s="2"/>
      <c r="G79" s="2"/>
      <c r="H79" s="111"/>
      <c r="I79" s="111"/>
      <c r="J79" s="111"/>
      <c r="K79" s="111"/>
      <c r="L79" s="111"/>
      <c r="M79" s="111"/>
      <c r="N79" s="111"/>
      <c r="O79" s="111"/>
      <c r="P79" s="111"/>
      <c r="Q79" s="111"/>
      <c r="R79" s="111"/>
    </row>
    <row r="80" spans="1:18">
      <c r="A80" s="2"/>
      <c r="B80" s="2"/>
      <c r="C80" s="2"/>
      <c r="D80" s="2"/>
      <c r="E80" s="2"/>
      <c r="F80" s="2"/>
      <c r="G80" s="2"/>
      <c r="H80" s="111">
        <f>+H50+H46+H41+H38+H52+H78</f>
        <v>-7971.5965784138098</v>
      </c>
      <c r="I80" s="111">
        <f t="shared" ref="I80:R80" si="11">+I50+I46+I41+I38+I52+I78</f>
        <v>-5195.4889099695047</v>
      </c>
      <c r="J80" s="111">
        <f t="shared" si="11"/>
        <v>-9252.255781090922</v>
      </c>
      <c r="K80" s="111">
        <f t="shared" si="11"/>
        <v>-15280.231191557497</v>
      </c>
      <c r="L80" s="111">
        <f t="shared" si="11"/>
        <v>-18680.078454235532</v>
      </c>
      <c r="M80" s="111">
        <f t="shared" si="11"/>
        <v>-12056.661310697531</v>
      </c>
      <c r="N80" s="111">
        <f t="shared" si="11"/>
        <v>-14831.734041767133</v>
      </c>
      <c r="O80" s="111">
        <f t="shared" si="11"/>
        <v>-19520.75956551393</v>
      </c>
      <c r="P80" s="111">
        <f t="shared" si="11"/>
        <v>-23425.311326980089</v>
      </c>
      <c r="Q80" s="111">
        <f t="shared" si="11"/>
        <v>-24948.067982299435</v>
      </c>
      <c r="R80" s="111">
        <f t="shared" si="11"/>
        <v>-27900.23931099071</v>
      </c>
    </row>
    <row r="81" spans="1:18">
      <c r="A81" s="2"/>
      <c r="B81" s="2"/>
      <c r="C81" s="2"/>
      <c r="D81" s="2"/>
      <c r="E81" s="2"/>
      <c r="F81" s="2"/>
      <c r="G81" s="2"/>
      <c r="H81" s="111"/>
      <c r="I81" s="111"/>
      <c r="J81" s="111"/>
      <c r="K81" s="111"/>
      <c r="L81" s="111"/>
      <c r="M81" s="111"/>
      <c r="N81" s="111"/>
      <c r="O81" s="111"/>
      <c r="P81" s="111"/>
      <c r="Q81" s="111"/>
      <c r="R81" s="111"/>
    </row>
    <row r="82" spans="1:18">
      <c r="A82" s="2"/>
      <c r="B82" s="2"/>
      <c r="C82" s="2"/>
      <c r="D82" s="2"/>
      <c r="E82" s="2"/>
      <c r="F82" s="2"/>
      <c r="G82" s="2"/>
      <c r="H82" s="395">
        <f t="shared" ref="H82:R82" si="12">+H80+H26</f>
        <v>1782</v>
      </c>
      <c r="I82" s="395">
        <f t="shared" si="12"/>
        <v>0</v>
      </c>
      <c r="J82" s="395">
        <f t="shared" si="12"/>
        <v>0</v>
      </c>
      <c r="K82" s="395">
        <f t="shared" si="12"/>
        <v>0</v>
      </c>
      <c r="L82" s="395">
        <f t="shared" si="12"/>
        <v>0</v>
      </c>
      <c r="M82" s="395">
        <f t="shared" si="12"/>
        <v>0</v>
      </c>
      <c r="N82" s="395">
        <f t="shared" si="12"/>
        <v>0</v>
      </c>
      <c r="O82" s="395">
        <f t="shared" si="12"/>
        <v>0</v>
      </c>
      <c r="P82" s="395">
        <f t="shared" si="12"/>
        <v>0</v>
      </c>
      <c r="Q82" s="395">
        <f t="shared" si="12"/>
        <v>0</v>
      </c>
      <c r="R82" s="395">
        <f t="shared" si="12"/>
        <v>0</v>
      </c>
    </row>
    <row r="83" spans="1:18" ht="15.75" thickBot="1">
      <c r="A83" s="2"/>
      <c r="B83" s="2"/>
      <c r="C83" s="2"/>
      <c r="D83" s="2"/>
      <c r="E83" s="2"/>
      <c r="F83" s="2"/>
      <c r="G83" s="2"/>
      <c r="H83" s="111"/>
      <c r="I83" s="111"/>
      <c r="J83" s="111"/>
      <c r="K83" s="2"/>
      <c r="L83" s="2"/>
      <c r="M83" s="2"/>
      <c r="N83" s="2"/>
      <c r="O83" s="2"/>
      <c r="P83" s="2"/>
      <c r="Q83" s="2"/>
      <c r="R83" s="2"/>
    </row>
    <row r="84" spans="1:18" ht="17.25" thickTop="1" thickBot="1">
      <c r="A84" s="24" t="s">
        <v>128</v>
      </c>
      <c r="B84" s="24"/>
      <c r="C84" s="24">
        <f t="shared" ref="C84:R84" si="13">+C50+C46+C41+C38+C52</f>
        <v>-49405</v>
      </c>
      <c r="D84" s="24">
        <f t="shared" si="13"/>
        <v>12333</v>
      </c>
      <c r="E84" s="24">
        <f t="shared" si="13"/>
        <v>21590</v>
      </c>
      <c r="F84" s="24">
        <f t="shared" si="13"/>
        <v>35029</v>
      </c>
      <c r="G84" s="24">
        <f t="shared" si="13"/>
        <v>39633</v>
      </c>
      <c r="H84" s="24">
        <f t="shared" si="13"/>
        <v>-15366.426575440863</v>
      </c>
      <c r="I84" s="24">
        <f t="shared" si="13"/>
        <v>-9523.3896597766543</v>
      </c>
      <c r="J84" s="24">
        <f t="shared" si="13"/>
        <v>-8831.5388806559749</v>
      </c>
      <c r="K84" s="24">
        <f t="shared" si="13"/>
        <v>-8392.9907988172417</v>
      </c>
      <c r="L84" s="24">
        <f t="shared" si="13"/>
        <v>-7737.1186854521675</v>
      </c>
      <c r="M84" s="24">
        <f t="shared" si="13"/>
        <v>-5335.2259714241036</v>
      </c>
      <c r="N84" s="24">
        <f t="shared" si="13"/>
        <v>-5070.1557335224825</v>
      </c>
      <c r="O84" s="24">
        <f t="shared" si="13"/>
        <v>-4677.9302097790705</v>
      </c>
      <c r="P84" s="24">
        <f t="shared" si="13"/>
        <v>-3125.0658669494214</v>
      </c>
      <c r="Q84" s="24">
        <f t="shared" si="13"/>
        <v>-2761.4429775151893</v>
      </c>
      <c r="R84" s="24">
        <f t="shared" si="13"/>
        <v>1439.7714911257549</v>
      </c>
    </row>
    <row r="85" spans="1:18" ht="16.5" thickTop="1" thickBot="1">
      <c r="A85" s="2"/>
      <c r="B85" s="2"/>
      <c r="C85" s="2"/>
      <c r="D85" s="2"/>
      <c r="E85" s="2"/>
      <c r="F85" s="2"/>
      <c r="G85" s="2"/>
      <c r="H85" s="111"/>
      <c r="I85" s="111"/>
      <c r="J85" s="111"/>
      <c r="K85" s="2"/>
      <c r="L85" s="2"/>
      <c r="M85" s="2"/>
      <c r="N85" s="2"/>
      <c r="O85" s="2"/>
      <c r="P85" s="2"/>
      <c r="Q85" s="2"/>
      <c r="R85" s="2"/>
    </row>
    <row r="86" spans="1:18" ht="17.25" thickTop="1" thickBot="1">
      <c r="A86" s="24" t="s">
        <v>925</v>
      </c>
      <c r="B86" s="24"/>
      <c r="C86" s="24">
        <f t="shared" ref="C86:R86" si="14">+C26+C84</f>
        <v>-26334</v>
      </c>
      <c r="D86" s="24">
        <f t="shared" si="14"/>
        <v>-23274</v>
      </c>
      <c r="E86" s="24">
        <f t="shared" si="14"/>
        <v>1700</v>
      </c>
      <c r="F86" s="24">
        <f t="shared" si="14"/>
        <v>6403</v>
      </c>
      <c r="G86" s="24">
        <f t="shared" si="14"/>
        <v>5395</v>
      </c>
      <c r="H86" s="24">
        <f t="shared" si="14"/>
        <v>-5612.8299970270527</v>
      </c>
      <c r="I86" s="24">
        <f t="shared" si="14"/>
        <v>-4327.9007498071496</v>
      </c>
      <c r="J86" s="24">
        <f t="shared" si="14"/>
        <v>420.71690043495619</v>
      </c>
      <c r="K86" s="24">
        <f t="shared" si="14"/>
        <v>6887.2403927402447</v>
      </c>
      <c r="L86" s="24">
        <f t="shared" si="14"/>
        <v>10942.959768783365</v>
      </c>
      <c r="M86" s="24">
        <f t="shared" si="14"/>
        <v>6721.4353392734347</v>
      </c>
      <c r="N86" s="24">
        <f t="shared" si="14"/>
        <v>9761.5783082446505</v>
      </c>
      <c r="O86" s="24">
        <f t="shared" si="14"/>
        <v>14842.829355734859</v>
      </c>
      <c r="P86" s="24">
        <f t="shared" si="14"/>
        <v>20300.245460030666</v>
      </c>
      <c r="Q86" s="24">
        <f t="shared" si="14"/>
        <v>22186.625004784248</v>
      </c>
      <c r="R86" s="24">
        <f t="shared" si="14"/>
        <v>29340.010802116467</v>
      </c>
    </row>
    <row r="87" spans="1:18" ht="16.5" thickTop="1" thickBot="1">
      <c r="A87" s="2"/>
      <c r="B87" s="2"/>
      <c r="C87" s="2"/>
      <c r="D87" s="2"/>
      <c r="E87" s="2"/>
      <c r="F87" s="2"/>
      <c r="G87" s="2"/>
      <c r="H87" s="2"/>
      <c r="I87" s="2"/>
      <c r="J87" s="2"/>
      <c r="K87" s="2"/>
      <c r="L87" s="2"/>
      <c r="M87" s="2"/>
      <c r="N87" s="2"/>
      <c r="O87" s="2"/>
      <c r="P87" s="2"/>
      <c r="Q87" s="2"/>
      <c r="R87" s="2"/>
    </row>
    <row r="88" spans="1:18" ht="17.25" thickTop="1" thickBot="1">
      <c r="A88" s="24" t="s">
        <v>926</v>
      </c>
      <c r="B88" s="24"/>
      <c r="C88" s="24">
        <f>+Balance!C7+Balance!C8</f>
        <v>57397</v>
      </c>
      <c r="D88" s="24">
        <f>+Balance!D7+Balance!D8</f>
        <v>84087</v>
      </c>
      <c r="E88" s="24">
        <f>+Balance!E7+Balance!E8</f>
        <v>57428</v>
      </c>
      <c r="F88" s="24">
        <f>+Balance!F7+Balance!F8</f>
        <v>47161</v>
      </c>
      <c r="G88" s="24">
        <f>+Balance!G7+Balance!G8</f>
        <v>47054</v>
      </c>
      <c r="H88" s="24">
        <f>+Balance!H7+Balance!H8</f>
        <v>23069</v>
      </c>
      <c r="I88" s="24">
        <f>+Balance!I7+Balance!I8</f>
        <v>15674.170002972947</v>
      </c>
      <c r="J88" s="24">
        <f>+Balance!J7+Balance!J8</f>
        <v>11346.269253165798</v>
      </c>
      <c r="K88" s="24">
        <f>+Balance!K7+Balance!K8</f>
        <v>11766.986153600745</v>
      </c>
      <c r="L88" s="24">
        <f>+Balance!L7+Balance!L8</f>
        <v>18654.226546341</v>
      </c>
      <c r="M88" s="24">
        <f>+Balance!M7+Balance!M8</f>
        <v>29597.186315124367</v>
      </c>
      <c r="N88" s="24">
        <f>+Balance!N7+Balance!N8</f>
        <v>36318.621654397793</v>
      </c>
      <c r="O88" s="24">
        <f>+Balance!O7+Balance!O8</f>
        <v>46080.199962642444</v>
      </c>
      <c r="P88" s="24">
        <f>+Balance!P7+Balance!P8</f>
        <v>60923.029318377303</v>
      </c>
      <c r="Q88" s="24">
        <f>+Balance!Q7+Balance!Q8</f>
        <v>81223.274778407969</v>
      </c>
      <c r="R88" s="24">
        <f>+Balance!R7+Balance!R8</f>
        <v>103409.89978319222</v>
      </c>
    </row>
    <row r="89" spans="1:18" ht="16.5" thickTop="1" thickBot="1">
      <c r="A89" s="2"/>
      <c r="B89" s="2"/>
      <c r="C89" s="2"/>
      <c r="D89" s="2"/>
      <c r="E89" s="2"/>
      <c r="F89" s="2"/>
      <c r="G89" s="2"/>
      <c r="H89" s="2"/>
      <c r="I89" s="2"/>
      <c r="J89" s="2"/>
      <c r="K89" s="2"/>
      <c r="L89" s="2"/>
      <c r="M89" s="2"/>
      <c r="N89" s="2"/>
      <c r="O89" s="2"/>
      <c r="P89" s="2"/>
      <c r="Q89" s="2"/>
      <c r="R89" s="2"/>
    </row>
    <row r="90" spans="1:18" ht="17.25" thickTop="1" thickBot="1">
      <c r="A90" s="24" t="s">
        <v>927</v>
      </c>
      <c r="B90" s="24"/>
      <c r="C90" s="24">
        <f t="shared" ref="C90:R90" si="15">+C86+C88</f>
        <v>31063</v>
      </c>
      <c r="D90" s="24">
        <f t="shared" si="15"/>
        <v>60813</v>
      </c>
      <c r="E90" s="24">
        <f t="shared" si="15"/>
        <v>59128</v>
      </c>
      <c r="F90" s="24">
        <f t="shared" si="15"/>
        <v>53564</v>
      </c>
      <c r="G90" s="24">
        <f t="shared" si="15"/>
        <v>52449</v>
      </c>
      <c r="H90" s="24">
        <f t="shared" si="15"/>
        <v>17456.170002972947</v>
      </c>
      <c r="I90" s="24">
        <f t="shared" si="15"/>
        <v>11346.269253165798</v>
      </c>
      <c r="J90" s="24">
        <f t="shared" si="15"/>
        <v>11766.986153600754</v>
      </c>
      <c r="K90" s="24">
        <f t="shared" si="15"/>
        <v>18654.226546340989</v>
      </c>
      <c r="L90" s="24">
        <f t="shared" si="15"/>
        <v>29597.186315124367</v>
      </c>
      <c r="M90" s="24">
        <f t="shared" si="15"/>
        <v>36318.621654397801</v>
      </c>
      <c r="N90" s="24">
        <f t="shared" si="15"/>
        <v>46080.199962642444</v>
      </c>
      <c r="O90" s="24">
        <f t="shared" si="15"/>
        <v>60923.029318377303</v>
      </c>
      <c r="P90" s="24">
        <f t="shared" si="15"/>
        <v>81223.274778407969</v>
      </c>
      <c r="Q90" s="24">
        <f t="shared" si="15"/>
        <v>103409.89978319222</v>
      </c>
      <c r="R90" s="24">
        <f t="shared" si="15"/>
        <v>132749.91058530868</v>
      </c>
    </row>
    <row r="91" spans="1:18" ht="16.5" thickTop="1" thickBot="1">
      <c r="A91" s="2"/>
      <c r="B91" s="2"/>
      <c r="C91" s="2"/>
      <c r="D91" s="2"/>
      <c r="E91" s="2"/>
      <c r="F91" s="2"/>
      <c r="G91" s="2"/>
      <c r="H91" s="2"/>
      <c r="I91" s="2"/>
      <c r="J91" s="2"/>
      <c r="K91" s="2"/>
      <c r="L91" s="2"/>
      <c r="M91" s="2"/>
      <c r="N91" s="2"/>
      <c r="O91" s="2"/>
      <c r="P91" s="2"/>
      <c r="Q91" s="2"/>
      <c r="R91" s="2"/>
    </row>
    <row r="92" spans="1:18" ht="17.25" thickTop="1" thickBot="1">
      <c r="A92" s="275" t="s">
        <v>951</v>
      </c>
      <c r="B92" s="275"/>
      <c r="C92" s="275"/>
      <c r="D92" s="275"/>
      <c r="E92" s="275"/>
      <c r="F92" s="275"/>
      <c r="G92" s="275"/>
      <c r="H92" s="275">
        <f>+Resultados!H6/360*Proyecciones!B63</f>
        <v>91964.061100711275</v>
      </c>
      <c r="I92" s="275">
        <f>+Resultados!I6/360*Proyecciones!C63</f>
        <v>95207.563000320108</v>
      </c>
      <c r="J92" s="275">
        <f>+Resultados!J6/360*Proyecciones!D63</f>
        <v>98062.956355060218</v>
      </c>
      <c r="K92" s="275">
        <f>+Resultados!K6/360*Proyecciones!E63</f>
        <v>100622.44402962578</v>
      </c>
      <c r="L92" s="275">
        <f>+Resultados!L6/360*Proyecciones!F63</f>
        <v>102438.80411944291</v>
      </c>
      <c r="M92" s="275">
        <f>+Resultados!M6/360*Proyecciones!G63</f>
        <v>104389.09630676314</v>
      </c>
      <c r="N92" s="275">
        <f>+Resultados!N6/360*Proyecciones!H63</f>
        <v>109817.08417399622</v>
      </c>
      <c r="O92" s="275">
        <f>+Resultados!O6/360*Proyecciones!I63</f>
        <v>115551.73025030032</v>
      </c>
      <c r="P92" s="275">
        <f>+Resultados!P6/360*Proyecciones!J63</f>
        <v>121611.36861339083</v>
      </c>
      <c r="Q92" s="275">
        <f>+Resultados!Q6/360*Proyecciones!K63</f>
        <v>128015.46859334654</v>
      </c>
      <c r="R92" s="275">
        <f>+Resultados!R6/360*Proyecciones!L63</f>
        <v>134784.70653275002</v>
      </c>
    </row>
    <row r="93" spans="1:18" ht="16.5" thickTop="1" thickBot="1">
      <c r="A93" s="2"/>
      <c r="B93" s="2"/>
      <c r="C93" s="2"/>
      <c r="D93" s="2"/>
      <c r="E93" s="2"/>
      <c r="F93" s="2"/>
      <c r="G93" s="2"/>
      <c r="H93" s="2"/>
      <c r="I93" s="2"/>
      <c r="J93" s="2"/>
      <c r="K93" s="2"/>
      <c r="L93" s="2"/>
      <c r="M93" s="2"/>
      <c r="N93" s="2"/>
      <c r="O93" s="2"/>
      <c r="P93" s="2"/>
      <c r="Q93" s="2"/>
      <c r="R93" s="2"/>
    </row>
    <row r="94" spans="1:18" ht="17.25" thickTop="1" thickBot="1">
      <c r="A94" s="276" t="s">
        <v>947</v>
      </c>
      <c r="B94" s="276"/>
      <c r="C94" s="276">
        <f>+C90-Balance!D7-Balance!D8</f>
        <v>-53024</v>
      </c>
      <c r="D94" s="276">
        <f>+D90-Balance!E7-Balance!E8</f>
        <v>3385</v>
      </c>
      <c r="E94" s="276">
        <f>+E90-Balance!F7-Balance!F8</f>
        <v>11967</v>
      </c>
      <c r="F94" s="276">
        <f>+F90-Balance!G7-Balance!G8</f>
        <v>6510</v>
      </c>
      <c r="G94" s="276">
        <f>+G90-Balance!H7-Balance!H8</f>
        <v>29380</v>
      </c>
      <c r="H94" s="276">
        <f>IF(H90&lt;H92,H90-H92,0)</f>
        <v>-74507.89109773832</v>
      </c>
      <c r="I94" s="276">
        <f t="shared" ref="I94:R94" si="16">IF(I90&lt;I92,I90-I92,0)</f>
        <v>-83861.293747154312</v>
      </c>
      <c r="J94" s="276">
        <f t="shared" si="16"/>
        <v>-86295.970201459466</v>
      </c>
      <c r="K94" s="276">
        <f t="shared" si="16"/>
        <v>-81968.217483284796</v>
      </c>
      <c r="L94" s="276">
        <f t="shared" si="16"/>
        <v>-72841.61780431855</v>
      </c>
      <c r="M94" s="276">
        <f t="shared" si="16"/>
        <v>-68070.474652365345</v>
      </c>
      <c r="N94" s="276">
        <f t="shared" si="16"/>
        <v>-63736.884211353776</v>
      </c>
      <c r="O94" s="276">
        <f>IF(O90&lt;O92,O90-O92,0)</f>
        <v>-54628.700931923013</v>
      </c>
      <c r="P94" s="276">
        <f t="shared" si="16"/>
        <v>-40388.093834982865</v>
      </c>
      <c r="Q94" s="276">
        <f t="shared" si="16"/>
        <v>-24605.56881015432</v>
      </c>
      <c r="R94" s="276">
        <f t="shared" si="16"/>
        <v>-2034.7959474413365</v>
      </c>
    </row>
    <row r="95" spans="1:18" ht="16.5" thickTop="1" thickBot="1">
      <c r="A95" s="2"/>
      <c r="B95" s="2"/>
      <c r="C95" s="2"/>
      <c r="D95" s="2"/>
      <c r="E95" s="2"/>
      <c r="F95" s="2"/>
      <c r="G95" s="2"/>
      <c r="H95" s="111"/>
      <c r="I95" s="111"/>
      <c r="J95" s="111"/>
      <c r="K95" s="111"/>
      <c r="L95" s="111"/>
      <c r="M95" s="111"/>
      <c r="N95" s="111"/>
      <c r="O95" s="111"/>
      <c r="P95" s="111"/>
      <c r="Q95" s="111"/>
      <c r="R95" s="111"/>
    </row>
    <row r="96" spans="1:18" ht="17.25" thickTop="1" thickBot="1">
      <c r="A96" s="276" t="s">
        <v>950</v>
      </c>
      <c r="B96" s="276"/>
      <c r="C96" s="276"/>
      <c r="D96" s="276"/>
      <c r="E96" s="276"/>
      <c r="F96" s="276"/>
      <c r="G96" s="276"/>
      <c r="H96" s="276">
        <f>+IF(H90&gt;=H92,H90,0)</f>
        <v>0</v>
      </c>
      <c r="I96" s="276">
        <f t="shared" ref="I96:R96" si="17">+IF(I90&gt;=I92,I90,0)</f>
        <v>0</v>
      </c>
      <c r="J96" s="276">
        <f t="shared" si="17"/>
        <v>0</v>
      </c>
      <c r="K96" s="276">
        <f t="shared" si="17"/>
        <v>0</v>
      </c>
      <c r="L96" s="276">
        <f t="shared" si="17"/>
        <v>0</v>
      </c>
      <c r="M96" s="276">
        <f t="shared" si="17"/>
        <v>0</v>
      </c>
      <c r="N96" s="276">
        <f t="shared" si="17"/>
        <v>0</v>
      </c>
      <c r="O96" s="276">
        <f t="shared" si="17"/>
        <v>0</v>
      </c>
      <c r="P96" s="276">
        <f t="shared" si="17"/>
        <v>0</v>
      </c>
      <c r="Q96" s="276">
        <f t="shared" si="17"/>
        <v>0</v>
      </c>
      <c r="R96" s="276">
        <f t="shared" si="17"/>
        <v>0</v>
      </c>
    </row>
    <row r="97" spans="1:18" ht="15.75" thickTop="1">
      <c r="A97" s="2"/>
      <c r="B97" s="2"/>
      <c r="C97" s="2">
        <f>+C90-Balance!D7-Balance!D8</f>
        <v>-53024</v>
      </c>
      <c r="D97" s="2">
        <f>+D90-Balance!E7-Balance!E8</f>
        <v>3385</v>
      </c>
      <c r="E97" s="2">
        <f>+E90-Balance!F7-Balance!F8</f>
        <v>11967</v>
      </c>
      <c r="F97" s="2">
        <f>+F90-Balance!G7-Balance!G8</f>
        <v>6510</v>
      </c>
      <c r="G97" s="2">
        <f>+G90-Balance!H7-Balance!H8-G94</f>
        <v>0</v>
      </c>
      <c r="H97" s="2">
        <f>+H90-Balance!I7-Balance!I8-H94</f>
        <v>76289.89109773832</v>
      </c>
      <c r="I97" s="2">
        <f>+I90-Balance!J7-Balance!J8-I94</f>
        <v>83861.293747154312</v>
      </c>
      <c r="J97" s="2">
        <f>+J90-Balance!K7-Balance!K8-J94</f>
        <v>86295.97020145948</v>
      </c>
      <c r="K97" s="2">
        <f>+K90-Balance!L7-Balance!L8-K94</f>
        <v>81968.217483284781</v>
      </c>
      <c r="L97" s="2">
        <f>+L90-Balance!M7-Balance!M8-L94</f>
        <v>72841.61780431855</v>
      </c>
      <c r="M97" s="2">
        <f>+M90-Balance!N7-Balance!N8-M94</f>
        <v>68070.474652365345</v>
      </c>
      <c r="N97" s="2">
        <f>+N90-Balance!O7-Balance!O8-N94</f>
        <v>63736.884211353776</v>
      </c>
      <c r="O97" s="2">
        <f>+O90-Balance!P7-Balance!P8-O94</f>
        <v>54628.700931923013</v>
      </c>
      <c r="P97" s="2">
        <f>+P90-Balance!Q7-Balance!Q8-P94</f>
        <v>40388.093834982865</v>
      </c>
      <c r="Q97" s="2">
        <f>+Q90-Balance!R7-Balance!R8-Q94</f>
        <v>24605.56881015432</v>
      </c>
      <c r="R97" s="2">
        <f>+R90-Balance!S7-Balance!S8-R94</f>
        <v>2034.7959474413365</v>
      </c>
    </row>
    <row r="98" spans="1:18">
      <c r="A98" s="2"/>
      <c r="B98" s="2"/>
      <c r="C98" s="2"/>
      <c r="D98" s="2"/>
      <c r="E98" s="2"/>
      <c r="F98" s="2"/>
      <c r="G98" s="2"/>
      <c r="H98" s="111"/>
      <c r="I98" s="111"/>
      <c r="J98" s="111"/>
      <c r="K98" s="111"/>
      <c r="L98" s="111"/>
      <c r="M98" s="111"/>
      <c r="N98" s="111"/>
      <c r="O98" s="111"/>
      <c r="P98" s="111"/>
      <c r="Q98" s="111"/>
      <c r="R98" s="111"/>
    </row>
    <row r="99" spans="1:18">
      <c r="A99" s="2"/>
      <c r="B99" s="2"/>
      <c r="C99" s="2"/>
      <c r="D99" s="2"/>
      <c r="E99" s="2"/>
      <c r="F99" s="2"/>
      <c r="G99" s="2"/>
      <c r="H99" s="111"/>
      <c r="I99" s="111"/>
      <c r="J99" s="111"/>
      <c r="K99" s="2"/>
      <c r="L99" s="2"/>
      <c r="M99" s="2"/>
      <c r="N99" s="2"/>
      <c r="O99" s="2"/>
      <c r="P99" s="2"/>
      <c r="Q99" s="2"/>
      <c r="R99" s="2"/>
    </row>
    <row r="100" spans="1:18" hidden="1">
      <c r="B100" t="s">
        <v>360</v>
      </c>
    </row>
    <row r="101" spans="1:18" hidden="1">
      <c r="B101" t="s">
        <v>359</v>
      </c>
      <c r="C101">
        <f>117737+152578</f>
        <v>270315</v>
      </c>
      <c r="K101" s="122"/>
      <c r="L101" s="122"/>
      <c r="M101" s="122"/>
      <c r="N101" s="122"/>
      <c r="O101" s="122"/>
      <c r="P101" s="122"/>
      <c r="Q101" s="122"/>
      <c r="R101" s="122"/>
    </row>
    <row r="102" spans="1:18" hidden="1">
      <c r="B102" s="2" t="s">
        <v>355</v>
      </c>
      <c r="K102" s="122"/>
      <c r="L102" s="122"/>
      <c r="M102" s="122"/>
      <c r="N102" s="122"/>
      <c r="O102" s="279"/>
      <c r="P102" s="279"/>
      <c r="Q102" s="279"/>
      <c r="R102" s="279"/>
    </row>
    <row r="103" spans="1:18" hidden="1">
      <c r="B103" s="2" t="s">
        <v>356</v>
      </c>
      <c r="C103">
        <v>51225</v>
      </c>
      <c r="K103" s="122"/>
      <c r="L103" s="122"/>
      <c r="M103" s="122"/>
      <c r="N103" s="122"/>
      <c r="O103" s="279"/>
      <c r="P103" s="279"/>
      <c r="Q103" s="279"/>
      <c r="R103" s="279"/>
    </row>
    <row r="104" spans="1:18" hidden="1">
      <c r="B104" s="2" t="s">
        <v>147</v>
      </c>
      <c r="C104">
        <v>317262</v>
      </c>
    </row>
    <row r="105" spans="1:18" hidden="1">
      <c r="B105" s="2" t="s">
        <v>357</v>
      </c>
      <c r="C105">
        <v>-94469</v>
      </c>
    </row>
    <row r="106" spans="1:18" hidden="1">
      <c r="B106" s="2" t="s">
        <v>358</v>
      </c>
      <c r="C106">
        <v>-27003</v>
      </c>
    </row>
    <row r="108" spans="1:18">
      <c r="H108" s="122">
        <f>+H26+H84</f>
        <v>-5612.8299970270527</v>
      </c>
    </row>
    <row r="114" spans="3:18">
      <c r="C114" s="342"/>
      <c r="D114" s="342"/>
      <c r="E114" s="342"/>
      <c r="F114" s="342"/>
      <c r="G114" s="342"/>
      <c r="H114" s="359">
        <v>101298.85480894924</v>
      </c>
      <c r="I114" s="359">
        <v>107919.87239066379</v>
      </c>
      <c r="J114" s="359">
        <v>113787.49986042193</v>
      </c>
      <c r="K114" s="342">
        <v>120119.28992207786</v>
      </c>
      <c r="L114" s="342">
        <v>125182.1278434999</v>
      </c>
      <c r="M114" s="342">
        <v>129920.02915023779</v>
      </c>
      <c r="N114" s="342">
        <v>135976.09401934585</v>
      </c>
      <c r="O114" s="342">
        <v>142035.23356611325</v>
      </c>
      <c r="P114" s="342">
        <v>148369.48170534495</v>
      </c>
      <c r="Q114" s="342">
        <v>154842.81320543817</v>
      </c>
      <c r="R114" s="342">
        <v>161623.67111621864</v>
      </c>
    </row>
    <row r="115" spans="3:18" ht="15.75">
      <c r="C115" s="343">
        <f t="shared" ref="C115:R115" si="18">+C92-C114</f>
        <v>0</v>
      </c>
      <c r="D115" s="343">
        <f t="shared" si="18"/>
        <v>0</v>
      </c>
      <c r="E115" s="343">
        <f t="shared" si="18"/>
        <v>0</v>
      </c>
      <c r="F115" s="343">
        <f t="shared" si="18"/>
        <v>0</v>
      </c>
      <c r="G115" s="343">
        <f t="shared" si="18"/>
        <v>0</v>
      </c>
      <c r="H115" s="360">
        <f t="shared" si="18"/>
        <v>-9334.7937082379649</v>
      </c>
      <c r="I115" s="360">
        <f t="shared" si="18"/>
        <v>-12712.309390343682</v>
      </c>
      <c r="J115" s="360">
        <f t="shared" si="18"/>
        <v>-15724.543505361711</v>
      </c>
      <c r="K115" s="343">
        <f t="shared" si="18"/>
        <v>-19496.845892452082</v>
      </c>
      <c r="L115" s="343">
        <f t="shared" si="18"/>
        <v>-22743.323724056987</v>
      </c>
      <c r="M115" s="343">
        <f t="shared" si="18"/>
        <v>-25530.932843474657</v>
      </c>
      <c r="N115" s="343">
        <f t="shared" si="18"/>
        <v>-26159.009845349632</v>
      </c>
      <c r="O115" s="343">
        <f t="shared" si="18"/>
        <v>-26483.503315812937</v>
      </c>
      <c r="P115" s="343">
        <f t="shared" si="18"/>
        <v>-26758.113091954117</v>
      </c>
      <c r="Q115" s="343">
        <f t="shared" si="18"/>
        <v>-26827.344612091634</v>
      </c>
      <c r="R115" s="343">
        <f t="shared" si="18"/>
        <v>-26838.964583468623</v>
      </c>
    </row>
    <row r="116" spans="3:18">
      <c r="C116" s="342">
        <v>0</v>
      </c>
      <c r="D116" s="342">
        <v>0</v>
      </c>
      <c r="E116" s="342">
        <v>0</v>
      </c>
      <c r="F116" s="342">
        <v>0</v>
      </c>
      <c r="G116" s="342">
        <v>-3.637978807091713E-12</v>
      </c>
      <c r="H116" s="359">
        <v>-87015.36699468884</v>
      </c>
      <c r="I116" s="359">
        <v>-94195.498401250661</v>
      </c>
      <c r="J116" s="359">
        <v>-97590.315137680169</v>
      </c>
      <c r="K116" s="342">
        <v>-99609.610433889713</v>
      </c>
      <c r="L116" s="342">
        <v>-98864.666584313803</v>
      </c>
      <c r="M116" s="342">
        <v>-95851.633526759178</v>
      </c>
      <c r="N116" s="342">
        <v>-93154.051136725844</v>
      </c>
      <c r="O116" s="342">
        <v>-85396.702926672559</v>
      </c>
      <c r="P116" s="342">
        <v>-75576.242011395487</v>
      </c>
      <c r="Q116" s="342">
        <v>-63424.604032306554</v>
      </c>
      <c r="R116" s="342">
        <v>-46377.129023556408</v>
      </c>
    </row>
    <row r="117" spans="3:18" ht="15.75">
      <c r="C117" s="343">
        <f t="shared" ref="C117:R117" si="19">+C116-C94</f>
        <v>53024</v>
      </c>
      <c r="D117" s="343">
        <f t="shared" si="19"/>
        <v>-3385</v>
      </c>
      <c r="E117" s="343">
        <f t="shared" si="19"/>
        <v>-11967</v>
      </c>
      <c r="F117" s="343">
        <f t="shared" si="19"/>
        <v>-6510</v>
      </c>
      <c r="G117" s="343">
        <f t="shared" si="19"/>
        <v>-29380.000000000004</v>
      </c>
      <c r="H117" s="360">
        <f t="shared" si="19"/>
        <v>-12507.47589695052</v>
      </c>
      <c r="I117" s="360">
        <f t="shared" si="19"/>
        <v>-10334.204654096349</v>
      </c>
      <c r="J117" s="360">
        <f t="shared" si="19"/>
        <v>-11294.344936220703</v>
      </c>
      <c r="K117" s="343">
        <f t="shared" si="19"/>
        <v>-17641.392950604917</v>
      </c>
      <c r="L117" s="343">
        <f t="shared" si="19"/>
        <v>-26023.048779995253</v>
      </c>
      <c r="M117" s="343">
        <f t="shared" si="19"/>
        <v>-27781.158874393834</v>
      </c>
      <c r="N117" s="343">
        <f t="shared" si="19"/>
        <v>-29417.166925372068</v>
      </c>
      <c r="O117" s="343">
        <f t="shared" si="19"/>
        <v>-30768.001994749546</v>
      </c>
      <c r="P117" s="343">
        <f t="shared" si="19"/>
        <v>-35188.148176412622</v>
      </c>
      <c r="Q117" s="343">
        <f t="shared" si="19"/>
        <v>-38819.035222152233</v>
      </c>
      <c r="R117" s="343">
        <f t="shared" si="19"/>
        <v>-44342.333076115072</v>
      </c>
    </row>
    <row r="120" spans="3:18">
      <c r="H120" s="122">
        <f>+H26</f>
        <v>9753.5965784138098</v>
      </c>
      <c r="I120" s="122">
        <f t="shared" ref="I120:R120" si="20">+I26</f>
        <v>5195.4889099695047</v>
      </c>
      <c r="J120" s="122">
        <f t="shared" si="20"/>
        <v>9252.2557810909311</v>
      </c>
      <c r="K120" s="122">
        <f t="shared" si="20"/>
        <v>15280.231191557486</v>
      </c>
      <c r="L120" s="122">
        <f t="shared" si="20"/>
        <v>18680.078454235532</v>
      </c>
      <c r="M120" s="122">
        <f t="shared" si="20"/>
        <v>12056.661310697538</v>
      </c>
      <c r="N120" s="122">
        <f t="shared" si="20"/>
        <v>14831.734041767133</v>
      </c>
      <c r="O120" s="122">
        <f t="shared" si="20"/>
        <v>19520.75956551393</v>
      </c>
      <c r="P120" s="122">
        <f t="shared" si="20"/>
        <v>23425.311326980089</v>
      </c>
      <c r="Q120" s="122">
        <f t="shared" si="20"/>
        <v>24948.067982299435</v>
      </c>
      <c r="R120" s="122">
        <f t="shared" si="20"/>
        <v>27900.239310990713</v>
      </c>
    </row>
    <row r="121" spans="3:18">
      <c r="H121" s="374">
        <f>+WACC!H30</f>
        <v>0.12136750586087716</v>
      </c>
      <c r="I121" s="374">
        <f>+WACC!I30</f>
        <v>0.11660496481028976</v>
      </c>
      <c r="J121" s="374">
        <f>+WACC!J30</f>
        <v>0.11854457043821189</v>
      </c>
      <c r="K121" s="374">
        <f>+WACC!K30</f>
        <v>0.12015777640710752</v>
      </c>
      <c r="L121" s="374">
        <f>+WACC!L30</f>
        <v>0.1220814083276502</v>
      </c>
      <c r="M121" s="374">
        <f>+WACC!M30</f>
        <v>0.12267692409830372</v>
      </c>
      <c r="N121" s="374">
        <f>+WACC!N30</f>
        <v>0.12485633344957546</v>
      </c>
      <c r="O121" s="374">
        <f>+WACC!O30</f>
        <v>0.12377970313073336</v>
      </c>
      <c r="P121" s="374">
        <f>+WACC!P30</f>
        <v>0.1287524900180613</v>
      </c>
      <c r="Q121" s="374">
        <f>+WACC!Q30</f>
        <v>0.12733817781205278</v>
      </c>
      <c r="R121" s="374">
        <f>+WACC!R30</f>
        <v>0.12733817781205278</v>
      </c>
    </row>
    <row r="123" spans="3:18">
      <c r="H123" s="302">
        <f t="shared" ref="H123:P123" si="21">+(H120+I123)/(1+H121)</f>
        <v>84330.573908199702</v>
      </c>
      <c r="I123" s="302">
        <f t="shared" si="21"/>
        <v>84811.968752840461</v>
      </c>
      <c r="J123" s="302">
        <f t="shared" si="21"/>
        <v>89505.976474787327</v>
      </c>
      <c r="K123" s="302">
        <f t="shared" si="21"/>
        <v>90864.168226552763</v>
      </c>
      <c r="L123" s="302">
        <f t="shared" si="21"/>
        <v>86501.97344417921</v>
      </c>
      <c r="M123" s="302">
        <f t="shared" si="21"/>
        <v>78382.177731130083</v>
      </c>
      <c r="N123" s="302">
        <f t="shared" si="21"/>
        <v>75941.200888614141</v>
      </c>
      <c r="O123" s="302">
        <f t="shared" si="21"/>
        <v>70591.206747557007</v>
      </c>
      <c r="P123" s="302">
        <f t="shared" si="21"/>
        <v>59808.205796895898</v>
      </c>
      <c r="Q123" s="302">
        <f>+(Q120+R123)/(1+Q121)</f>
        <v>44083.349889778801</v>
      </c>
      <c r="R123" s="302">
        <f>+R120/(1+R121)</f>
        <v>24748.775354294954</v>
      </c>
    </row>
    <row r="124" spans="3:18">
      <c r="H124" s="302">
        <f t="shared" ref="H124:P124" si="22">+I124/(1+H121)</f>
        <v>61137.084997595746</v>
      </c>
      <c r="I124" s="302">
        <f t="shared" si="22"/>
        <v>68557.140519358392</v>
      </c>
      <c r="J124" s="302">
        <f t="shared" si="22"/>
        <v>76551.243477112264</v>
      </c>
      <c r="K124" s="302">
        <f t="shared" si="22"/>
        <v>85625.977751617509</v>
      </c>
      <c r="L124" s="302">
        <f t="shared" si="22"/>
        <v>95914.604840936328</v>
      </c>
      <c r="M124" s="302">
        <f t="shared" si="22"/>
        <v>107623.99487910789</v>
      </c>
      <c r="N124" s="302">
        <f t="shared" si="22"/>
        <v>120826.97553004844</v>
      </c>
      <c r="O124" s="302">
        <f t="shared" si="22"/>
        <v>135912.98867653185</v>
      </c>
      <c r="P124" s="302">
        <f t="shared" si="22"/>
        <v>152736.25806652367</v>
      </c>
      <c r="Q124" s="302">
        <f>+R124/(1+Q121)</f>
        <v>172401.43160862979</v>
      </c>
      <c r="R124" s="302">
        <f>+R123/R121</f>
        <v>194354.71576186194</v>
      </c>
    </row>
    <row r="125" spans="3:18">
      <c r="H125" s="375">
        <f>+H123+H124</f>
        <v>145467.65890579546</v>
      </c>
    </row>
    <row r="127" spans="3:18">
      <c r="H127" s="375">
        <f>+Balance!I7+Balance!I20+Balance!I21+Balance!I22</f>
        <v>20252.670002972947</v>
      </c>
    </row>
    <row r="128" spans="3:18">
      <c r="H128" s="375">
        <f>+H125+H127</f>
        <v>165720.3289087684</v>
      </c>
    </row>
    <row r="130" spans="8:8">
      <c r="H130" s="375">
        <f>+Balance!I31+Balance!I32+Balance!I33+Balance!I39+Balance!I43+Balance!I44+Balance!I50</f>
        <v>48615</v>
      </c>
    </row>
    <row r="132" spans="8:8">
      <c r="H132" s="375">
        <f>+H128-H130</f>
        <v>117105.3289087684</v>
      </c>
    </row>
    <row r="134" spans="8:8">
      <c r="H134" s="271">
        <v>11773724183</v>
      </c>
    </row>
    <row r="136" spans="8:8">
      <c r="H136" s="279">
        <f>+H132/H134*1000000</f>
        <v>9.9463285438481712</v>
      </c>
    </row>
  </sheetData>
  <phoneticPr fontId="0" type="noConversion"/>
  <printOptions horizontalCentered="1" verticalCentered="1"/>
  <pageMargins left="0.51181102362204722" right="0.51181102362204722" top="0.51181102362204722" bottom="0.51181102362204722" header="0.51181102362204722" footer="0.51181102362204722"/>
  <pageSetup scale="83" firstPageNumber="9" orientation="portrait" blackAndWhite="1" horizontalDpi="300" verticalDpi="300"/>
  <headerFooter>
    <oddHeader>&amp;C&amp;A</oddHeader>
    <oddFooter>&amp;CCia.Modelo -  EVA&amp;RPágina &amp;P</oddFooter>
  </headerFooter>
  <ignoredErrors>
    <ignoredError sqref="H50" formula="1"/>
  </ignoredErrors>
</worksheet>
</file>

<file path=xl/worksheets/sheet9.xml><?xml version="1.0" encoding="utf-8"?>
<worksheet xmlns="http://schemas.openxmlformats.org/spreadsheetml/2006/main" xmlns:r="http://schemas.openxmlformats.org/officeDocument/2006/relationships">
  <dimension ref="A1:H114"/>
  <sheetViews>
    <sheetView showGridLines="0" workbookViewId="0">
      <pane ySplit="15" topLeftCell="A109" activePane="bottomLeft" state="frozen"/>
      <selection activeCell="F114" sqref="F114"/>
      <selection pane="bottomLeft" activeCell="F114" sqref="F114"/>
    </sheetView>
  </sheetViews>
  <sheetFormatPr baseColWidth="10" defaultRowHeight="12.75"/>
  <cols>
    <col min="1" max="1" width="28.6640625" style="239" customWidth="1"/>
    <col min="2" max="2" width="17.88671875" style="239" customWidth="1"/>
    <col min="3" max="8" width="14.44140625" style="239" customWidth="1"/>
    <col min="9" max="16384" width="11.5546875" style="239"/>
  </cols>
  <sheetData>
    <row r="1" spans="1:8" ht="30">
      <c r="A1" s="238" t="s">
        <v>437</v>
      </c>
    </row>
    <row r="2" spans="1:8">
      <c r="A2" s="240"/>
    </row>
    <row r="3" spans="1:8" ht="15">
      <c r="A3" s="241" t="s">
        <v>438</v>
      </c>
    </row>
    <row r="4" spans="1:8">
      <c r="A4" s="240"/>
    </row>
    <row r="5" spans="1:8" ht="15">
      <c r="A5" s="241" t="s">
        <v>439</v>
      </c>
    </row>
    <row r="6" spans="1:8">
      <c r="A6" s="240"/>
    </row>
    <row r="7" spans="1:8">
      <c r="B7" s="242" t="s">
        <v>440</v>
      </c>
    </row>
    <row r="8" spans="1:8">
      <c r="A8" s="241"/>
    </row>
    <row r="9" spans="1:8">
      <c r="B9" s="242" t="s">
        <v>441</v>
      </c>
    </row>
    <row r="10" spans="1:8">
      <c r="A10" s="240"/>
    </row>
    <row r="11" spans="1:8">
      <c r="A11" s="240"/>
    </row>
    <row r="12" spans="1:8">
      <c r="B12" s="242" t="s">
        <v>442</v>
      </c>
    </row>
    <row r="15" spans="1:8">
      <c r="A15" s="243" t="s">
        <v>443</v>
      </c>
      <c r="B15" s="244" t="s">
        <v>444</v>
      </c>
      <c r="C15" s="245" t="s">
        <v>367</v>
      </c>
      <c r="D15" s="244" t="s">
        <v>445</v>
      </c>
      <c r="E15" s="244" t="s">
        <v>446</v>
      </c>
      <c r="F15" s="244" t="s">
        <v>447</v>
      </c>
      <c r="G15" s="244" t="s">
        <v>448</v>
      </c>
      <c r="H15" s="244" t="s">
        <v>449</v>
      </c>
    </row>
    <row r="16" spans="1:8">
      <c r="A16" s="246" t="s">
        <v>450</v>
      </c>
      <c r="B16" s="247">
        <v>65</v>
      </c>
      <c r="C16" s="248" t="s">
        <v>451</v>
      </c>
      <c r="D16" s="249" t="s">
        <v>452</v>
      </c>
      <c r="E16" s="249" t="s">
        <v>453</v>
      </c>
      <c r="F16" s="248" t="s">
        <v>454</v>
      </c>
      <c r="G16" s="249" t="s">
        <v>455</v>
      </c>
      <c r="H16" s="248" t="s">
        <v>456</v>
      </c>
    </row>
    <row r="17" spans="1:8">
      <c r="A17" s="246" t="s">
        <v>457</v>
      </c>
      <c r="B17" s="247">
        <v>95</v>
      </c>
      <c r="C17" s="248" t="s">
        <v>458</v>
      </c>
      <c r="D17" s="249" t="s">
        <v>459</v>
      </c>
      <c r="E17" s="249" t="s">
        <v>460</v>
      </c>
      <c r="F17" s="248" t="s">
        <v>461</v>
      </c>
      <c r="G17" s="249" t="s">
        <v>462</v>
      </c>
      <c r="H17" s="248" t="s">
        <v>463</v>
      </c>
    </row>
    <row r="18" spans="1:8">
      <c r="A18" s="246" t="s">
        <v>464</v>
      </c>
      <c r="B18" s="247">
        <v>25</v>
      </c>
      <c r="C18" s="248" t="s">
        <v>465</v>
      </c>
      <c r="D18" s="249" t="s">
        <v>466</v>
      </c>
      <c r="E18" s="249" t="s">
        <v>467</v>
      </c>
      <c r="F18" s="248" t="s">
        <v>468</v>
      </c>
      <c r="G18" s="249" t="s">
        <v>469</v>
      </c>
      <c r="H18" s="248" t="s">
        <v>470</v>
      </c>
    </row>
    <row r="19" spans="1:8">
      <c r="A19" s="246" t="s">
        <v>471</v>
      </c>
      <c r="B19" s="247">
        <v>70</v>
      </c>
      <c r="C19" s="248" t="s">
        <v>472</v>
      </c>
      <c r="D19" s="249" t="s">
        <v>473</v>
      </c>
      <c r="E19" s="249" t="s">
        <v>474</v>
      </c>
      <c r="F19" s="248" t="s">
        <v>475</v>
      </c>
      <c r="G19" s="249" t="s">
        <v>476</v>
      </c>
      <c r="H19" s="248" t="s">
        <v>477</v>
      </c>
    </row>
    <row r="20" spans="1:8">
      <c r="A20" s="246" t="s">
        <v>478</v>
      </c>
      <c r="B20" s="247">
        <v>26</v>
      </c>
      <c r="C20" s="248" t="s">
        <v>479</v>
      </c>
      <c r="D20" s="249" t="s">
        <v>480</v>
      </c>
      <c r="E20" s="249" t="s">
        <v>481</v>
      </c>
      <c r="F20" s="248" t="s">
        <v>430</v>
      </c>
      <c r="G20" s="249" t="s">
        <v>482</v>
      </c>
      <c r="H20" s="248" t="s">
        <v>483</v>
      </c>
    </row>
    <row r="21" spans="1:8">
      <c r="A21" s="246" t="s">
        <v>484</v>
      </c>
      <c r="B21" s="247">
        <v>75</v>
      </c>
      <c r="C21" s="248" t="s">
        <v>485</v>
      </c>
      <c r="D21" s="249" t="s">
        <v>486</v>
      </c>
      <c r="E21" s="249" t="s">
        <v>487</v>
      </c>
      <c r="F21" s="248" t="s">
        <v>488</v>
      </c>
      <c r="G21" s="249" t="s">
        <v>489</v>
      </c>
      <c r="H21" s="248" t="s">
        <v>490</v>
      </c>
    </row>
    <row r="22" spans="1:8">
      <c r="A22" s="246" t="s">
        <v>491</v>
      </c>
      <c r="B22" s="247">
        <v>7</v>
      </c>
      <c r="C22" s="248" t="s">
        <v>483</v>
      </c>
      <c r="D22" s="249" t="s">
        <v>492</v>
      </c>
      <c r="E22" s="249" t="s">
        <v>493</v>
      </c>
      <c r="F22" s="248" t="s">
        <v>427</v>
      </c>
      <c r="G22" s="249" t="s">
        <v>494</v>
      </c>
      <c r="H22" s="248" t="s">
        <v>495</v>
      </c>
    </row>
    <row r="23" spans="1:8">
      <c r="A23" s="246" t="s">
        <v>496</v>
      </c>
      <c r="B23" s="247">
        <v>721</v>
      </c>
      <c r="C23" s="248" t="s">
        <v>497</v>
      </c>
      <c r="D23" s="249" t="s">
        <v>498</v>
      </c>
      <c r="E23" s="249" t="s">
        <v>499</v>
      </c>
      <c r="F23" s="248" t="s">
        <v>500</v>
      </c>
      <c r="G23" s="249" t="s">
        <v>501</v>
      </c>
      <c r="H23" s="248" t="s">
        <v>427</v>
      </c>
    </row>
    <row r="24" spans="1:8">
      <c r="A24" s="246" t="s">
        <v>502</v>
      </c>
      <c r="B24" s="247">
        <v>47</v>
      </c>
      <c r="C24" s="248" t="s">
        <v>503</v>
      </c>
      <c r="D24" s="249" t="s">
        <v>504</v>
      </c>
      <c r="E24" s="249" t="s">
        <v>505</v>
      </c>
      <c r="F24" s="248" t="s">
        <v>506</v>
      </c>
      <c r="G24" s="249" t="s">
        <v>507</v>
      </c>
      <c r="H24" s="248" t="s">
        <v>508</v>
      </c>
    </row>
    <row r="25" spans="1:8">
      <c r="A25" s="246" t="s">
        <v>509</v>
      </c>
      <c r="B25" s="247">
        <v>19</v>
      </c>
      <c r="C25" s="248" t="s">
        <v>510</v>
      </c>
      <c r="D25" s="249" t="s">
        <v>511</v>
      </c>
      <c r="E25" s="249" t="s">
        <v>512</v>
      </c>
      <c r="F25" s="248" t="s">
        <v>513</v>
      </c>
      <c r="G25" s="249" t="s">
        <v>514</v>
      </c>
      <c r="H25" s="248" t="s">
        <v>515</v>
      </c>
    </row>
    <row r="26" spans="1:8">
      <c r="A26" s="246" t="s">
        <v>516</v>
      </c>
      <c r="B26" s="247">
        <v>349</v>
      </c>
      <c r="C26" s="248" t="s">
        <v>517</v>
      </c>
      <c r="D26" s="249" t="s">
        <v>518</v>
      </c>
      <c r="E26" s="249" t="s">
        <v>519</v>
      </c>
      <c r="F26" s="248" t="s">
        <v>520</v>
      </c>
      <c r="G26" s="249" t="s">
        <v>521</v>
      </c>
      <c r="H26" s="248" t="s">
        <v>522</v>
      </c>
    </row>
    <row r="27" spans="1:8">
      <c r="A27" s="246" t="s">
        <v>523</v>
      </c>
      <c r="B27" s="247">
        <v>30</v>
      </c>
      <c r="C27" s="248" t="s">
        <v>524</v>
      </c>
      <c r="D27" s="249" t="s">
        <v>525</v>
      </c>
      <c r="E27" s="249" t="s">
        <v>526</v>
      </c>
      <c r="F27" s="248" t="s">
        <v>527</v>
      </c>
      <c r="G27" s="249" t="s">
        <v>528</v>
      </c>
      <c r="H27" s="248" t="s">
        <v>529</v>
      </c>
    </row>
    <row r="28" spans="1:8">
      <c r="A28" s="246" t="s">
        <v>530</v>
      </c>
      <c r="B28" s="247">
        <v>49</v>
      </c>
      <c r="C28" s="248" t="s">
        <v>531</v>
      </c>
      <c r="D28" s="249" t="s">
        <v>532</v>
      </c>
      <c r="E28" s="249" t="s">
        <v>533</v>
      </c>
      <c r="F28" s="248" t="s">
        <v>534</v>
      </c>
      <c r="G28" s="249" t="s">
        <v>535</v>
      </c>
      <c r="H28" s="248" t="s">
        <v>536</v>
      </c>
    </row>
    <row r="29" spans="1:8">
      <c r="A29" s="246" t="s">
        <v>537</v>
      </c>
      <c r="B29" s="247">
        <v>37</v>
      </c>
      <c r="C29" s="248" t="s">
        <v>538</v>
      </c>
      <c r="D29" s="249" t="s">
        <v>539</v>
      </c>
      <c r="E29" s="249" t="s">
        <v>540</v>
      </c>
      <c r="F29" s="248" t="s">
        <v>520</v>
      </c>
      <c r="G29" s="249" t="s">
        <v>541</v>
      </c>
      <c r="H29" s="248" t="s">
        <v>522</v>
      </c>
    </row>
    <row r="30" spans="1:8">
      <c r="A30" s="246" t="s">
        <v>542</v>
      </c>
      <c r="B30" s="247">
        <v>179</v>
      </c>
      <c r="C30" s="248" t="s">
        <v>543</v>
      </c>
      <c r="D30" s="249" t="s">
        <v>544</v>
      </c>
      <c r="E30" s="249" t="s">
        <v>545</v>
      </c>
      <c r="F30" s="248" t="s">
        <v>483</v>
      </c>
      <c r="G30" s="249" t="s">
        <v>546</v>
      </c>
      <c r="H30" s="248" t="s">
        <v>547</v>
      </c>
    </row>
    <row r="31" spans="1:8">
      <c r="A31" s="246" t="s">
        <v>548</v>
      </c>
      <c r="B31" s="247">
        <v>16</v>
      </c>
      <c r="C31" s="248" t="s">
        <v>549</v>
      </c>
      <c r="D31" s="249" t="s">
        <v>550</v>
      </c>
      <c r="E31" s="249" t="s">
        <v>551</v>
      </c>
      <c r="F31" s="248" t="s">
        <v>454</v>
      </c>
      <c r="G31" s="249" t="s">
        <v>552</v>
      </c>
      <c r="H31" s="248" t="s">
        <v>553</v>
      </c>
    </row>
    <row r="32" spans="1:8">
      <c r="A32" s="250" t="s">
        <v>554</v>
      </c>
      <c r="B32" s="247">
        <v>47</v>
      </c>
      <c r="C32" s="248" t="s">
        <v>458</v>
      </c>
      <c r="D32" s="249" t="s">
        <v>555</v>
      </c>
      <c r="E32" s="249" t="s">
        <v>556</v>
      </c>
      <c r="F32" s="248" t="s">
        <v>557</v>
      </c>
      <c r="G32" s="249" t="s">
        <v>558</v>
      </c>
      <c r="H32" s="248" t="s">
        <v>559</v>
      </c>
    </row>
    <row r="33" spans="1:8">
      <c r="A33" s="259" t="s">
        <v>919</v>
      </c>
      <c r="B33" s="251">
        <v>10</v>
      </c>
      <c r="C33" s="252" t="s">
        <v>503</v>
      </c>
      <c r="D33" s="253" t="s">
        <v>560</v>
      </c>
      <c r="E33" s="253" t="s">
        <v>561</v>
      </c>
      <c r="F33" s="252" t="s">
        <v>488</v>
      </c>
      <c r="G33" s="253" t="s">
        <v>562</v>
      </c>
      <c r="H33" s="252" t="s">
        <v>563</v>
      </c>
    </row>
    <row r="34" spans="1:8">
      <c r="A34" s="250" t="s">
        <v>564</v>
      </c>
      <c r="B34" s="247">
        <v>100</v>
      </c>
      <c r="C34" s="248" t="s">
        <v>458</v>
      </c>
      <c r="D34" s="249" t="s">
        <v>565</v>
      </c>
      <c r="E34" s="249" t="s">
        <v>566</v>
      </c>
      <c r="F34" s="248" t="s">
        <v>567</v>
      </c>
      <c r="G34" s="249" t="s">
        <v>568</v>
      </c>
      <c r="H34" s="248" t="s">
        <v>569</v>
      </c>
    </row>
    <row r="35" spans="1:8">
      <c r="A35" s="246" t="s">
        <v>570</v>
      </c>
      <c r="B35" s="247">
        <v>45</v>
      </c>
      <c r="C35" s="248" t="s">
        <v>479</v>
      </c>
      <c r="D35" s="249" t="s">
        <v>571</v>
      </c>
      <c r="E35" s="249" t="s">
        <v>572</v>
      </c>
      <c r="F35" s="248" t="s">
        <v>454</v>
      </c>
      <c r="G35" s="249" t="s">
        <v>573</v>
      </c>
      <c r="H35" s="248" t="s">
        <v>456</v>
      </c>
    </row>
    <row r="36" spans="1:8">
      <c r="A36" s="246" t="s">
        <v>574</v>
      </c>
      <c r="B36" s="247">
        <v>129</v>
      </c>
      <c r="C36" s="248" t="s">
        <v>463</v>
      </c>
      <c r="D36" s="249" t="s">
        <v>575</v>
      </c>
      <c r="E36" s="249" t="s">
        <v>576</v>
      </c>
      <c r="F36" s="248" t="s">
        <v>577</v>
      </c>
      <c r="G36" s="249" t="s">
        <v>578</v>
      </c>
      <c r="H36" s="248" t="s">
        <v>579</v>
      </c>
    </row>
    <row r="37" spans="1:8">
      <c r="A37" s="246" t="s">
        <v>580</v>
      </c>
      <c r="B37" s="247">
        <v>273</v>
      </c>
      <c r="C37" s="248" t="s">
        <v>522</v>
      </c>
      <c r="D37" s="249" t="s">
        <v>581</v>
      </c>
      <c r="E37" s="249" t="s">
        <v>582</v>
      </c>
      <c r="F37" s="248" t="s">
        <v>477</v>
      </c>
      <c r="G37" s="249" t="s">
        <v>583</v>
      </c>
      <c r="H37" s="248" t="s">
        <v>584</v>
      </c>
    </row>
    <row r="38" spans="1:8">
      <c r="A38" s="246" t="s">
        <v>585</v>
      </c>
      <c r="B38" s="247">
        <v>66</v>
      </c>
      <c r="C38" s="248" t="s">
        <v>472</v>
      </c>
      <c r="D38" s="249" t="s">
        <v>586</v>
      </c>
      <c r="E38" s="249" t="s">
        <v>587</v>
      </c>
      <c r="F38" s="248" t="s">
        <v>588</v>
      </c>
      <c r="G38" s="249" t="s">
        <v>589</v>
      </c>
      <c r="H38" s="248" t="s">
        <v>488</v>
      </c>
    </row>
    <row r="39" spans="1:8">
      <c r="A39" s="246" t="s">
        <v>590</v>
      </c>
      <c r="B39" s="247">
        <v>18</v>
      </c>
      <c r="C39" s="248" t="s">
        <v>475</v>
      </c>
      <c r="D39" s="249" t="s">
        <v>591</v>
      </c>
      <c r="E39" s="249" t="s">
        <v>592</v>
      </c>
      <c r="F39" s="248" t="s">
        <v>547</v>
      </c>
      <c r="G39" s="249" t="s">
        <v>593</v>
      </c>
      <c r="H39" s="248" t="s">
        <v>594</v>
      </c>
    </row>
    <row r="40" spans="1:8">
      <c r="A40" s="246" t="s">
        <v>595</v>
      </c>
      <c r="B40" s="247">
        <v>20</v>
      </c>
      <c r="C40" s="248" t="s">
        <v>594</v>
      </c>
      <c r="D40" s="249" t="s">
        <v>596</v>
      </c>
      <c r="E40" s="249" t="s">
        <v>597</v>
      </c>
      <c r="F40" s="248" t="s">
        <v>598</v>
      </c>
      <c r="G40" s="249" t="s">
        <v>599</v>
      </c>
      <c r="H40" s="248" t="s">
        <v>427</v>
      </c>
    </row>
    <row r="41" spans="1:8">
      <c r="A41" s="246" t="s">
        <v>600</v>
      </c>
      <c r="B41" s="247">
        <v>40</v>
      </c>
      <c r="C41" s="248" t="s">
        <v>508</v>
      </c>
      <c r="D41" s="249" t="s">
        <v>601</v>
      </c>
      <c r="E41" s="249" t="s">
        <v>602</v>
      </c>
      <c r="F41" s="248" t="s">
        <v>463</v>
      </c>
      <c r="G41" s="249" t="s">
        <v>603</v>
      </c>
      <c r="H41" s="248" t="s">
        <v>584</v>
      </c>
    </row>
    <row r="42" spans="1:8">
      <c r="A42" s="246" t="s">
        <v>604</v>
      </c>
      <c r="B42" s="247">
        <v>135</v>
      </c>
      <c r="C42" s="248" t="s">
        <v>510</v>
      </c>
      <c r="D42" s="249" t="s">
        <v>605</v>
      </c>
      <c r="E42" s="249" t="s">
        <v>606</v>
      </c>
      <c r="F42" s="248" t="s">
        <v>458</v>
      </c>
      <c r="G42" s="249" t="s">
        <v>607</v>
      </c>
      <c r="H42" s="248" t="s">
        <v>522</v>
      </c>
    </row>
    <row r="43" spans="1:8">
      <c r="A43" s="246" t="s">
        <v>608</v>
      </c>
      <c r="B43" s="247">
        <v>191</v>
      </c>
      <c r="C43" s="248" t="s">
        <v>520</v>
      </c>
      <c r="D43" s="249" t="s">
        <v>609</v>
      </c>
      <c r="E43" s="249" t="s">
        <v>610</v>
      </c>
      <c r="F43" s="248" t="s">
        <v>567</v>
      </c>
      <c r="G43" s="249" t="s">
        <v>611</v>
      </c>
      <c r="H43" s="248" t="s">
        <v>612</v>
      </c>
    </row>
    <row r="44" spans="1:8">
      <c r="A44" s="246" t="s">
        <v>613</v>
      </c>
      <c r="B44" s="247">
        <v>26</v>
      </c>
      <c r="C44" s="248" t="s">
        <v>614</v>
      </c>
      <c r="D44" s="249" t="s">
        <v>615</v>
      </c>
      <c r="E44" s="249" t="s">
        <v>616</v>
      </c>
      <c r="F44" s="248" t="s">
        <v>612</v>
      </c>
      <c r="G44" s="249" t="s">
        <v>617</v>
      </c>
      <c r="H44" s="248" t="s">
        <v>527</v>
      </c>
    </row>
    <row r="45" spans="1:8">
      <c r="A45" s="246" t="s">
        <v>618</v>
      </c>
      <c r="B45" s="247">
        <v>56</v>
      </c>
      <c r="C45" s="248" t="s">
        <v>619</v>
      </c>
      <c r="D45" s="249" t="s">
        <v>620</v>
      </c>
      <c r="E45" s="249" t="s">
        <v>621</v>
      </c>
      <c r="F45" s="248" t="s">
        <v>458</v>
      </c>
      <c r="G45" s="249" t="s">
        <v>622</v>
      </c>
      <c r="H45" s="248" t="s">
        <v>488</v>
      </c>
    </row>
    <row r="46" spans="1:8">
      <c r="A46" s="246" t="s">
        <v>623</v>
      </c>
      <c r="B46" s="247">
        <v>85</v>
      </c>
      <c r="C46" s="248" t="s">
        <v>624</v>
      </c>
      <c r="D46" s="249" t="s">
        <v>625</v>
      </c>
      <c r="E46" s="249" t="s">
        <v>626</v>
      </c>
      <c r="F46" s="248" t="s">
        <v>569</v>
      </c>
      <c r="G46" s="249" t="s">
        <v>627</v>
      </c>
      <c r="H46" s="248" t="s">
        <v>477</v>
      </c>
    </row>
    <row r="47" spans="1:8">
      <c r="A47" s="246" t="s">
        <v>628</v>
      </c>
      <c r="B47" s="247">
        <v>108</v>
      </c>
      <c r="C47" s="248" t="s">
        <v>488</v>
      </c>
      <c r="D47" s="249" t="s">
        <v>629</v>
      </c>
      <c r="E47" s="249" t="s">
        <v>630</v>
      </c>
      <c r="F47" s="248" t="s">
        <v>631</v>
      </c>
      <c r="G47" s="249" t="s">
        <v>632</v>
      </c>
      <c r="H47" s="248" t="s">
        <v>633</v>
      </c>
    </row>
    <row r="48" spans="1:8">
      <c r="A48" s="246" t="s">
        <v>634</v>
      </c>
      <c r="B48" s="247">
        <v>29</v>
      </c>
      <c r="C48" s="248" t="s">
        <v>557</v>
      </c>
      <c r="D48" s="249" t="s">
        <v>635</v>
      </c>
      <c r="E48" s="249" t="s">
        <v>636</v>
      </c>
      <c r="F48" s="248" t="s">
        <v>497</v>
      </c>
      <c r="G48" s="249" t="s">
        <v>637</v>
      </c>
      <c r="H48" s="248" t="s">
        <v>429</v>
      </c>
    </row>
    <row r="49" spans="1:8">
      <c r="A49" s="246" t="s">
        <v>638</v>
      </c>
      <c r="B49" s="247">
        <v>76</v>
      </c>
      <c r="C49" s="248" t="s">
        <v>477</v>
      </c>
      <c r="D49" s="249" t="s">
        <v>639</v>
      </c>
      <c r="E49" s="249" t="s">
        <v>640</v>
      </c>
      <c r="F49" s="248" t="s">
        <v>641</v>
      </c>
      <c r="G49" s="249" t="s">
        <v>642</v>
      </c>
      <c r="H49" s="248" t="s">
        <v>497</v>
      </c>
    </row>
    <row r="50" spans="1:8">
      <c r="A50" s="246" t="s">
        <v>643</v>
      </c>
      <c r="B50" s="247">
        <v>17</v>
      </c>
      <c r="C50" s="248" t="s">
        <v>644</v>
      </c>
      <c r="D50" s="249" t="s">
        <v>645</v>
      </c>
      <c r="E50" s="249" t="s">
        <v>646</v>
      </c>
      <c r="F50" s="248" t="s">
        <v>647</v>
      </c>
      <c r="G50" s="249" t="s">
        <v>648</v>
      </c>
      <c r="H50" s="248" t="s">
        <v>426</v>
      </c>
    </row>
    <row r="51" spans="1:8">
      <c r="A51" s="246" t="s">
        <v>649</v>
      </c>
      <c r="B51" s="247">
        <v>97</v>
      </c>
      <c r="C51" s="248" t="s">
        <v>559</v>
      </c>
      <c r="D51" s="249" t="s">
        <v>650</v>
      </c>
      <c r="E51" s="249" t="s">
        <v>651</v>
      </c>
      <c r="F51" s="248" t="s">
        <v>454</v>
      </c>
      <c r="G51" s="249" t="s">
        <v>652</v>
      </c>
      <c r="H51" s="248" t="s">
        <v>553</v>
      </c>
    </row>
    <row r="52" spans="1:8">
      <c r="A52" s="246" t="s">
        <v>653</v>
      </c>
      <c r="B52" s="247">
        <v>18</v>
      </c>
      <c r="C52" s="248" t="s">
        <v>654</v>
      </c>
      <c r="D52" s="249" t="s">
        <v>655</v>
      </c>
      <c r="E52" s="249" t="s">
        <v>611</v>
      </c>
      <c r="F52" s="248" t="s">
        <v>520</v>
      </c>
      <c r="G52" s="249" t="s">
        <v>656</v>
      </c>
      <c r="H52" s="248" t="s">
        <v>584</v>
      </c>
    </row>
    <row r="53" spans="1:8">
      <c r="A53" s="246" t="s">
        <v>657</v>
      </c>
      <c r="B53" s="247">
        <v>36</v>
      </c>
      <c r="C53" s="248" t="s">
        <v>508</v>
      </c>
      <c r="D53" s="249" t="s">
        <v>658</v>
      </c>
      <c r="E53" s="249" t="s">
        <v>659</v>
      </c>
      <c r="F53" s="248" t="s">
        <v>477</v>
      </c>
      <c r="G53" s="249" t="s">
        <v>660</v>
      </c>
      <c r="H53" s="248" t="s">
        <v>451</v>
      </c>
    </row>
    <row r="54" spans="1:8">
      <c r="A54" s="246" t="s">
        <v>661</v>
      </c>
      <c r="B54" s="247">
        <v>193</v>
      </c>
      <c r="C54" s="248" t="s">
        <v>559</v>
      </c>
      <c r="D54" s="249" t="s">
        <v>662</v>
      </c>
      <c r="E54" s="249" t="s">
        <v>663</v>
      </c>
      <c r="F54" s="248" t="s">
        <v>456</v>
      </c>
      <c r="G54" s="249" t="s">
        <v>664</v>
      </c>
      <c r="H54" s="248" t="s">
        <v>594</v>
      </c>
    </row>
    <row r="55" spans="1:8">
      <c r="A55" s="246" t="s">
        <v>665</v>
      </c>
      <c r="B55" s="247">
        <v>47</v>
      </c>
      <c r="C55" s="248" t="s">
        <v>488</v>
      </c>
      <c r="D55" s="249" t="s">
        <v>666</v>
      </c>
      <c r="E55" s="249" t="s">
        <v>667</v>
      </c>
      <c r="F55" s="248" t="s">
        <v>668</v>
      </c>
      <c r="G55" s="249" t="s">
        <v>669</v>
      </c>
      <c r="H55" s="248" t="s">
        <v>670</v>
      </c>
    </row>
    <row r="56" spans="1:8">
      <c r="A56" s="246" t="s">
        <v>671</v>
      </c>
      <c r="B56" s="247">
        <v>58</v>
      </c>
      <c r="C56" s="248" t="s">
        <v>612</v>
      </c>
      <c r="D56" s="249" t="s">
        <v>672</v>
      </c>
      <c r="E56" s="249" t="s">
        <v>673</v>
      </c>
      <c r="F56" s="248" t="s">
        <v>559</v>
      </c>
      <c r="G56" s="249" t="s">
        <v>674</v>
      </c>
      <c r="H56" s="248" t="s">
        <v>567</v>
      </c>
    </row>
    <row r="57" spans="1:8">
      <c r="A57" s="246" t="s">
        <v>675</v>
      </c>
      <c r="B57" s="247">
        <v>126</v>
      </c>
      <c r="C57" s="248" t="s">
        <v>432</v>
      </c>
      <c r="D57" s="249" t="s">
        <v>676</v>
      </c>
      <c r="E57" s="249" t="s">
        <v>677</v>
      </c>
      <c r="F57" s="248" t="s">
        <v>431</v>
      </c>
      <c r="G57" s="249" t="s">
        <v>678</v>
      </c>
      <c r="H57" s="248" t="s">
        <v>483</v>
      </c>
    </row>
    <row r="58" spans="1:8">
      <c r="A58" s="246" t="s">
        <v>679</v>
      </c>
      <c r="B58" s="247">
        <v>125</v>
      </c>
      <c r="C58" s="248" t="s">
        <v>477</v>
      </c>
      <c r="D58" s="249" t="s">
        <v>680</v>
      </c>
      <c r="E58" s="249" t="s">
        <v>681</v>
      </c>
      <c r="F58" s="248" t="s">
        <v>461</v>
      </c>
      <c r="G58" s="249" t="s">
        <v>682</v>
      </c>
      <c r="H58" s="248" t="s">
        <v>463</v>
      </c>
    </row>
    <row r="59" spans="1:8">
      <c r="A59" s="246" t="s">
        <v>683</v>
      </c>
      <c r="B59" s="247">
        <v>46</v>
      </c>
      <c r="C59" s="248" t="s">
        <v>684</v>
      </c>
      <c r="D59" s="249" t="s">
        <v>685</v>
      </c>
      <c r="E59" s="249" t="s">
        <v>686</v>
      </c>
      <c r="F59" s="248" t="s">
        <v>472</v>
      </c>
      <c r="G59" s="249" t="s">
        <v>687</v>
      </c>
      <c r="H59" s="248" t="s">
        <v>563</v>
      </c>
    </row>
    <row r="60" spans="1:8">
      <c r="A60" s="246" t="s">
        <v>688</v>
      </c>
      <c r="B60" s="247">
        <v>32</v>
      </c>
      <c r="C60" s="248" t="s">
        <v>689</v>
      </c>
      <c r="D60" s="249" t="s">
        <v>690</v>
      </c>
      <c r="E60" s="249" t="s">
        <v>691</v>
      </c>
      <c r="F60" s="248" t="s">
        <v>517</v>
      </c>
      <c r="G60" s="249" t="s">
        <v>518</v>
      </c>
      <c r="H60" s="248" t="s">
        <v>490</v>
      </c>
    </row>
    <row r="61" spans="1:8">
      <c r="A61" s="246" t="s">
        <v>692</v>
      </c>
      <c r="B61" s="247">
        <v>89</v>
      </c>
      <c r="C61" s="248" t="s">
        <v>538</v>
      </c>
      <c r="D61" s="249" t="s">
        <v>693</v>
      </c>
      <c r="E61" s="249" t="s">
        <v>694</v>
      </c>
      <c r="F61" s="248" t="s">
        <v>461</v>
      </c>
      <c r="G61" s="249" t="s">
        <v>695</v>
      </c>
      <c r="H61" s="248" t="s">
        <v>543</v>
      </c>
    </row>
    <row r="62" spans="1:8">
      <c r="A62" s="246" t="s">
        <v>696</v>
      </c>
      <c r="B62" s="247">
        <v>139</v>
      </c>
      <c r="C62" s="248" t="s">
        <v>612</v>
      </c>
      <c r="D62" s="249" t="s">
        <v>697</v>
      </c>
      <c r="E62" s="249" t="s">
        <v>698</v>
      </c>
      <c r="F62" s="248" t="s">
        <v>699</v>
      </c>
      <c r="G62" s="249" t="s">
        <v>700</v>
      </c>
      <c r="H62" s="248" t="s">
        <v>567</v>
      </c>
    </row>
    <row r="63" spans="1:8">
      <c r="A63" s="246" t="s">
        <v>701</v>
      </c>
      <c r="B63" s="247">
        <v>71</v>
      </c>
      <c r="C63" s="248" t="s">
        <v>702</v>
      </c>
      <c r="D63" s="249" t="s">
        <v>703</v>
      </c>
      <c r="E63" s="249" t="s">
        <v>704</v>
      </c>
      <c r="F63" s="248" t="s">
        <v>594</v>
      </c>
      <c r="G63" s="249" t="s">
        <v>695</v>
      </c>
      <c r="H63" s="248" t="s">
        <v>633</v>
      </c>
    </row>
    <row r="64" spans="1:8">
      <c r="A64" s="246" t="s">
        <v>705</v>
      </c>
      <c r="B64" s="247">
        <v>26</v>
      </c>
      <c r="C64" s="248" t="s">
        <v>463</v>
      </c>
      <c r="D64" s="249" t="s">
        <v>706</v>
      </c>
      <c r="E64" s="249" t="s">
        <v>707</v>
      </c>
      <c r="F64" s="248" t="s">
        <v>431</v>
      </c>
      <c r="G64" s="249" t="s">
        <v>541</v>
      </c>
      <c r="H64" s="248" t="s">
        <v>553</v>
      </c>
    </row>
    <row r="65" spans="1:8">
      <c r="A65" s="246" t="s">
        <v>708</v>
      </c>
      <c r="B65" s="247">
        <v>27</v>
      </c>
      <c r="C65" s="248" t="s">
        <v>709</v>
      </c>
      <c r="D65" s="249" t="s">
        <v>710</v>
      </c>
      <c r="E65" s="249" t="s">
        <v>711</v>
      </c>
      <c r="F65" s="248" t="s">
        <v>577</v>
      </c>
      <c r="G65" s="249" t="s">
        <v>712</v>
      </c>
      <c r="H65" s="248" t="s">
        <v>461</v>
      </c>
    </row>
    <row r="66" spans="1:8">
      <c r="A66" s="246" t="s">
        <v>713</v>
      </c>
      <c r="B66" s="247">
        <v>53</v>
      </c>
      <c r="C66" s="248" t="s">
        <v>714</v>
      </c>
      <c r="D66" s="249" t="s">
        <v>715</v>
      </c>
      <c r="E66" s="249" t="s">
        <v>716</v>
      </c>
      <c r="F66" s="248" t="s">
        <v>717</v>
      </c>
      <c r="G66" s="249" t="s">
        <v>718</v>
      </c>
      <c r="H66" s="248" t="s">
        <v>429</v>
      </c>
    </row>
    <row r="67" spans="1:8">
      <c r="A67" s="246" t="s">
        <v>719</v>
      </c>
      <c r="B67" s="247">
        <v>330</v>
      </c>
      <c r="C67" s="248" t="s">
        <v>644</v>
      </c>
      <c r="D67" s="249" t="s">
        <v>720</v>
      </c>
      <c r="E67" s="249" t="s">
        <v>721</v>
      </c>
      <c r="F67" s="248" t="s">
        <v>458</v>
      </c>
      <c r="G67" s="249" t="s">
        <v>722</v>
      </c>
      <c r="H67" s="248" t="s">
        <v>644</v>
      </c>
    </row>
    <row r="68" spans="1:8">
      <c r="A68" s="246" t="s">
        <v>723</v>
      </c>
      <c r="B68" s="247">
        <v>65</v>
      </c>
      <c r="C68" s="248" t="s">
        <v>579</v>
      </c>
      <c r="D68" s="249" t="s">
        <v>724</v>
      </c>
      <c r="E68" s="249" t="s">
        <v>725</v>
      </c>
      <c r="F68" s="248" t="s">
        <v>726</v>
      </c>
      <c r="G68" s="249" t="s">
        <v>727</v>
      </c>
      <c r="H68" s="248" t="s">
        <v>728</v>
      </c>
    </row>
    <row r="69" spans="1:8">
      <c r="A69" s="246" t="s">
        <v>729</v>
      </c>
      <c r="B69" s="247">
        <v>141</v>
      </c>
      <c r="C69" s="248" t="s">
        <v>584</v>
      </c>
      <c r="D69" s="249" t="s">
        <v>730</v>
      </c>
      <c r="E69" s="249" t="s">
        <v>731</v>
      </c>
      <c r="F69" s="248" t="s">
        <v>513</v>
      </c>
      <c r="G69" s="249" t="s">
        <v>732</v>
      </c>
      <c r="H69" s="248" t="s">
        <v>475</v>
      </c>
    </row>
    <row r="70" spans="1:8">
      <c r="A70" s="246" t="s">
        <v>733</v>
      </c>
      <c r="B70" s="247">
        <v>134</v>
      </c>
      <c r="C70" s="248" t="s">
        <v>734</v>
      </c>
      <c r="D70" s="249" t="s">
        <v>735</v>
      </c>
      <c r="E70" s="249" t="s">
        <v>736</v>
      </c>
      <c r="F70" s="248" t="s">
        <v>699</v>
      </c>
      <c r="G70" s="249" t="s">
        <v>607</v>
      </c>
      <c r="H70" s="248" t="s">
        <v>543</v>
      </c>
    </row>
    <row r="71" spans="1:8">
      <c r="A71" s="246" t="s">
        <v>737</v>
      </c>
      <c r="B71" s="247">
        <v>30</v>
      </c>
      <c r="C71" s="248" t="s">
        <v>510</v>
      </c>
      <c r="D71" s="249" t="s">
        <v>738</v>
      </c>
      <c r="E71" s="249" t="s">
        <v>739</v>
      </c>
      <c r="F71" s="248" t="s">
        <v>594</v>
      </c>
      <c r="G71" s="249" t="s">
        <v>740</v>
      </c>
      <c r="H71" s="248" t="s">
        <v>579</v>
      </c>
    </row>
    <row r="72" spans="1:8">
      <c r="A72" s="246" t="s">
        <v>741</v>
      </c>
      <c r="B72" s="247">
        <v>8</v>
      </c>
      <c r="C72" s="248" t="s">
        <v>612</v>
      </c>
      <c r="D72" s="249" t="s">
        <v>742</v>
      </c>
      <c r="E72" s="249" t="s">
        <v>743</v>
      </c>
      <c r="F72" s="248" t="s">
        <v>465</v>
      </c>
      <c r="G72" s="249" t="s">
        <v>744</v>
      </c>
      <c r="H72" s="248" t="s">
        <v>549</v>
      </c>
    </row>
    <row r="73" spans="1:8">
      <c r="A73" s="246" t="s">
        <v>745</v>
      </c>
      <c r="B73" s="247">
        <v>411</v>
      </c>
      <c r="C73" s="248" t="s">
        <v>508</v>
      </c>
      <c r="D73" s="249" t="s">
        <v>746</v>
      </c>
      <c r="E73" s="249" t="s">
        <v>747</v>
      </c>
      <c r="F73" s="248" t="s">
        <v>748</v>
      </c>
      <c r="G73" s="249" t="s">
        <v>749</v>
      </c>
      <c r="H73" s="248" t="s">
        <v>750</v>
      </c>
    </row>
    <row r="74" spans="1:8">
      <c r="A74" s="246" t="s">
        <v>751</v>
      </c>
      <c r="B74" s="247">
        <v>80</v>
      </c>
      <c r="C74" s="248" t="s">
        <v>579</v>
      </c>
      <c r="D74" s="249" t="s">
        <v>752</v>
      </c>
      <c r="E74" s="249" t="s">
        <v>753</v>
      </c>
      <c r="F74" s="248" t="s">
        <v>668</v>
      </c>
      <c r="G74" s="249" t="s">
        <v>754</v>
      </c>
      <c r="H74" s="248" t="s">
        <v>668</v>
      </c>
    </row>
    <row r="75" spans="1:8">
      <c r="A75" s="246" t="s">
        <v>755</v>
      </c>
      <c r="B75" s="247">
        <v>163</v>
      </c>
      <c r="C75" s="248" t="s">
        <v>756</v>
      </c>
      <c r="D75" s="249" t="s">
        <v>757</v>
      </c>
      <c r="E75" s="249" t="s">
        <v>758</v>
      </c>
      <c r="F75" s="248" t="s">
        <v>529</v>
      </c>
      <c r="G75" s="249" t="s">
        <v>759</v>
      </c>
      <c r="H75" s="248" t="s">
        <v>506</v>
      </c>
    </row>
    <row r="76" spans="1:8">
      <c r="A76" s="246" t="s">
        <v>760</v>
      </c>
      <c r="B76" s="247">
        <v>24</v>
      </c>
      <c r="C76" s="248" t="s">
        <v>477</v>
      </c>
      <c r="D76" s="249" t="s">
        <v>761</v>
      </c>
      <c r="E76" s="249" t="s">
        <v>762</v>
      </c>
      <c r="F76" s="248" t="s">
        <v>553</v>
      </c>
      <c r="G76" s="249" t="s">
        <v>763</v>
      </c>
      <c r="H76" s="248" t="s">
        <v>456</v>
      </c>
    </row>
    <row r="77" spans="1:8">
      <c r="A77" s="246" t="s">
        <v>764</v>
      </c>
      <c r="B77" s="247">
        <v>21</v>
      </c>
      <c r="C77" s="248" t="s">
        <v>765</v>
      </c>
      <c r="D77" s="249" t="s">
        <v>766</v>
      </c>
      <c r="E77" s="249" t="s">
        <v>767</v>
      </c>
      <c r="F77" s="248" t="s">
        <v>543</v>
      </c>
      <c r="G77" s="249" t="s">
        <v>768</v>
      </c>
      <c r="H77" s="248" t="s">
        <v>515</v>
      </c>
    </row>
    <row r="78" spans="1:8">
      <c r="A78" s="246" t="s">
        <v>769</v>
      </c>
      <c r="B78" s="247">
        <v>138</v>
      </c>
      <c r="C78" s="248" t="s">
        <v>529</v>
      </c>
      <c r="D78" s="249" t="s">
        <v>770</v>
      </c>
      <c r="E78" s="249" t="s">
        <v>771</v>
      </c>
      <c r="F78" s="248" t="s">
        <v>549</v>
      </c>
      <c r="G78" s="249" t="s">
        <v>772</v>
      </c>
      <c r="H78" s="248" t="s">
        <v>451</v>
      </c>
    </row>
    <row r="79" spans="1:8">
      <c r="A79" s="246" t="s">
        <v>773</v>
      </c>
      <c r="B79" s="247">
        <v>106</v>
      </c>
      <c r="C79" s="248" t="s">
        <v>774</v>
      </c>
      <c r="D79" s="249" t="s">
        <v>775</v>
      </c>
      <c r="E79" s="249" t="s">
        <v>776</v>
      </c>
      <c r="F79" s="248" t="s">
        <v>777</v>
      </c>
      <c r="G79" s="249" t="s">
        <v>778</v>
      </c>
      <c r="H79" s="248" t="s">
        <v>777</v>
      </c>
    </row>
    <row r="80" spans="1:8">
      <c r="A80" s="246" t="s">
        <v>779</v>
      </c>
      <c r="B80" s="247">
        <v>166</v>
      </c>
      <c r="C80" s="248" t="s">
        <v>780</v>
      </c>
      <c r="D80" s="249" t="s">
        <v>781</v>
      </c>
      <c r="E80" s="249" t="s">
        <v>782</v>
      </c>
      <c r="F80" s="248" t="s">
        <v>783</v>
      </c>
      <c r="G80" s="249" t="s">
        <v>784</v>
      </c>
      <c r="H80" s="248" t="s">
        <v>785</v>
      </c>
    </row>
    <row r="81" spans="1:8">
      <c r="A81" s="246" t="s">
        <v>786</v>
      </c>
      <c r="B81" s="247">
        <v>52</v>
      </c>
      <c r="C81" s="248" t="s">
        <v>527</v>
      </c>
      <c r="D81" s="249" t="s">
        <v>787</v>
      </c>
      <c r="E81" s="249" t="s">
        <v>788</v>
      </c>
      <c r="F81" s="248" t="s">
        <v>579</v>
      </c>
      <c r="G81" s="249" t="s">
        <v>789</v>
      </c>
      <c r="H81" s="248" t="s">
        <v>461</v>
      </c>
    </row>
    <row r="82" spans="1:8">
      <c r="A82" s="246" t="s">
        <v>790</v>
      </c>
      <c r="B82" s="247">
        <v>46</v>
      </c>
      <c r="C82" s="248" t="s">
        <v>577</v>
      </c>
      <c r="D82" s="249" t="s">
        <v>791</v>
      </c>
      <c r="E82" s="249" t="s">
        <v>792</v>
      </c>
      <c r="F82" s="248" t="s">
        <v>793</v>
      </c>
      <c r="G82" s="249" t="s">
        <v>794</v>
      </c>
      <c r="H82" s="248" t="s">
        <v>793</v>
      </c>
    </row>
    <row r="83" spans="1:8">
      <c r="A83" s="246" t="s">
        <v>795</v>
      </c>
      <c r="B83" s="247">
        <v>10</v>
      </c>
      <c r="C83" s="248" t="s">
        <v>527</v>
      </c>
      <c r="D83" s="249" t="s">
        <v>796</v>
      </c>
      <c r="E83" s="249" t="s">
        <v>797</v>
      </c>
      <c r="F83" s="248" t="s">
        <v>513</v>
      </c>
      <c r="G83" s="249" t="s">
        <v>798</v>
      </c>
      <c r="H83" s="248" t="s">
        <v>463</v>
      </c>
    </row>
    <row r="84" spans="1:8">
      <c r="A84" s="246" t="s">
        <v>799</v>
      </c>
      <c r="B84" s="247">
        <v>22</v>
      </c>
      <c r="C84" s="248" t="s">
        <v>477</v>
      </c>
      <c r="D84" s="249" t="s">
        <v>800</v>
      </c>
      <c r="E84" s="249" t="s">
        <v>801</v>
      </c>
      <c r="F84" s="248" t="s">
        <v>631</v>
      </c>
      <c r="G84" s="249" t="s">
        <v>556</v>
      </c>
      <c r="H84" s="248" t="s">
        <v>559</v>
      </c>
    </row>
    <row r="85" spans="1:8">
      <c r="A85" s="246" t="s">
        <v>802</v>
      </c>
      <c r="B85" s="247">
        <v>11</v>
      </c>
      <c r="C85" s="248" t="s">
        <v>483</v>
      </c>
      <c r="D85" s="249" t="s">
        <v>803</v>
      </c>
      <c r="E85" s="249" t="s">
        <v>804</v>
      </c>
      <c r="F85" s="248" t="s">
        <v>805</v>
      </c>
      <c r="G85" s="249" t="s">
        <v>806</v>
      </c>
      <c r="H85" s="248" t="s">
        <v>805</v>
      </c>
    </row>
    <row r="86" spans="1:8">
      <c r="A86" s="246" t="s">
        <v>807</v>
      </c>
      <c r="B86" s="247">
        <v>47</v>
      </c>
      <c r="C86" s="248" t="s">
        <v>808</v>
      </c>
      <c r="D86" s="249" t="s">
        <v>809</v>
      </c>
      <c r="E86" s="249" t="s">
        <v>810</v>
      </c>
      <c r="F86" s="248" t="s">
        <v>513</v>
      </c>
      <c r="G86" s="249" t="s">
        <v>811</v>
      </c>
      <c r="H86" s="248" t="s">
        <v>465</v>
      </c>
    </row>
    <row r="87" spans="1:8">
      <c r="A87" s="246" t="s">
        <v>812</v>
      </c>
      <c r="B87" s="247">
        <v>70</v>
      </c>
      <c r="C87" s="248" t="s">
        <v>756</v>
      </c>
      <c r="D87" s="249" t="s">
        <v>813</v>
      </c>
      <c r="E87" s="249" t="s">
        <v>814</v>
      </c>
      <c r="F87" s="248" t="s">
        <v>588</v>
      </c>
      <c r="G87" s="249" t="s">
        <v>815</v>
      </c>
      <c r="H87" s="248" t="s">
        <v>531</v>
      </c>
    </row>
    <row r="88" spans="1:8">
      <c r="A88" s="246" t="s">
        <v>816</v>
      </c>
      <c r="B88" s="247">
        <v>3</v>
      </c>
      <c r="C88" s="248" t="s">
        <v>670</v>
      </c>
      <c r="D88" s="249" t="s">
        <v>817</v>
      </c>
      <c r="E88" s="249" t="s">
        <v>818</v>
      </c>
      <c r="F88" s="248" t="s">
        <v>598</v>
      </c>
      <c r="G88" s="249" t="s">
        <v>819</v>
      </c>
      <c r="H88" s="248" t="s">
        <v>728</v>
      </c>
    </row>
    <row r="89" spans="1:8">
      <c r="A89" s="246" t="s">
        <v>820</v>
      </c>
      <c r="B89" s="247">
        <v>84</v>
      </c>
      <c r="C89" s="248" t="s">
        <v>699</v>
      </c>
      <c r="D89" s="249" t="s">
        <v>821</v>
      </c>
      <c r="E89" s="249" t="s">
        <v>822</v>
      </c>
      <c r="F89" s="248" t="s">
        <v>454</v>
      </c>
      <c r="G89" s="249" t="s">
        <v>823</v>
      </c>
      <c r="H89" s="248" t="s">
        <v>553</v>
      </c>
    </row>
    <row r="90" spans="1:8">
      <c r="A90" s="246" t="s">
        <v>824</v>
      </c>
      <c r="B90" s="247">
        <v>30</v>
      </c>
      <c r="C90" s="248" t="s">
        <v>472</v>
      </c>
      <c r="D90" s="249" t="s">
        <v>825</v>
      </c>
      <c r="E90" s="249" t="s">
        <v>826</v>
      </c>
      <c r="F90" s="248" t="s">
        <v>557</v>
      </c>
      <c r="G90" s="249" t="s">
        <v>827</v>
      </c>
      <c r="H90" s="248" t="s">
        <v>631</v>
      </c>
    </row>
    <row r="91" spans="1:8">
      <c r="A91" s="246" t="s">
        <v>828</v>
      </c>
      <c r="B91" s="247">
        <v>7</v>
      </c>
      <c r="C91" s="248" t="s">
        <v>522</v>
      </c>
      <c r="D91" s="249" t="s">
        <v>829</v>
      </c>
      <c r="E91" s="249" t="s">
        <v>830</v>
      </c>
      <c r="F91" s="248" t="s">
        <v>513</v>
      </c>
      <c r="G91" s="249" t="s">
        <v>831</v>
      </c>
      <c r="H91" s="248" t="s">
        <v>465</v>
      </c>
    </row>
    <row r="92" spans="1:8">
      <c r="A92" s="246" t="s">
        <v>832</v>
      </c>
      <c r="B92" s="247">
        <v>87</v>
      </c>
      <c r="C92" s="248" t="s">
        <v>612</v>
      </c>
      <c r="D92" s="249" t="s">
        <v>833</v>
      </c>
      <c r="E92" s="249" t="s">
        <v>834</v>
      </c>
      <c r="F92" s="248" t="s">
        <v>456</v>
      </c>
      <c r="G92" s="249" t="s">
        <v>835</v>
      </c>
      <c r="H92" s="248" t="s">
        <v>836</v>
      </c>
    </row>
    <row r="93" spans="1:8">
      <c r="A93" s="246" t="s">
        <v>837</v>
      </c>
      <c r="B93" s="247">
        <v>21</v>
      </c>
      <c r="C93" s="248" t="s">
        <v>783</v>
      </c>
      <c r="D93" s="249" t="s">
        <v>838</v>
      </c>
      <c r="E93" s="249" t="s">
        <v>561</v>
      </c>
      <c r="F93" s="248" t="s">
        <v>594</v>
      </c>
      <c r="G93" s="249" t="s">
        <v>839</v>
      </c>
      <c r="H93" s="248" t="s">
        <v>631</v>
      </c>
    </row>
    <row r="94" spans="1:8">
      <c r="A94" s="246" t="s">
        <v>840</v>
      </c>
      <c r="B94" s="247">
        <v>21</v>
      </c>
      <c r="C94" s="248" t="s">
        <v>633</v>
      </c>
      <c r="D94" s="249" t="s">
        <v>841</v>
      </c>
      <c r="E94" s="249" t="s">
        <v>842</v>
      </c>
      <c r="F94" s="248" t="s">
        <v>843</v>
      </c>
      <c r="G94" s="249" t="s">
        <v>844</v>
      </c>
      <c r="H94" s="248" t="s">
        <v>497</v>
      </c>
    </row>
    <row r="95" spans="1:8">
      <c r="A95" s="246" t="s">
        <v>845</v>
      </c>
      <c r="B95" s="247">
        <v>47</v>
      </c>
      <c r="C95" s="248" t="s">
        <v>451</v>
      </c>
      <c r="D95" s="249" t="s">
        <v>507</v>
      </c>
      <c r="E95" s="249" t="s">
        <v>846</v>
      </c>
      <c r="F95" s="248" t="s">
        <v>477</v>
      </c>
      <c r="G95" s="249" t="s">
        <v>847</v>
      </c>
      <c r="H95" s="248" t="s">
        <v>520</v>
      </c>
    </row>
    <row r="96" spans="1:8">
      <c r="A96" s="246" t="s">
        <v>848</v>
      </c>
      <c r="B96" s="247">
        <v>137</v>
      </c>
      <c r="C96" s="248" t="s">
        <v>477</v>
      </c>
      <c r="D96" s="249" t="s">
        <v>849</v>
      </c>
      <c r="E96" s="249" t="s">
        <v>850</v>
      </c>
      <c r="F96" s="248" t="s">
        <v>547</v>
      </c>
      <c r="G96" s="249" t="s">
        <v>851</v>
      </c>
      <c r="H96" s="248" t="s">
        <v>577</v>
      </c>
    </row>
    <row r="97" spans="1:8">
      <c r="A97" s="246" t="s">
        <v>852</v>
      </c>
      <c r="B97" s="247">
        <v>4</v>
      </c>
      <c r="C97" s="248" t="s">
        <v>538</v>
      </c>
      <c r="D97" s="249" t="s">
        <v>853</v>
      </c>
      <c r="E97" s="249" t="s">
        <v>854</v>
      </c>
      <c r="F97" s="248" t="s">
        <v>430</v>
      </c>
      <c r="G97" s="249" t="s">
        <v>730</v>
      </c>
      <c r="H97" s="248" t="s">
        <v>631</v>
      </c>
    </row>
    <row r="98" spans="1:8">
      <c r="A98" s="246" t="s">
        <v>855</v>
      </c>
      <c r="B98" s="247">
        <v>104</v>
      </c>
      <c r="C98" s="248" t="s">
        <v>624</v>
      </c>
      <c r="D98" s="249" t="s">
        <v>731</v>
      </c>
      <c r="E98" s="249" t="s">
        <v>856</v>
      </c>
      <c r="F98" s="248" t="s">
        <v>588</v>
      </c>
      <c r="G98" s="249" t="s">
        <v>857</v>
      </c>
      <c r="H98" s="248" t="s">
        <v>510</v>
      </c>
    </row>
    <row r="99" spans="1:8">
      <c r="A99" s="246" t="s">
        <v>858</v>
      </c>
      <c r="B99" s="247">
        <v>51</v>
      </c>
      <c r="C99" s="248" t="s">
        <v>859</v>
      </c>
      <c r="D99" s="249" t="s">
        <v>860</v>
      </c>
      <c r="E99" s="249" t="s">
        <v>861</v>
      </c>
      <c r="F99" s="248" t="s">
        <v>527</v>
      </c>
      <c r="G99" s="249" t="s">
        <v>862</v>
      </c>
      <c r="H99" s="248" t="s">
        <v>709</v>
      </c>
    </row>
    <row r="100" spans="1:8">
      <c r="A100" s="246" t="s">
        <v>863</v>
      </c>
      <c r="B100" s="247">
        <v>14</v>
      </c>
      <c r="C100" s="248" t="s">
        <v>864</v>
      </c>
      <c r="D100" s="249" t="s">
        <v>865</v>
      </c>
      <c r="E100" s="249" t="s">
        <v>866</v>
      </c>
      <c r="F100" s="248" t="s">
        <v>463</v>
      </c>
      <c r="G100" s="249" t="s">
        <v>867</v>
      </c>
      <c r="H100" s="248" t="s">
        <v>465</v>
      </c>
    </row>
    <row r="101" spans="1:8">
      <c r="A101" s="246" t="s">
        <v>868</v>
      </c>
      <c r="B101" s="247">
        <v>14</v>
      </c>
      <c r="C101" s="248" t="s">
        <v>432</v>
      </c>
      <c r="D101" s="249" t="s">
        <v>869</v>
      </c>
      <c r="E101" s="249" t="s">
        <v>870</v>
      </c>
      <c r="F101" s="248" t="s">
        <v>577</v>
      </c>
      <c r="G101" s="249" t="s">
        <v>871</v>
      </c>
      <c r="H101" s="248" t="s">
        <v>633</v>
      </c>
    </row>
    <row r="102" spans="1:8">
      <c r="A102" s="246" t="s">
        <v>872</v>
      </c>
      <c r="B102" s="247">
        <v>37</v>
      </c>
      <c r="C102" s="248" t="s">
        <v>624</v>
      </c>
      <c r="D102" s="249" t="s">
        <v>873</v>
      </c>
      <c r="E102" s="249" t="s">
        <v>874</v>
      </c>
      <c r="F102" s="248" t="s">
        <v>559</v>
      </c>
      <c r="G102" s="249" t="s">
        <v>875</v>
      </c>
      <c r="H102" s="248" t="s">
        <v>513</v>
      </c>
    </row>
    <row r="103" spans="1:8">
      <c r="A103" s="246" t="s">
        <v>876</v>
      </c>
      <c r="B103" s="247">
        <v>28</v>
      </c>
      <c r="C103" s="248" t="s">
        <v>774</v>
      </c>
      <c r="D103" s="249" t="s">
        <v>877</v>
      </c>
      <c r="E103" s="249" t="s">
        <v>878</v>
      </c>
      <c r="F103" s="248" t="s">
        <v>879</v>
      </c>
      <c r="G103" s="249" t="s">
        <v>772</v>
      </c>
      <c r="H103" s="248" t="s">
        <v>500</v>
      </c>
    </row>
    <row r="104" spans="1:8">
      <c r="A104" s="246" t="s">
        <v>880</v>
      </c>
      <c r="B104" s="247">
        <v>131</v>
      </c>
      <c r="C104" s="248" t="s">
        <v>510</v>
      </c>
      <c r="D104" s="249" t="s">
        <v>881</v>
      </c>
      <c r="E104" s="249" t="s">
        <v>882</v>
      </c>
      <c r="F104" s="248" t="s">
        <v>584</v>
      </c>
      <c r="G104" s="249" t="s">
        <v>883</v>
      </c>
      <c r="H104" s="248" t="s">
        <v>531</v>
      </c>
    </row>
    <row r="105" spans="1:8">
      <c r="A105" s="246" t="s">
        <v>884</v>
      </c>
      <c r="B105" s="247">
        <v>82</v>
      </c>
      <c r="C105" s="248" t="s">
        <v>465</v>
      </c>
      <c r="D105" s="249" t="s">
        <v>885</v>
      </c>
      <c r="E105" s="249" t="s">
        <v>886</v>
      </c>
      <c r="F105" s="248" t="s">
        <v>843</v>
      </c>
      <c r="G105" s="249" t="s">
        <v>887</v>
      </c>
      <c r="H105" s="248" t="s">
        <v>429</v>
      </c>
    </row>
    <row r="106" spans="1:8">
      <c r="A106" s="246" t="s">
        <v>888</v>
      </c>
      <c r="B106" s="247">
        <v>223</v>
      </c>
      <c r="C106" s="248" t="s">
        <v>889</v>
      </c>
      <c r="D106" s="249" t="s">
        <v>890</v>
      </c>
      <c r="E106" s="249" t="s">
        <v>891</v>
      </c>
      <c r="F106" s="248" t="s">
        <v>892</v>
      </c>
      <c r="G106" s="249" t="s">
        <v>893</v>
      </c>
      <c r="H106" s="248" t="s">
        <v>890</v>
      </c>
    </row>
    <row r="107" spans="1:8">
      <c r="A107" s="246" t="s">
        <v>894</v>
      </c>
      <c r="B107" s="247">
        <v>12</v>
      </c>
      <c r="C107" s="248" t="s">
        <v>465</v>
      </c>
      <c r="D107" s="249" t="s">
        <v>895</v>
      </c>
      <c r="E107" s="249" t="s">
        <v>896</v>
      </c>
      <c r="F107" s="248" t="s">
        <v>631</v>
      </c>
      <c r="G107" s="249" t="s">
        <v>897</v>
      </c>
      <c r="H107" s="248" t="s">
        <v>432</v>
      </c>
    </row>
    <row r="108" spans="1:8">
      <c r="A108" s="246" t="s">
        <v>898</v>
      </c>
      <c r="B108" s="247">
        <v>22</v>
      </c>
      <c r="C108" s="248" t="s">
        <v>458</v>
      </c>
      <c r="D108" s="249" t="s">
        <v>899</v>
      </c>
      <c r="E108" s="249" t="s">
        <v>900</v>
      </c>
      <c r="F108" s="248" t="s">
        <v>699</v>
      </c>
      <c r="G108" s="249" t="s">
        <v>901</v>
      </c>
      <c r="H108" s="248" t="s">
        <v>463</v>
      </c>
    </row>
    <row r="109" spans="1:8">
      <c r="A109" s="246" t="s">
        <v>902</v>
      </c>
      <c r="B109" s="247">
        <v>28</v>
      </c>
      <c r="C109" s="248" t="s">
        <v>506</v>
      </c>
      <c r="D109" s="249" t="s">
        <v>903</v>
      </c>
      <c r="E109" s="249" t="s">
        <v>676</v>
      </c>
      <c r="F109" s="248" t="s">
        <v>547</v>
      </c>
      <c r="G109" s="249" t="s">
        <v>904</v>
      </c>
      <c r="H109" s="248" t="s">
        <v>594</v>
      </c>
    </row>
    <row r="110" spans="1:8">
      <c r="A110" s="246" t="s">
        <v>905</v>
      </c>
      <c r="B110" s="247">
        <v>20</v>
      </c>
      <c r="C110" s="248" t="s">
        <v>670</v>
      </c>
      <c r="D110" s="249" t="s">
        <v>906</v>
      </c>
      <c r="E110" s="249" t="s">
        <v>907</v>
      </c>
      <c r="F110" s="248" t="s">
        <v>908</v>
      </c>
      <c r="G110" s="249" t="s">
        <v>909</v>
      </c>
      <c r="H110" s="248" t="s">
        <v>908</v>
      </c>
    </row>
    <row r="111" spans="1:8">
      <c r="A111" s="246" t="s">
        <v>910</v>
      </c>
      <c r="B111" s="247">
        <v>20</v>
      </c>
      <c r="C111" s="248" t="s">
        <v>547</v>
      </c>
      <c r="D111" s="249" t="s">
        <v>911</v>
      </c>
      <c r="E111" s="249" t="s">
        <v>680</v>
      </c>
      <c r="F111" s="248" t="s">
        <v>748</v>
      </c>
      <c r="G111" s="249" t="s">
        <v>912</v>
      </c>
      <c r="H111" s="248" t="s">
        <v>748</v>
      </c>
    </row>
    <row r="112" spans="1:8">
      <c r="A112" s="254" t="s">
        <v>913</v>
      </c>
      <c r="B112" s="255">
        <v>7766</v>
      </c>
      <c r="C112" s="256" t="s">
        <v>458</v>
      </c>
      <c r="D112" s="257" t="s">
        <v>914</v>
      </c>
      <c r="E112" s="257" t="s">
        <v>915</v>
      </c>
      <c r="F112" s="256" t="s">
        <v>717</v>
      </c>
      <c r="G112" s="257" t="s">
        <v>916</v>
      </c>
      <c r="H112" s="256" t="s">
        <v>917</v>
      </c>
    </row>
    <row r="114" spans="1:6">
      <c r="A114" s="239" t="s">
        <v>918</v>
      </c>
      <c r="F114" s="258">
        <v>1.1299999999999999</v>
      </c>
    </row>
  </sheetData>
  <phoneticPr fontId="65" type="noConversion"/>
  <hyperlinks>
    <hyperlink ref="B7" r:id="rId1" display="http://www.stern.nyu.edu/~adamodar/pc/datasets/betas.xls"/>
    <hyperlink ref="B9" r:id="rId2" display="http://pages.stern.nyu.edu/~adamodar/New_Home_Page/datafile/variable.htm"/>
    <hyperlink ref="B12" r:id="rId3" display="http://www.stern.nyu.edu/~adamodar/pc/datasets/indname.xls"/>
  </hyperlinks>
  <printOptions gridLinesSet="0"/>
  <pageMargins left="0.75" right="0.75" top="1" bottom="1" header="0.5" footer="0.5"/>
  <headerFooter>
    <oddHeader>&amp;A</oddHeader>
    <oddFooter>Page &amp;P</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19</vt:i4>
      </vt:variant>
    </vt:vector>
  </HeadingPairs>
  <TitlesOfParts>
    <vt:vector size="52" baseType="lpstr">
      <vt:lpstr>Valoraciones</vt:lpstr>
      <vt:lpstr>Tabla Comparación</vt:lpstr>
      <vt:lpstr>Proyecciones</vt:lpstr>
      <vt:lpstr>Balance</vt:lpstr>
      <vt:lpstr>Resultados</vt:lpstr>
      <vt:lpstr>Resultados%</vt:lpstr>
      <vt:lpstr>KWOp.%</vt:lpstr>
      <vt:lpstr>FCL</vt:lpstr>
      <vt:lpstr>Betas</vt:lpstr>
      <vt:lpstr>Returns by Year</vt:lpstr>
      <vt:lpstr>WACC</vt:lpstr>
      <vt:lpstr>PasivoFciero</vt:lpstr>
      <vt:lpstr>Sup Macroec</vt:lpstr>
      <vt:lpstr>Indicadores</vt:lpstr>
      <vt:lpstr>Historico Ingresos</vt:lpstr>
      <vt:lpstr>Anex Proyecc</vt:lpstr>
      <vt:lpstr>Proyecc Deuda</vt:lpstr>
      <vt:lpstr>Conv DTF</vt:lpstr>
      <vt:lpstr>CapitalFijo</vt:lpstr>
      <vt:lpstr>Impuestos</vt:lpstr>
      <vt:lpstr>Proyecc Imptos</vt:lpstr>
      <vt:lpstr>KWOp.</vt:lpstr>
      <vt:lpstr>CreaciónVr.</vt:lpstr>
      <vt:lpstr>AnalVr.</vt:lpstr>
      <vt:lpstr>AnalVr.Proy.</vt:lpstr>
      <vt:lpstr>Proy.Cifras</vt:lpstr>
      <vt:lpstr>VPN Cascada</vt:lpstr>
      <vt:lpstr>Libor</vt:lpstr>
      <vt:lpstr>Generadores</vt:lpstr>
      <vt:lpstr>Proy.WACC</vt:lpstr>
      <vt:lpstr>Proy.FCL</vt:lpstr>
      <vt:lpstr>Risk</vt:lpstr>
      <vt:lpstr>Links</vt:lpstr>
      <vt:lpstr>AnalVr.</vt:lpstr>
      <vt:lpstr>AnalVr.Proy.</vt:lpstr>
      <vt:lpstr>Proy.Cifras!Área_de_impresión</vt:lpstr>
      <vt:lpstr>BG</vt:lpstr>
      <vt:lpstr>CapitalFijo</vt:lpstr>
      <vt:lpstr>CreaciónVr.</vt:lpstr>
      <vt:lpstr>ER</vt:lpstr>
      <vt:lpstr>FCL</vt:lpstr>
      <vt:lpstr>Generadores</vt:lpstr>
      <vt:lpstr>Imptos.</vt:lpstr>
      <vt:lpstr>KWOp.</vt:lpstr>
      <vt:lpstr>PASIVOFCIERO</vt:lpstr>
      <vt:lpstr>Proy.Cifras</vt:lpstr>
      <vt:lpstr>Proy.FCL</vt:lpstr>
      <vt:lpstr>FCL!Títulos_a_imprimir</vt:lpstr>
      <vt:lpstr>Proy.FCL!Títulos_a_imprimir</vt:lpstr>
      <vt:lpstr>Valoraciones!Títulos_a_imprimir</vt:lpstr>
      <vt:lpstr>Valoraciones</vt:lpstr>
      <vt:lpstr>WACC</vt:lpstr>
    </vt:vector>
  </TitlesOfParts>
  <Company>EAFIT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oema</dc:creator>
  <cp:lastModifiedBy>Alejandro.Furque</cp:lastModifiedBy>
  <cp:lastPrinted>2008-08-15T17:55:19Z</cp:lastPrinted>
  <dcterms:created xsi:type="dcterms:W3CDTF">1996-09-02T21:19:22Z</dcterms:created>
  <dcterms:modified xsi:type="dcterms:W3CDTF">2014-07-30T03:24:20Z</dcterms:modified>
</cp:coreProperties>
</file>