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omments1.xml" ContentType="application/vnd.openxmlformats-officedocument.spreadsheetml.comments+xml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pxm1027a\Downloads\TRABAJO DE GRADO FINAL\"/>
    </mc:Choice>
  </mc:AlternateContent>
  <xr:revisionPtr revIDLastSave="0" documentId="13_ncr:1_{13E3C4E7-4A1A-4585-B82A-7BE8EB62693A}" xr6:coauthVersionLast="47" xr6:coauthVersionMax="47" xr10:uidLastSave="{00000000-0000-0000-0000-000000000000}"/>
  <bookViews>
    <workbookView xWindow="-110" yWindow="-110" windowWidth="19420" windowHeight="11620" tabRatio="895" xr2:uid="{00000000-000D-0000-FFFF-FFFF00000000}"/>
  </bookViews>
  <sheets>
    <sheet name="Resumen de Anexos " sheetId="37" r:id="rId1"/>
    <sheet name="Sección 1. " sheetId="14" r:id="rId2"/>
    <sheet name="Tabla A1." sheetId="19" r:id="rId3"/>
    <sheet name="Tabla A2." sheetId="20" r:id="rId4"/>
    <sheet name="Tabla A3." sheetId="21" r:id="rId5"/>
    <sheet name="Tabla A4." sheetId="24" r:id="rId6"/>
    <sheet name="Tabla A5." sheetId="25" r:id="rId7"/>
    <sheet name="Tabla A6." sheetId="30" r:id="rId8"/>
    <sheet name="Tabla A7." sheetId="36" r:id="rId9"/>
    <sheet name="Tabla TN1." sheetId="15" r:id="rId10"/>
    <sheet name=" Tabla TNA1." sheetId="28" r:id="rId11"/>
    <sheet name="Tabla TNA2." sheetId="34" r:id="rId12"/>
    <sheet name="Tabla A1. Formulado" sheetId="1" r:id="rId13"/>
    <sheet name="Tabla A2. Formulado" sheetId="2" r:id="rId14"/>
    <sheet name="Tabla A3. Formulado" sheetId="3" r:id="rId15"/>
    <sheet name="Tabla A4. Formulado" sheetId="23" r:id="rId16"/>
    <sheet name="Tabla A5. Formulado" sheetId="22" r:id="rId17"/>
    <sheet name="TNA1. Formulado" sheetId="26" r:id="rId18"/>
    <sheet name="TNA2. Formulado " sheetId="29" r:id="rId19"/>
    <sheet name="Indicadores Tradicionales" sheetId="5" r:id="rId20"/>
    <sheet name="Indicadores Estratégicos" sheetId="7" r:id="rId21"/>
    <sheet name="Sección 2" sheetId="35" r:id="rId22"/>
    <sheet name="Calculo WACC" sheetId="11" r:id="rId23"/>
    <sheet name="Analysis (Yahoo Finance)" sheetId="10" r:id="rId24"/>
    <sheet name="Weekly Quotes (Yahoo Finance)" sheetId="12" r:id="rId25"/>
    <sheet name="Sección 3. " sheetId="17" r:id="rId26"/>
    <sheet name="TN7. Analisis de Opc. de Fin. " sheetId="32" r:id="rId27"/>
    <sheet name="Calculo WACC Opc. de Fin. " sheetId="33" r:id="rId28"/>
  </sheets>
  <definedNames>
    <definedName name="_xlnm._FilterDatabase" localSheetId="11" hidden="1">'Tabla TNA2.'!$B$5:$E$23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61" i="33" l="1"/>
  <c r="G61" i="33"/>
  <c r="F61" i="33"/>
  <c r="E61" i="33"/>
  <c r="D61" i="33"/>
  <c r="C61" i="33"/>
  <c r="B61" i="33"/>
  <c r="H41" i="33"/>
  <c r="G41" i="33"/>
  <c r="F41" i="33"/>
  <c r="E41" i="33"/>
  <c r="D41" i="33"/>
  <c r="C41" i="33"/>
  <c r="B41" i="33"/>
  <c r="H40" i="33"/>
  <c r="G40" i="33"/>
  <c r="F40" i="33"/>
  <c r="E40" i="33"/>
  <c r="D40" i="33"/>
  <c r="C40" i="33"/>
  <c r="B40" i="33"/>
  <c r="H56" i="33"/>
  <c r="G56" i="33"/>
  <c r="F56" i="33"/>
  <c r="E56" i="33"/>
  <c r="D56" i="33"/>
  <c r="C56" i="33"/>
  <c r="B56" i="33"/>
  <c r="H38" i="33"/>
  <c r="G38" i="33"/>
  <c r="F38" i="33"/>
  <c r="E38" i="33"/>
  <c r="D38" i="33"/>
  <c r="C38" i="33"/>
  <c r="B38" i="33"/>
  <c r="H37" i="33"/>
  <c r="G37" i="33"/>
  <c r="F37" i="33"/>
  <c r="E37" i="33"/>
  <c r="D37" i="33"/>
  <c r="C37" i="33"/>
  <c r="B37" i="33"/>
  <c r="H36" i="33"/>
  <c r="G36" i="33"/>
  <c r="F36" i="33"/>
  <c r="E36" i="33"/>
  <c r="D36" i="33"/>
  <c r="C36" i="33"/>
  <c r="B36" i="33"/>
  <c r="H35" i="33"/>
  <c r="G35" i="33"/>
  <c r="F35" i="33"/>
  <c r="E35" i="33"/>
  <c r="D35" i="33"/>
  <c r="C35" i="33"/>
  <c r="B35" i="33"/>
  <c r="H33" i="33"/>
  <c r="F33" i="33"/>
  <c r="E33" i="33"/>
  <c r="D33" i="33"/>
  <c r="C33" i="33"/>
  <c r="B33" i="33"/>
  <c r="D6" i="10"/>
  <c r="B53" i="11"/>
  <c r="D53" i="11" s="1"/>
  <c r="B58" i="11"/>
  <c r="E58" i="11" s="1"/>
  <c r="B38" i="11"/>
  <c r="B37" i="11"/>
  <c r="E37" i="11" s="1"/>
  <c r="B35" i="11"/>
  <c r="B34" i="11"/>
  <c r="B33" i="11"/>
  <c r="B32" i="11"/>
  <c r="B30" i="11"/>
  <c r="H13" i="5"/>
  <c r="F9" i="15" s="1"/>
  <c r="F7" i="15"/>
  <c r="F66" i="33"/>
  <c r="F76" i="33"/>
  <c r="G76" i="33"/>
  <c r="H76" i="33"/>
  <c r="E76" i="33"/>
  <c r="D76" i="33"/>
  <c r="C76" i="33"/>
  <c r="B76" i="33"/>
  <c r="H49" i="33"/>
  <c r="H50" i="33"/>
  <c r="H66" i="33"/>
  <c r="H72" i="33"/>
  <c r="H74" i="33"/>
  <c r="G74" i="33"/>
  <c r="G50" i="33"/>
  <c r="G49" i="33"/>
  <c r="G66" i="33"/>
  <c r="G72" i="33"/>
  <c r="F72" i="33"/>
  <c r="E72" i="33"/>
  <c r="F74" i="33"/>
  <c r="F50" i="33"/>
  <c r="F49" i="33"/>
  <c r="E74" i="33"/>
  <c r="E50" i="33"/>
  <c r="C74" i="33"/>
  <c r="D74" i="33"/>
  <c r="B74" i="33"/>
  <c r="C87" i="33"/>
  <c r="B87" i="33"/>
  <c r="C72" i="33"/>
  <c r="D72" i="33"/>
  <c r="B72" i="33"/>
  <c r="C71" i="33"/>
  <c r="B71" i="33"/>
  <c r="C85" i="33"/>
  <c r="B85" i="33"/>
  <c r="E66" i="33"/>
  <c r="C83" i="33"/>
  <c r="B83" i="33"/>
  <c r="C81" i="33"/>
  <c r="B81" i="33"/>
  <c r="C68" i="33"/>
  <c r="C70" i="33" s="1"/>
  <c r="E12" i="32" s="1"/>
  <c r="B68" i="33"/>
  <c r="B70" i="33" s="1"/>
  <c r="C12" i="32" s="1"/>
  <c r="H4" i="7"/>
  <c r="B23" i="29"/>
  <c r="B21" i="29" s="1"/>
  <c r="G45" i="26"/>
  <c r="G36" i="26"/>
  <c r="G46" i="26" s="1"/>
  <c r="G24" i="26"/>
  <c r="G15" i="26"/>
  <c r="F23" i="28"/>
  <c r="D23" i="28"/>
  <c r="C23" i="28"/>
  <c r="E22" i="28"/>
  <c r="G22" i="28" s="1"/>
  <c r="E21" i="28"/>
  <c r="G21" i="28" s="1"/>
  <c r="E20" i="28"/>
  <c r="G20" i="28" s="1"/>
  <c r="E19" i="28"/>
  <c r="G19" i="28" s="1"/>
  <c r="E18" i="28"/>
  <c r="G18" i="28" s="1"/>
  <c r="E17" i="28"/>
  <c r="G17" i="28" s="1"/>
  <c r="E16" i="28"/>
  <c r="G16" i="28" s="1"/>
  <c r="F14" i="28"/>
  <c r="D14" i="28"/>
  <c r="C14" i="28"/>
  <c r="E13" i="28"/>
  <c r="G13" i="28" s="1"/>
  <c r="E12" i="28"/>
  <c r="G12" i="28" s="1"/>
  <c r="E11" i="28"/>
  <c r="G11" i="28" s="1"/>
  <c r="E10" i="28"/>
  <c r="G10" i="28" s="1"/>
  <c r="E9" i="28"/>
  <c r="G9" i="28" s="1"/>
  <c r="E8" i="28"/>
  <c r="G8" i="28" s="1"/>
  <c r="E7" i="28"/>
  <c r="G7" i="28" s="1"/>
  <c r="J8" i="1"/>
  <c r="D8" i="26"/>
  <c r="F8" i="26"/>
  <c r="B18" i="29"/>
  <c r="B16" i="29"/>
  <c r="D16" i="29" s="1"/>
  <c r="J15" i="2" s="1"/>
  <c r="B15" i="29"/>
  <c r="D15" i="29" s="1"/>
  <c r="J14" i="2" s="1"/>
  <c r="B14" i="29"/>
  <c r="D14" i="29" s="1"/>
  <c r="J13" i="2" s="1"/>
  <c r="B6" i="29"/>
  <c r="B20" i="29" s="1"/>
  <c r="D10" i="30"/>
  <c r="E10" i="30"/>
  <c r="B12" i="29" s="1"/>
  <c r="D12" i="30"/>
  <c r="E12" i="30"/>
  <c r="D49" i="33"/>
  <c r="C65" i="33"/>
  <c r="C66" i="33"/>
  <c r="C20" i="7"/>
  <c r="D20" i="7"/>
  <c r="E20" i="7"/>
  <c r="F20" i="7"/>
  <c r="G20" i="7"/>
  <c r="E31" i="15" s="1"/>
  <c r="H20" i="7"/>
  <c r="F31" i="15" s="1"/>
  <c r="B20" i="7"/>
  <c r="B15" i="7"/>
  <c r="B66" i="33"/>
  <c r="B65" i="33"/>
  <c r="B50" i="33"/>
  <c r="B49" i="33"/>
  <c r="C49" i="33"/>
  <c r="E49" i="33"/>
  <c r="K6" i="33"/>
  <c r="L6" i="33"/>
  <c r="M6" i="33"/>
  <c r="N6" i="33" s="1"/>
  <c r="K7" i="33"/>
  <c r="L7" i="33"/>
  <c r="M7" i="33"/>
  <c r="N7" i="33" s="1"/>
  <c r="K8" i="33"/>
  <c r="L8" i="33"/>
  <c r="M8" i="33"/>
  <c r="N8" i="33" s="1"/>
  <c r="K9" i="33"/>
  <c r="L9" i="33"/>
  <c r="M9" i="33"/>
  <c r="N9" i="33" s="1"/>
  <c r="K10" i="33"/>
  <c r="L10" i="33"/>
  <c r="M10" i="33"/>
  <c r="N10" i="33" s="1"/>
  <c r="F30" i="15"/>
  <c r="E30" i="15"/>
  <c r="C16" i="7"/>
  <c r="D16" i="7"/>
  <c r="E16" i="7"/>
  <c r="F16" i="7"/>
  <c r="G16" i="7"/>
  <c r="H16" i="7"/>
  <c r="B16" i="7"/>
  <c r="B13" i="29"/>
  <c r="J21" i="2"/>
  <c r="D22" i="29"/>
  <c r="T17" i="2"/>
  <c r="D18" i="29"/>
  <c r="J17" i="2" s="1"/>
  <c r="B17" i="29"/>
  <c r="D17" i="29" s="1"/>
  <c r="J16" i="2" s="1"/>
  <c r="D13" i="29"/>
  <c r="J12" i="2" s="1"/>
  <c r="T21" i="2"/>
  <c r="S21" i="2"/>
  <c r="R21" i="2"/>
  <c r="Q21" i="2"/>
  <c r="P21" i="2"/>
  <c r="O21" i="2"/>
  <c r="N21" i="2"/>
  <c r="M21" i="2"/>
  <c r="T19" i="2"/>
  <c r="S19" i="2"/>
  <c r="R19" i="2"/>
  <c r="Q19" i="2"/>
  <c r="P19" i="2"/>
  <c r="O19" i="2"/>
  <c r="N19" i="2"/>
  <c r="M19" i="2"/>
  <c r="S17" i="2"/>
  <c r="R17" i="2"/>
  <c r="Q17" i="2"/>
  <c r="P17" i="2"/>
  <c r="O17" i="2"/>
  <c r="N17" i="2"/>
  <c r="M17" i="2"/>
  <c r="T16" i="2"/>
  <c r="S16" i="2"/>
  <c r="R16" i="2"/>
  <c r="Q16" i="2"/>
  <c r="P16" i="2"/>
  <c r="O16" i="2"/>
  <c r="N16" i="2"/>
  <c r="M16" i="2"/>
  <c r="T15" i="2"/>
  <c r="S15" i="2"/>
  <c r="R15" i="2"/>
  <c r="Q15" i="2"/>
  <c r="P15" i="2"/>
  <c r="O15" i="2"/>
  <c r="N15" i="2"/>
  <c r="M15" i="2"/>
  <c r="T14" i="2"/>
  <c r="S14" i="2"/>
  <c r="R14" i="2"/>
  <c r="Q14" i="2"/>
  <c r="P14" i="2"/>
  <c r="O14" i="2"/>
  <c r="N14" i="2"/>
  <c r="M14" i="2"/>
  <c r="T13" i="2"/>
  <c r="S13" i="2"/>
  <c r="R13" i="2"/>
  <c r="Q13" i="2"/>
  <c r="P13" i="2"/>
  <c r="O13" i="2"/>
  <c r="N13" i="2"/>
  <c r="M13" i="2"/>
  <c r="T12" i="2"/>
  <c r="S12" i="2"/>
  <c r="R12" i="2"/>
  <c r="Q12" i="2"/>
  <c r="P12" i="2"/>
  <c r="O12" i="2"/>
  <c r="N12" i="2"/>
  <c r="M12" i="2"/>
  <c r="T10" i="2"/>
  <c r="S10" i="2"/>
  <c r="R10" i="2"/>
  <c r="Q10" i="2"/>
  <c r="P10" i="2"/>
  <c r="O10" i="2"/>
  <c r="N10" i="2"/>
  <c r="M10" i="2"/>
  <c r="T9" i="2"/>
  <c r="S9" i="2"/>
  <c r="R9" i="2"/>
  <c r="Q9" i="2"/>
  <c r="P9" i="2"/>
  <c r="O9" i="2"/>
  <c r="N9" i="2"/>
  <c r="M9" i="2"/>
  <c r="T8" i="2"/>
  <c r="S8" i="2"/>
  <c r="R8" i="2"/>
  <c r="Q8" i="2"/>
  <c r="P8" i="2"/>
  <c r="O8" i="2"/>
  <c r="N8" i="2"/>
  <c r="M8" i="2"/>
  <c r="M6" i="2"/>
  <c r="T6" i="2"/>
  <c r="S6" i="2"/>
  <c r="R6" i="2"/>
  <c r="Q6" i="2"/>
  <c r="P6" i="2"/>
  <c r="O6" i="2"/>
  <c r="N7" i="2"/>
  <c r="N6" i="2"/>
  <c r="C53" i="11" l="1"/>
  <c r="E53" i="11"/>
  <c r="C58" i="11"/>
  <c r="C37" i="11"/>
  <c r="D58" i="11"/>
  <c r="G52" i="33"/>
  <c r="H6" i="32" s="1"/>
  <c r="C24" i="28"/>
  <c r="D24" i="28"/>
  <c r="F24" i="28"/>
  <c r="E23" i="28"/>
  <c r="C73" i="33"/>
  <c r="E9" i="32" s="1"/>
  <c r="B88" i="33"/>
  <c r="B43" i="33"/>
  <c r="H39" i="33"/>
  <c r="H42" i="33" s="1"/>
  <c r="C43" i="33"/>
  <c r="B84" i="33"/>
  <c r="B86" i="33"/>
  <c r="H51" i="33"/>
  <c r="H57" i="33" s="1"/>
  <c r="I4" i="32" s="1"/>
  <c r="B75" i="33"/>
  <c r="C10" i="32" s="1"/>
  <c r="H43" i="33"/>
  <c r="B82" i="33"/>
  <c r="C77" i="33"/>
  <c r="E11" i="32" s="1"/>
  <c r="E44" i="33"/>
  <c r="E45" i="33" s="1"/>
  <c r="C69" i="33"/>
  <c r="E13" i="32" s="1"/>
  <c r="B73" i="33"/>
  <c r="C9" i="32" s="1"/>
  <c r="G39" i="33"/>
  <c r="G59" i="33" s="1"/>
  <c r="H44" i="33"/>
  <c r="H45" i="33" s="1"/>
  <c r="B77" i="33"/>
  <c r="C11" i="32" s="1"/>
  <c r="C75" i="33"/>
  <c r="E10" i="32" s="1"/>
  <c r="B19" i="29"/>
  <c r="B69" i="33"/>
  <c r="C13" i="32" s="1"/>
  <c r="G44" i="33"/>
  <c r="G45" i="33" s="1"/>
  <c r="G43" i="33"/>
  <c r="G51" i="33"/>
  <c r="G58" i="33" s="1"/>
  <c r="H5" i="32" s="1"/>
  <c r="H52" i="33"/>
  <c r="I6" i="32" s="1"/>
  <c r="G25" i="26"/>
  <c r="G47" i="26" s="1"/>
  <c r="G48" i="26" s="1"/>
  <c r="G23" i="28"/>
  <c r="G14" i="28"/>
  <c r="G24" i="28" s="1"/>
  <c r="E14" i="28"/>
  <c r="D20" i="29"/>
  <c r="J19" i="2" s="1"/>
  <c r="D43" i="33"/>
  <c r="C39" i="33"/>
  <c r="C59" i="33" s="1"/>
  <c r="C62" i="33" s="1"/>
  <c r="D44" i="33"/>
  <c r="D45" i="33" s="1"/>
  <c r="F44" i="33"/>
  <c r="F45" i="33" s="1"/>
  <c r="C44" i="33"/>
  <c r="C45" i="33" s="1"/>
  <c r="O9" i="33" s="1"/>
  <c r="F39" i="33"/>
  <c r="D39" i="33"/>
  <c r="C67" i="33"/>
  <c r="E8" i="32" s="1"/>
  <c r="F43" i="33"/>
  <c r="E43" i="33"/>
  <c r="E39" i="33"/>
  <c r="B51" i="33"/>
  <c r="B58" i="33" s="1"/>
  <c r="C5" i="32" s="1"/>
  <c r="B44" i="33"/>
  <c r="B45" i="33" s="1"/>
  <c r="B39" i="33"/>
  <c r="B42" i="33" s="1"/>
  <c r="B67" i="33"/>
  <c r="C8" i="32" s="1"/>
  <c r="B52" i="33"/>
  <c r="C6" i="32" s="1"/>
  <c r="M11" i="33"/>
  <c r="N11" i="33" s="1"/>
  <c r="B7" i="29"/>
  <c r="B8" i="29" s="1"/>
  <c r="D6" i="29"/>
  <c r="J5" i="2" s="1"/>
  <c r="E24" i="28" l="1"/>
  <c r="E68" i="33"/>
  <c r="E69" i="33" s="1"/>
  <c r="F13" i="32" s="1"/>
  <c r="G71" i="33"/>
  <c r="G73" i="33" s="1"/>
  <c r="H9" i="32" s="1"/>
  <c r="H58" i="33"/>
  <c r="I5" i="32" s="1"/>
  <c r="G42" i="33"/>
  <c r="H59" i="33"/>
  <c r="H62" i="33" s="1"/>
  <c r="E65" i="33"/>
  <c r="E77" i="33" s="1"/>
  <c r="F11" i="32" s="1"/>
  <c r="F68" i="33"/>
  <c r="F70" i="33" s="1"/>
  <c r="G12" i="32" s="1"/>
  <c r="H71" i="33"/>
  <c r="H75" i="33" s="1"/>
  <c r="I10" i="32" s="1"/>
  <c r="G68" i="33"/>
  <c r="G70" i="33" s="1"/>
  <c r="H12" i="32" s="1"/>
  <c r="F71" i="33"/>
  <c r="F75" i="33" s="1"/>
  <c r="G10" i="32" s="1"/>
  <c r="H65" i="33"/>
  <c r="H67" i="33" s="1"/>
  <c r="I8" i="32" s="1"/>
  <c r="E71" i="33"/>
  <c r="E73" i="33" s="1"/>
  <c r="F9" i="32" s="1"/>
  <c r="F65" i="33"/>
  <c r="F77" i="33" s="1"/>
  <c r="G11" i="32" s="1"/>
  <c r="H68" i="33"/>
  <c r="H70" i="33" s="1"/>
  <c r="I12" i="32" s="1"/>
  <c r="G65" i="33"/>
  <c r="G77" i="33" s="1"/>
  <c r="H11" i="32" s="1"/>
  <c r="B10" i="29"/>
  <c r="B9" i="29"/>
  <c r="B11" i="29"/>
  <c r="D11" i="29" s="1"/>
  <c r="J10" i="2" s="1"/>
  <c r="G62" i="33"/>
  <c r="G57" i="33"/>
  <c r="H4" i="32" s="1"/>
  <c r="C42" i="33"/>
  <c r="D59" i="33"/>
  <c r="D62" i="33" s="1"/>
  <c r="D42" i="33"/>
  <c r="F59" i="33"/>
  <c r="F62" i="33" s="1"/>
  <c r="F42" i="33"/>
  <c r="E59" i="33"/>
  <c r="E62" i="33" s="1"/>
  <c r="E42" i="33"/>
  <c r="B57" i="33"/>
  <c r="C4" i="32" s="1"/>
  <c r="B59" i="33"/>
  <c r="B62" i="33" s="1"/>
  <c r="O8" i="33"/>
  <c r="O7" i="33"/>
  <c r="O10" i="33"/>
  <c r="O6" i="33"/>
  <c r="D10" i="29"/>
  <c r="J9" i="2" s="1"/>
  <c r="D9" i="29"/>
  <c r="J8" i="2" s="1"/>
  <c r="G75" i="33" l="1"/>
  <c r="H10" i="32" s="1"/>
  <c r="E70" i="33"/>
  <c r="F12" i="32" s="1"/>
  <c r="E75" i="33"/>
  <c r="F10" i="32" s="1"/>
  <c r="H77" i="33"/>
  <c r="I11" i="32" s="1"/>
  <c r="F73" i="33"/>
  <c r="G9" i="32" s="1"/>
  <c r="G69" i="33"/>
  <c r="H13" i="32" s="1"/>
  <c r="H73" i="33"/>
  <c r="I9" i="32" s="1"/>
  <c r="E67" i="33"/>
  <c r="F8" i="32" s="1"/>
  <c r="F69" i="33"/>
  <c r="G13" i="32" s="1"/>
  <c r="H69" i="33"/>
  <c r="I13" i="32" s="1"/>
  <c r="G67" i="33"/>
  <c r="H8" i="32" s="1"/>
  <c r="F67" i="33"/>
  <c r="G8" i="32" s="1"/>
  <c r="J25" i="2"/>
  <c r="O11" i="33"/>
  <c r="I45" i="1"/>
  <c r="I46" i="1" s="1"/>
  <c r="E10" i="5"/>
  <c r="C6" i="5"/>
  <c r="D6" i="5"/>
  <c r="E6" i="5"/>
  <c r="F6" i="5"/>
  <c r="G6" i="5"/>
  <c r="B6" i="5"/>
  <c r="J44" i="1"/>
  <c r="J43" i="1"/>
  <c r="J42" i="1"/>
  <c r="J41" i="1"/>
  <c r="J40" i="1"/>
  <c r="J39" i="1"/>
  <c r="J38" i="1"/>
  <c r="J30" i="1"/>
  <c r="J31" i="1"/>
  <c r="J32" i="1"/>
  <c r="J33" i="1"/>
  <c r="J34" i="1"/>
  <c r="J35" i="1"/>
  <c r="J29" i="1"/>
  <c r="F43" i="26"/>
  <c r="F42" i="26"/>
  <c r="F41" i="26"/>
  <c r="F40" i="26"/>
  <c r="F39" i="26"/>
  <c r="F38" i="26"/>
  <c r="F35" i="26"/>
  <c r="F34" i="26"/>
  <c r="F33" i="26"/>
  <c r="F32" i="26"/>
  <c r="F31" i="26"/>
  <c r="F30" i="26"/>
  <c r="F29" i="26"/>
  <c r="F23" i="26"/>
  <c r="J23" i="1" s="1"/>
  <c r="F22" i="26"/>
  <c r="J22" i="1" s="1"/>
  <c r="F21" i="26"/>
  <c r="J21" i="1" s="1"/>
  <c r="F19" i="26"/>
  <c r="J19" i="1" s="1"/>
  <c r="F11" i="26"/>
  <c r="J11" i="1" s="1"/>
  <c r="F10" i="26"/>
  <c r="J10" i="1" s="1"/>
  <c r="F9" i="26"/>
  <c r="J9" i="1" s="1"/>
  <c r="E45" i="26"/>
  <c r="E36" i="26"/>
  <c r="E24" i="26"/>
  <c r="E15" i="26"/>
  <c r="M5" i="11"/>
  <c r="M9" i="11"/>
  <c r="M7" i="11"/>
  <c r="M5" i="2"/>
  <c r="N5" i="2"/>
  <c r="O5" i="2"/>
  <c r="P5" i="2"/>
  <c r="Q5" i="2"/>
  <c r="R5" i="2"/>
  <c r="S5" i="2"/>
  <c r="T5" i="2"/>
  <c r="S18" i="2"/>
  <c r="AB17" i="2"/>
  <c r="AA17" i="2"/>
  <c r="Z17" i="2"/>
  <c r="Y17" i="2"/>
  <c r="X17" i="2"/>
  <c r="W17" i="2"/>
  <c r="V17" i="2"/>
  <c r="AB16" i="2"/>
  <c r="AA16" i="2"/>
  <c r="Z16" i="2"/>
  <c r="Y16" i="2"/>
  <c r="X16" i="2"/>
  <c r="W16" i="2"/>
  <c r="V16" i="2"/>
  <c r="AB15" i="2"/>
  <c r="AA15" i="2"/>
  <c r="Z15" i="2"/>
  <c r="Y15" i="2"/>
  <c r="X15" i="2"/>
  <c r="W15" i="2"/>
  <c r="AB14" i="2"/>
  <c r="AA14" i="2"/>
  <c r="Z14" i="2"/>
  <c r="Y14" i="2"/>
  <c r="X14" i="2"/>
  <c r="W14" i="2"/>
  <c r="V14" i="2"/>
  <c r="AB13" i="2"/>
  <c r="AA13" i="2"/>
  <c r="Z13" i="2"/>
  <c r="Y13" i="2"/>
  <c r="X13" i="2"/>
  <c r="W13" i="2"/>
  <c r="V13" i="2"/>
  <c r="AB12" i="2"/>
  <c r="AA12" i="2"/>
  <c r="Z12" i="2"/>
  <c r="Y12" i="2"/>
  <c r="X12" i="2"/>
  <c r="W12" i="2"/>
  <c r="V12" i="2"/>
  <c r="V15" i="2"/>
  <c r="AA25" i="2"/>
  <c r="AB25" i="2"/>
  <c r="T25" i="2"/>
  <c r="S25" i="2"/>
  <c r="I7" i="2"/>
  <c r="I11" i="2" s="1"/>
  <c r="D19" i="26"/>
  <c r="C15" i="26"/>
  <c r="B15" i="26"/>
  <c r="D13" i="26"/>
  <c r="F13" i="26" s="1"/>
  <c r="J13" i="1" s="1"/>
  <c r="D11" i="26"/>
  <c r="D10" i="26"/>
  <c r="D9" i="26"/>
  <c r="T8" i="1"/>
  <c r="G46" i="33" l="1"/>
  <c r="G47" i="33" s="1"/>
  <c r="H46" i="33"/>
  <c r="H47" i="33" s="1"/>
  <c r="B46" i="33"/>
  <c r="B47" i="33" s="1"/>
  <c r="B54" i="33" s="1"/>
  <c r="B55" i="33" s="1"/>
  <c r="B63" i="33" s="1"/>
  <c r="E46" i="33"/>
  <c r="E47" i="33" s="1"/>
  <c r="E48" i="33" s="1"/>
  <c r="F46" i="33"/>
  <c r="F47" i="33" s="1"/>
  <c r="F48" i="33" s="1"/>
  <c r="C46" i="33"/>
  <c r="C47" i="33" s="1"/>
  <c r="C48" i="33" s="1"/>
  <c r="D46" i="33"/>
  <c r="D47" i="33" s="1"/>
  <c r="D48" i="33" s="1"/>
  <c r="D7" i="29"/>
  <c r="H6" i="5"/>
  <c r="E46" i="26"/>
  <c r="F36" i="26"/>
  <c r="E25" i="26"/>
  <c r="F15" i="26"/>
  <c r="F45" i="26"/>
  <c r="D43" i="26"/>
  <c r="D42" i="26"/>
  <c r="D41" i="26"/>
  <c r="D40" i="26"/>
  <c r="D39" i="26"/>
  <c r="D38" i="26"/>
  <c r="D35" i="26"/>
  <c r="D34" i="26"/>
  <c r="D33" i="26"/>
  <c r="D32" i="26"/>
  <c r="D30" i="26"/>
  <c r="D29" i="26"/>
  <c r="J36" i="1" s="1"/>
  <c r="D23" i="26"/>
  <c r="D22" i="26"/>
  <c r="D21" i="26"/>
  <c r="D20" i="26"/>
  <c r="F20" i="26" s="1"/>
  <c r="J20" i="1" s="1"/>
  <c r="D18" i="26"/>
  <c r="F18" i="26" s="1"/>
  <c r="J18" i="1" s="1"/>
  <c r="D17" i="26"/>
  <c r="D14" i="26"/>
  <c r="F14" i="26" s="1"/>
  <c r="J14" i="1" s="1"/>
  <c r="D12" i="26"/>
  <c r="F12" i="26" s="1"/>
  <c r="J12" i="1" s="1"/>
  <c r="I7" i="7" s="1"/>
  <c r="B45" i="26"/>
  <c r="B31" i="26"/>
  <c r="D31" i="26" s="1"/>
  <c r="B24" i="26"/>
  <c r="B25" i="26" s="1"/>
  <c r="C45" i="26"/>
  <c r="C36" i="26"/>
  <c r="C46" i="26" s="1"/>
  <c r="C24" i="26"/>
  <c r="C7" i="25"/>
  <c r="C11" i="25" s="1"/>
  <c r="E20" i="24"/>
  <c r="E13" i="24"/>
  <c r="C20" i="24"/>
  <c r="C12" i="24"/>
  <c r="B24" i="23"/>
  <c r="B45" i="23"/>
  <c r="B15" i="23"/>
  <c r="B8" i="22"/>
  <c r="I75" i="21"/>
  <c r="H75" i="21"/>
  <c r="G75" i="21"/>
  <c r="F75" i="21"/>
  <c r="E75" i="21"/>
  <c r="D75" i="21"/>
  <c r="C75" i="21"/>
  <c r="I60" i="21"/>
  <c r="H60" i="21"/>
  <c r="G60" i="21"/>
  <c r="F60" i="21"/>
  <c r="E60" i="21"/>
  <c r="D60" i="21"/>
  <c r="C60" i="21"/>
  <c r="D19" i="20"/>
  <c r="C19" i="20"/>
  <c r="G18" i="20"/>
  <c r="F18" i="20"/>
  <c r="D18" i="20"/>
  <c r="C18" i="20"/>
  <c r="I16" i="20"/>
  <c r="H16" i="20"/>
  <c r="G16" i="20"/>
  <c r="F16" i="20"/>
  <c r="E16" i="20"/>
  <c r="D16" i="20"/>
  <c r="C16" i="20"/>
  <c r="I7" i="20"/>
  <c r="I12" i="20" s="1"/>
  <c r="H7" i="20"/>
  <c r="H12" i="20" s="1"/>
  <c r="G7" i="20"/>
  <c r="G12" i="20" s="1"/>
  <c r="F7" i="20"/>
  <c r="F12" i="20" s="1"/>
  <c r="E7" i="20"/>
  <c r="E12" i="20" s="1"/>
  <c r="D7" i="20"/>
  <c r="D12" i="20" s="1"/>
  <c r="C7" i="20"/>
  <c r="C12" i="20" s="1"/>
  <c r="I43" i="19"/>
  <c r="H43" i="19"/>
  <c r="G43" i="19"/>
  <c r="F43" i="19"/>
  <c r="E43" i="19"/>
  <c r="D43" i="19"/>
  <c r="C43" i="19"/>
  <c r="H34" i="19"/>
  <c r="G34" i="19"/>
  <c r="F34" i="19"/>
  <c r="E34" i="19"/>
  <c r="D34" i="19"/>
  <c r="C34" i="19"/>
  <c r="I29" i="19"/>
  <c r="I34" i="19" s="1"/>
  <c r="I23" i="19"/>
  <c r="H23" i="19"/>
  <c r="G23" i="19"/>
  <c r="F23" i="19"/>
  <c r="E23" i="19"/>
  <c r="D23" i="19"/>
  <c r="C23" i="19"/>
  <c r="I14" i="19"/>
  <c r="H14" i="19"/>
  <c r="G14" i="19"/>
  <c r="F14" i="19"/>
  <c r="E14" i="19"/>
  <c r="D14" i="19"/>
  <c r="C14" i="19"/>
  <c r="B48" i="33" l="1"/>
  <c r="B53" i="33" s="1"/>
  <c r="B60" i="33" s="1"/>
  <c r="H54" i="33"/>
  <c r="H55" i="33" s="1"/>
  <c r="H63" i="33" s="1"/>
  <c r="H64" i="33" s="1"/>
  <c r="I7" i="32" s="1"/>
  <c r="H48" i="33"/>
  <c r="H53" i="33" s="1"/>
  <c r="H60" i="33" s="1"/>
  <c r="G48" i="33"/>
  <c r="G53" i="33" s="1"/>
  <c r="G60" i="33" s="1"/>
  <c r="G54" i="33"/>
  <c r="G55" i="33" s="1"/>
  <c r="G63" i="33" s="1"/>
  <c r="G64" i="33" s="1"/>
  <c r="H7" i="32" s="1"/>
  <c r="F17" i="26"/>
  <c r="I8" i="7"/>
  <c r="B64" i="33"/>
  <c r="C7" i="32" s="1"/>
  <c r="D8" i="29"/>
  <c r="D12" i="29" s="1"/>
  <c r="J6" i="2"/>
  <c r="I35" i="5" s="1"/>
  <c r="I36" i="5" s="1"/>
  <c r="G18" i="15" s="1"/>
  <c r="E47" i="26"/>
  <c r="E48" i="26" s="1"/>
  <c r="F46" i="26"/>
  <c r="D15" i="26"/>
  <c r="J15" i="1"/>
  <c r="I16" i="7" s="1"/>
  <c r="B36" i="26"/>
  <c r="B46" i="26" s="1"/>
  <c r="B47" i="26" s="1"/>
  <c r="B48" i="26" s="1"/>
  <c r="D24" i="26"/>
  <c r="D25" i="26" s="1"/>
  <c r="D45" i="26"/>
  <c r="J45" i="1"/>
  <c r="J46" i="1" s="1"/>
  <c r="I28" i="5"/>
  <c r="D36" i="26"/>
  <c r="C25" i="26"/>
  <c r="C47" i="26" s="1"/>
  <c r="C48" i="26" s="1"/>
  <c r="C19" i="25"/>
  <c r="C21" i="25" s="1"/>
  <c r="C21" i="24"/>
  <c r="E21" i="24"/>
  <c r="B36" i="23"/>
  <c r="B46" i="23" s="1"/>
  <c r="B25" i="23"/>
  <c r="B12" i="22"/>
  <c r="D20" i="20"/>
  <c r="E20" i="20"/>
  <c r="C20" i="20"/>
  <c r="F20" i="20"/>
  <c r="H20" i="20"/>
  <c r="I20" i="20"/>
  <c r="G20" i="20"/>
  <c r="F24" i="19"/>
  <c r="G24" i="19"/>
  <c r="C24" i="19"/>
  <c r="I24" i="19"/>
  <c r="E44" i="19"/>
  <c r="D24" i="19"/>
  <c r="E24" i="19"/>
  <c r="C44" i="19"/>
  <c r="H24" i="19"/>
  <c r="D44" i="19"/>
  <c r="F44" i="19"/>
  <c r="G44" i="19"/>
  <c r="G45" i="19" s="1"/>
  <c r="H44" i="19"/>
  <c r="I44" i="19"/>
  <c r="C31" i="7"/>
  <c r="D31" i="7"/>
  <c r="E31" i="7"/>
  <c r="F31" i="7"/>
  <c r="G31" i="7"/>
  <c r="H31" i="7"/>
  <c r="J17" i="1" l="1"/>
  <c r="F24" i="26"/>
  <c r="F25" i="26" s="1"/>
  <c r="I7" i="5"/>
  <c r="G30" i="15"/>
  <c r="D66" i="33"/>
  <c r="I4" i="5"/>
  <c r="G5" i="15" s="1"/>
  <c r="I5" i="5"/>
  <c r="G6" i="15" s="1"/>
  <c r="I27" i="5"/>
  <c r="D19" i="29"/>
  <c r="D21" i="29" s="1"/>
  <c r="D23" i="29" s="1"/>
  <c r="J7" i="2"/>
  <c r="J11" i="2" s="1"/>
  <c r="I33" i="5"/>
  <c r="I34" i="5" s="1"/>
  <c r="G17" i="15" s="1"/>
  <c r="I31" i="7"/>
  <c r="F47" i="26"/>
  <c r="F48" i="26" s="1"/>
  <c r="D46" i="26"/>
  <c r="D47" i="26" s="1"/>
  <c r="D48" i="26" s="1"/>
  <c r="I14" i="5"/>
  <c r="G10" i="15" s="1"/>
  <c r="E46" i="11"/>
  <c r="E22" i="24"/>
  <c r="E23" i="24" s="1"/>
  <c r="B47" i="23"/>
  <c r="B19" i="22"/>
  <c r="H22" i="20"/>
  <c r="G22" i="20"/>
  <c r="I22" i="20"/>
  <c r="F22" i="20"/>
  <c r="E22" i="20"/>
  <c r="D22" i="20"/>
  <c r="C22" i="20"/>
  <c r="C45" i="19"/>
  <c r="C46" i="19" s="1"/>
  <c r="I45" i="19"/>
  <c r="I46" i="19" s="1"/>
  <c r="E45" i="19"/>
  <c r="D45" i="19"/>
  <c r="F45" i="19"/>
  <c r="G46" i="19"/>
  <c r="H45" i="19"/>
  <c r="C30" i="7"/>
  <c r="D30" i="7"/>
  <c r="E30" i="7"/>
  <c r="F30" i="7"/>
  <c r="G30" i="7"/>
  <c r="H30" i="7"/>
  <c r="C29" i="7"/>
  <c r="D29" i="7"/>
  <c r="E29" i="7"/>
  <c r="F29" i="7"/>
  <c r="G29" i="7"/>
  <c r="H29" i="7"/>
  <c r="AF264" i="12"/>
  <c r="AA264" i="12"/>
  <c r="H291" i="10" s="1"/>
  <c r="V264" i="12"/>
  <c r="Q264" i="12"/>
  <c r="L264" i="12"/>
  <c r="G264" i="12"/>
  <c r="AF263" i="12"/>
  <c r="AA263" i="12"/>
  <c r="V263" i="12"/>
  <c r="Q263" i="12"/>
  <c r="F290" i="10" s="1"/>
  <c r="L263" i="12"/>
  <c r="G263" i="12"/>
  <c r="AF262" i="12"/>
  <c r="AA262" i="12"/>
  <c r="H289" i="10" s="1"/>
  <c r="V262" i="12"/>
  <c r="Q262" i="12"/>
  <c r="L262" i="12"/>
  <c r="G262" i="12"/>
  <c r="AF261" i="12"/>
  <c r="AA261" i="12"/>
  <c r="V261" i="12"/>
  <c r="Q261" i="12"/>
  <c r="F288" i="10" s="1"/>
  <c r="L261" i="12"/>
  <c r="G261" i="12"/>
  <c r="AF260" i="12"/>
  <c r="AA260" i="12"/>
  <c r="H287" i="10" s="1"/>
  <c r="V260" i="12"/>
  <c r="Q260" i="12"/>
  <c r="L260" i="12"/>
  <c r="G260" i="12"/>
  <c r="AF259" i="12"/>
  <c r="AA259" i="12"/>
  <c r="V259" i="12"/>
  <c r="Q259" i="12"/>
  <c r="F286" i="10" s="1"/>
  <c r="L259" i="12"/>
  <c r="G259" i="12"/>
  <c r="AF258" i="12"/>
  <c r="AA258" i="12"/>
  <c r="H285" i="10" s="1"/>
  <c r="V258" i="12"/>
  <c r="Q258" i="12"/>
  <c r="L258" i="12"/>
  <c r="G258" i="12"/>
  <c r="AF257" i="12"/>
  <c r="AA257" i="12"/>
  <c r="V257" i="12"/>
  <c r="Q257" i="12"/>
  <c r="F284" i="10" s="1"/>
  <c r="L257" i="12"/>
  <c r="G257" i="12"/>
  <c r="AF256" i="12"/>
  <c r="AA256" i="12"/>
  <c r="H283" i="10" s="1"/>
  <c r="V256" i="12"/>
  <c r="Q256" i="12"/>
  <c r="L256" i="12"/>
  <c r="G256" i="12"/>
  <c r="AF255" i="12"/>
  <c r="AA255" i="12"/>
  <c r="V255" i="12"/>
  <c r="Q255" i="12"/>
  <c r="F282" i="10" s="1"/>
  <c r="L255" i="12"/>
  <c r="G255" i="12"/>
  <c r="AF254" i="12"/>
  <c r="AA254" i="12"/>
  <c r="H281" i="10" s="1"/>
  <c r="V254" i="12"/>
  <c r="Q254" i="12"/>
  <c r="L254" i="12"/>
  <c r="G254" i="12"/>
  <c r="AF253" i="12"/>
  <c r="AA253" i="12"/>
  <c r="V253" i="12"/>
  <c r="Q253" i="12"/>
  <c r="F280" i="10" s="1"/>
  <c r="L253" i="12"/>
  <c r="G253" i="12"/>
  <c r="AF252" i="12"/>
  <c r="AA252" i="12"/>
  <c r="H279" i="10" s="1"/>
  <c r="V252" i="12"/>
  <c r="Q252" i="12"/>
  <c r="L252" i="12"/>
  <c r="G252" i="12"/>
  <c r="AF251" i="12"/>
  <c r="AA251" i="12"/>
  <c r="V251" i="12"/>
  <c r="Q251" i="12"/>
  <c r="L251" i="12"/>
  <c r="G251" i="12"/>
  <c r="AF250" i="12"/>
  <c r="AA250" i="12"/>
  <c r="H277" i="10" s="1"/>
  <c r="V250" i="12"/>
  <c r="Q250" i="12"/>
  <c r="L250" i="12"/>
  <c r="G250" i="12"/>
  <c r="AF249" i="12"/>
  <c r="AA249" i="12"/>
  <c r="V249" i="12"/>
  <c r="Q249" i="12"/>
  <c r="F276" i="10" s="1"/>
  <c r="L249" i="12"/>
  <c r="G249" i="12"/>
  <c r="AF248" i="12"/>
  <c r="AA248" i="12"/>
  <c r="H275" i="10" s="1"/>
  <c r="V248" i="12"/>
  <c r="Q248" i="12"/>
  <c r="L248" i="12"/>
  <c r="G248" i="12"/>
  <c r="AF247" i="12"/>
  <c r="AA247" i="12"/>
  <c r="V247" i="12"/>
  <c r="Q247" i="12"/>
  <c r="L247" i="12"/>
  <c r="G247" i="12"/>
  <c r="AF246" i="12"/>
  <c r="AA246" i="12"/>
  <c r="H273" i="10" s="1"/>
  <c r="V246" i="12"/>
  <c r="Q246" i="12"/>
  <c r="L246" i="12"/>
  <c r="G246" i="12"/>
  <c r="AF245" i="12"/>
  <c r="AA245" i="12"/>
  <c r="V245" i="12"/>
  <c r="Q245" i="12"/>
  <c r="F272" i="10" s="1"/>
  <c r="L245" i="12"/>
  <c r="G245" i="12"/>
  <c r="AF244" i="12"/>
  <c r="AA244" i="12"/>
  <c r="H271" i="10" s="1"/>
  <c r="V244" i="12"/>
  <c r="Q244" i="12"/>
  <c r="L244" i="12"/>
  <c r="G244" i="12"/>
  <c r="AF243" i="12"/>
  <c r="AA243" i="12"/>
  <c r="V243" i="12"/>
  <c r="Q243" i="12"/>
  <c r="L243" i="12"/>
  <c r="G243" i="12"/>
  <c r="AF242" i="12"/>
  <c r="AA242" i="12"/>
  <c r="H269" i="10" s="1"/>
  <c r="V242" i="12"/>
  <c r="Q242" i="12"/>
  <c r="L242" i="12"/>
  <c r="G242" i="12"/>
  <c r="AF241" i="12"/>
  <c r="AA241" i="12"/>
  <c r="V241" i="12"/>
  <c r="Q241" i="12"/>
  <c r="F268" i="10" s="1"/>
  <c r="L241" i="12"/>
  <c r="G241" i="12"/>
  <c r="AF240" i="12"/>
  <c r="AA240" i="12"/>
  <c r="H267" i="10" s="1"/>
  <c r="V240" i="12"/>
  <c r="Q240" i="12"/>
  <c r="L240" i="12"/>
  <c r="G240" i="12"/>
  <c r="AF239" i="12"/>
  <c r="AA239" i="12"/>
  <c r="V239" i="12"/>
  <c r="Q239" i="12"/>
  <c r="F266" i="10" s="1"/>
  <c r="L239" i="12"/>
  <c r="G239" i="12"/>
  <c r="AF238" i="12"/>
  <c r="AA238" i="12"/>
  <c r="H265" i="10" s="1"/>
  <c r="V238" i="12"/>
  <c r="Q238" i="12"/>
  <c r="L238" i="12"/>
  <c r="G238" i="12"/>
  <c r="AF237" i="12"/>
  <c r="AA237" i="12"/>
  <c r="V237" i="12"/>
  <c r="Q237" i="12"/>
  <c r="F264" i="10" s="1"/>
  <c r="L237" i="12"/>
  <c r="G237" i="12"/>
  <c r="AF236" i="12"/>
  <c r="AA236" i="12"/>
  <c r="H263" i="10" s="1"/>
  <c r="V236" i="12"/>
  <c r="Q236" i="12"/>
  <c r="L236" i="12"/>
  <c r="G236" i="12"/>
  <c r="AF235" i="12"/>
  <c r="AA235" i="12"/>
  <c r="V235" i="12"/>
  <c r="Q235" i="12"/>
  <c r="F262" i="10" s="1"/>
  <c r="L235" i="12"/>
  <c r="G235" i="12"/>
  <c r="AF234" i="12"/>
  <c r="AA234" i="12"/>
  <c r="H261" i="10" s="1"/>
  <c r="V234" i="12"/>
  <c r="Q234" i="12"/>
  <c r="L234" i="12"/>
  <c r="G234" i="12"/>
  <c r="AF233" i="12"/>
  <c r="AA233" i="12"/>
  <c r="V233" i="12"/>
  <c r="Q233" i="12"/>
  <c r="F260" i="10" s="1"/>
  <c r="L233" i="12"/>
  <c r="G233" i="12"/>
  <c r="AF232" i="12"/>
  <c r="AA232" i="12"/>
  <c r="H259" i="10" s="1"/>
  <c r="V232" i="12"/>
  <c r="Q232" i="12"/>
  <c r="L232" i="12"/>
  <c r="G232" i="12"/>
  <c r="AF231" i="12"/>
  <c r="AA231" i="12"/>
  <c r="V231" i="12"/>
  <c r="Q231" i="12"/>
  <c r="F258" i="10" s="1"/>
  <c r="L231" i="12"/>
  <c r="G231" i="12"/>
  <c r="AF230" i="12"/>
  <c r="AA230" i="12"/>
  <c r="H257" i="10" s="1"/>
  <c r="V230" i="12"/>
  <c r="Q230" i="12"/>
  <c r="L230" i="12"/>
  <c r="G230" i="12"/>
  <c r="AF229" i="12"/>
  <c r="AA229" i="12"/>
  <c r="V229" i="12"/>
  <c r="Q229" i="12"/>
  <c r="F256" i="10" s="1"/>
  <c r="L229" i="12"/>
  <c r="G229" i="12"/>
  <c r="AF228" i="12"/>
  <c r="AA228" i="12"/>
  <c r="H255" i="10" s="1"/>
  <c r="V228" i="12"/>
  <c r="Q228" i="12"/>
  <c r="L228" i="12"/>
  <c r="G228" i="12"/>
  <c r="AF227" i="12"/>
  <c r="AA227" i="12"/>
  <c r="V227" i="12"/>
  <c r="Q227" i="12"/>
  <c r="L227" i="12"/>
  <c r="G227" i="12"/>
  <c r="AF226" i="12"/>
  <c r="AA226" i="12"/>
  <c r="H253" i="10" s="1"/>
  <c r="V226" i="12"/>
  <c r="Q226" i="12"/>
  <c r="L226" i="12"/>
  <c r="G226" i="12"/>
  <c r="AF225" i="12"/>
  <c r="AA225" i="12"/>
  <c r="V225" i="12"/>
  <c r="Q225" i="12"/>
  <c r="F252" i="10" s="1"/>
  <c r="L225" i="12"/>
  <c r="G225" i="12"/>
  <c r="AF224" i="12"/>
  <c r="AA224" i="12"/>
  <c r="H251" i="10" s="1"/>
  <c r="V224" i="12"/>
  <c r="Q224" i="12"/>
  <c r="L224" i="12"/>
  <c r="G224" i="12"/>
  <c r="AF223" i="12"/>
  <c r="AA223" i="12"/>
  <c r="V223" i="12"/>
  <c r="Q223" i="12"/>
  <c r="L223" i="12"/>
  <c r="G223" i="12"/>
  <c r="AF222" i="12"/>
  <c r="AA222" i="12"/>
  <c r="H249" i="10" s="1"/>
  <c r="V222" i="12"/>
  <c r="Q222" i="12"/>
  <c r="L222" i="12"/>
  <c r="G222" i="12"/>
  <c r="AF221" i="12"/>
  <c r="AA221" i="12"/>
  <c r="V221" i="12"/>
  <c r="Q221" i="12"/>
  <c r="F248" i="10" s="1"/>
  <c r="L221" i="12"/>
  <c r="G221" i="12"/>
  <c r="AF220" i="12"/>
  <c r="AA220" i="12"/>
  <c r="H247" i="10" s="1"/>
  <c r="V220" i="12"/>
  <c r="Q220" i="12"/>
  <c r="L220" i="12"/>
  <c r="G220" i="12"/>
  <c r="AF219" i="12"/>
  <c r="AA219" i="12"/>
  <c r="V219" i="12"/>
  <c r="Q219" i="12"/>
  <c r="L219" i="12"/>
  <c r="G219" i="12"/>
  <c r="AF218" i="12"/>
  <c r="AA218" i="12"/>
  <c r="H245" i="10" s="1"/>
  <c r="V218" i="12"/>
  <c r="Q218" i="12"/>
  <c r="L218" i="12"/>
  <c r="G218" i="12"/>
  <c r="AF217" i="12"/>
  <c r="AA217" i="12"/>
  <c r="V217" i="12"/>
  <c r="Q217" i="12"/>
  <c r="F244" i="10" s="1"/>
  <c r="L217" i="12"/>
  <c r="G217" i="12"/>
  <c r="AF216" i="12"/>
  <c r="AA216" i="12"/>
  <c r="H243" i="10" s="1"/>
  <c r="V216" i="12"/>
  <c r="Q216" i="12"/>
  <c r="L216" i="12"/>
  <c r="G216" i="12"/>
  <c r="AF215" i="12"/>
  <c r="AA215" i="12"/>
  <c r="V215" i="12"/>
  <c r="Q215" i="12"/>
  <c r="F242" i="10" s="1"/>
  <c r="L215" i="12"/>
  <c r="G215" i="12"/>
  <c r="AF214" i="12"/>
  <c r="AA214" i="12"/>
  <c r="H241" i="10" s="1"/>
  <c r="V214" i="12"/>
  <c r="Q214" i="12"/>
  <c r="L214" i="12"/>
  <c r="G214" i="12"/>
  <c r="AF213" i="12"/>
  <c r="AA213" i="12"/>
  <c r="V213" i="12"/>
  <c r="Q213" i="12"/>
  <c r="F240" i="10" s="1"/>
  <c r="L213" i="12"/>
  <c r="G213" i="12"/>
  <c r="AF212" i="12"/>
  <c r="AA212" i="12"/>
  <c r="H239" i="10" s="1"/>
  <c r="V212" i="12"/>
  <c r="Q212" i="12"/>
  <c r="L212" i="12"/>
  <c r="G212" i="12"/>
  <c r="AF211" i="12"/>
  <c r="AA211" i="12"/>
  <c r="V211" i="12"/>
  <c r="Q211" i="12"/>
  <c r="F238" i="10" s="1"/>
  <c r="L211" i="12"/>
  <c r="G211" i="12"/>
  <c r="AF210" i="12"/>
  <c r="AA210" i="12"/>
  <c r="H237" i="10" s="1"/>
  <c r="V210" i="12"/>
  <c r="Q210" i="12"/>
  <c r="L210" i="12"/>
  <c r="G210" i="12"/>
  <c r="AF209" i="12"/>
  <c r="AA209" i="12"/>
  <c r="V209" i="12"/>
  <c r="Q209" i="12"/>
  <c r="F236" i="10" s="1"/>
  <c r="L209" i="12"/>
  <c r="G209" i="12"/>
  <c r="AF208" i="12"/>
  <c r="AA208" i="12"/>
  <c r="H235" i="10" s="1"/>
  <c r="V208" i="12"/>
  <c r="Q208" i="12"/>
  <c r="L208" i="12"/>
  <c r="G208" i="12"/>
  <c r="AF207" i="12"/>
  <c r="AA207" i="12"/>
  <c r="V207" i="12"/>
  <c r="Q207" i="12"/>
  <c r="F234" i="10" s="1"/>
  <c r="L207" i="12"/>
  <c r="G207" i="12"/>
  <c r="AF206" i="12"/>
  <c r="AA206" i="12"/>
  <c r="H233" i="10" s="1"/>
  <c r="V206" i="12"/>
  <c r="Q206" i="12"/>
  <c r="L206" i="12"/>
  <c r="G206" i="12"/>
  <c r="AF205" i="12"/>
  <c r="AA205" i="12"/>
  <c r="V205" i="12"/>
  <c r="Q205" i="12"/>
  <c r="F232" i="10" s="1"/>
  <c r="L205" i="12"/>
  <c r="G205" i="12"/>
  <c r="AF204" i="12"/>
  <c r="AA204" i="12"/>
  <c r="H231" i="10" s="1"/>
  <c r="V204" i="12"/>
  <c r="Q204" i="12"/>
  <c r="L204" i="12"/>
  <c r="G204" i="12"/>
  <c r="AF203" i="12"/>
  <c r="AA203" i="12"/>
  <c r="V203" i="12"/>
  <c r="Q203" i="12"/>
  <c r="L203" i="12"/>
  <c r="G203" i="12"/>
  <c r="AF202" i="12"/>
  <c r="AA202" i="12"/>
  <c r="H229" i="10" s="1"/>
  <c r="V202" i="12"/>
  <c r="Q202" i="12"/>
  <c r="L202" i="12"/>
  <c r="G202" i="12"/>
  <c r="AF201" i="12"/>
  <c r="AA201" i="12"/>
  <c r="V201" i="12"/>
  <c r="Q201" i="12"/>
  <c r="F228" i="10" s="1"/>
  <c r="L201" i="12"/>
  <c r="G201" i="12"/>
  <c r="AF200" i="12"/>
  <c r="AA200" i="12"/>
  <c r="H227" i="10" s="1"/>
  <c r="V200" i="12"/>
  <c r="Q200" i="12"/>
  <c r="L200" i="12"/>
  <c r="G200" i="12"/>
  <c r="AF199" i="12"/>
  <c r="AA199" i="12"/>
  <c r="V199" i="12"/>
  <c r="Q199" i="12"/>
  <c r="L199" i="12"/>
  <c r="G199" i="12"/>
  <c r="AF198" i="12"/>
  <c r="AA198" i="12"/>
  <c r="H225" i="10" s="1"/>
  <c r="V198" i="12"/>
  <c r="Q198" i="12"/>
  <c r="L198" i="12"/>
  <c r="G198" i="12"/>
  <c r="AF197" i="12"/>
  <c r="AA197" i="12"/>
  <c r="V197" i="12"/>
  <c r="Q197" i="12"/>
  <c r="F224" i="10" s="1"/>
  <c r="L197" i="12"/>
  <c r="G197" i="12"/>
  <c r="AF196" i="12"/>
  <c r="AA196" i="12"/>
  <c r="H223" i="10" s="1"/>
  <c r="V196" i="12"/>
  <c r="Q196" i="12"/>
  <c r="L196" i="12"/>
  <c r="G196" i="12"/>
  <c r="AF195" i="12"/>
  <c r="AA195" i="12"/>
  <c r="V195" i="12"/>
  <c r="Q195" i="12"/>
  <c r="L195" i="12"/>
  <c r="G195" i="12"/>
  <c r="AF194" i="12"/>
  <c r="AA194" i="12"/>
  <c r="H221" i="10" s="1"/>
  <c r="V194" i="12"/>
  <c r="Q194" i="12"/>
  <c r="L194" i="12"/>
  <c r="G194" i="12"/>
  <c r="AF193" i="12"/>
  <c r="AA193" i="12"/>
  <c r="V193" i="12"/>
  <c r="Q193" i="12"/>
  <c r="F220" i="10" s="1"/>
  <c r="L193" i="12"/>
  <c r="G193" i="12"/>
  <c r="AF192" i="12"/>
  <c r="AA192" i="12"/>
  <c r="H219" i="10" s="1"/>
  <c r="V192" i="12"/>
  <c r="Q192" i="12"/>
  <c r="L192" i="12"/>
  <c r="G192" i="12"/>
  <c r="AF191" i="12"/>
  <c r="AA191" i="12"/>
  <c r="V191" i="12"/>
  <c r="Q191" i="12"/>
  <c r="F218" i="10" s="1"/>
  <c r="L191" i="12"/>
  <c r="G191" i="12"/>
  <c r="AF190" i="12"/>
  <c r="AA190" i="12"/>
  <c r="H217" i="10" s="1"/>
  <c r="V190" i="12"/>
  <c r="Q190" i="12"/>
  <c r="L190" i="12"/>
  <c r="G190" i="12"/>
  <c r="AF189" i="12"/>
  <c r="AA189" i="12"/>
  <c r="V189" i="12"/>
  <c r="Q189" i="12"/>
  <c r="F216" i="10" s="1"/>
  <c r="L189" i="12"/>
  <c r="G189" i="12"/>
  <c r="AF188" i="12"/>
  <c r="AA188" i="12"/>
  <c r="H215" i="10" s="1"/>
  <c r="V188" i="12"/>
  <c r="Q188" i="12"/>
  <c r="L188" i="12"/>
  <c r="G188" i="12"/>
  <c r="AF187" i="12"/>
  <c r="AA187" i="12"/>
  <c r="V187" i="12"/>
  <c r="Q187" i="12"/>
  <c r="F214" i="10" s="1"/>
  <c r="L187" i="12"/>
  <c r="G187" i="12"/>
  <c r="AF186" i="12"/>
  <c r="AA186" i="12"/>
  <c r="H213" i="10" s="1"/>
  <c r="V186" i="12"/>
  <c r="Q186" i="12"/>
  <c r="L186" i="12"/>
  <c r="G186" i="12"/>
  <c r="AF185" i="12"/>
  <c r="AA185" i="12"/>
  <c r="V185" i="12"/>
  <c r="Q185" i="12"/>
  <c r="F212" i="10" s="1"/>
  <c r="L185" i="12"/>
  <c r="G185" i="12"/>
  <c r="AF184" i="12"/>
  <c r="AA184" i="12"/>
  <c r="H211" i="10" s="1"/>
  <c r="V184" i="12"/>
  <c r="Q184" i="12"/>
  <c r="L184" i="12"/>
  <c r="G184" i="12"/>
  <c r="AF183" i="12"/>
  <c r="AA183" i="12"/>
  <c r="V183" i="12"/>
  <c r="Q183" i="12"/>
  <c r="F210" i="10" s="1"/>
  <c r="L183" i="12"/>
  <c r="G183" i="12"/>
  <c r="AF182" i="12"/>
  <c r="AA182" i="12"/>
  <c r="H209" i="10" s="1"/>
  <c r="V182" i="12"/>
  <c r="Q182" i="12"/>
  <c r="L182" i="12"/>
  <c r="G182" i="12"/>
  <c r="AF181" i="12"/>
  <c r="AA181" i="12"/>
  <c r="V181" i="12"/>
  <c r="Q181" i="12"/>
  <c r="F208" i="10" s="1"/>
  <c r="L181" i="12"/>
  <c r="G181" i="12"/>
  <c r="AF180" i="12"/>
  <c r="AA180" i="12"/>
  <c r="H207" i="10" s="1"/>
  <c r="V180" i="12"/>
  <c r="Q180" i="12"/>
  <c r="L180" i="12"/>
  <c r="G180" i="12"/>
  <c r="AF179" i="12"/>
  <c r="AA179" i="12"/>
  <c r="V179" i="12"/>
  <c r="Q179" i="12"/>
  <c r="L179" i="12"/>
  <c r="G179" i="12"/>
  <c r="AF178" i="12"/>
  <c r="AA178" i="12"/>
  <c r="H205" i="10" s="1"/>
  <c r="V178" i="12"/>
  <c r="Q178" i="12"/>
  <c r="L178" i="12"/>
  <c r="G178" i="12"/>
  <c r="AF177" i="12"/>
  <c r="AA177" i="12"/>
  <c r="V177" i="12"/>
  <c r="Q177" i="12"/>
  <c r="F204" i="10" s="1"/>
  <c r="L177" i="12"/>
  <c r="G177" i="12"/>
  <c r="AF176" i="12"/>
  <c r="AA176" i="12"/>
  <c r="H203" i="10" s="1"/>
  <c r="V176" i="12"/>
  <c r="Q176" i="12"/>
  <c r="L176" i="12"/>
  <c r="G176" i="12"/>
  <c r="AF175" i="12"/>
  <c r="AA175" i="12"/>
  <c r="V175" i="12"/>
  <c r="Q175" i="12"/>
  <c r="L175" i="12"/>
  <c r="G175" i="12"/>
  <c r="AF174" i="12"/>
  <c r="AA174" i="12"/>
  <c r="H201" i="10" s="1"/>
  <c r="V174" i="12"/>
  <c r="Q174" i="12"/>
  <c r="L174" i="12"/>
  <c r="G174" i="12"/>
  <c r="AF173" i="12"/>
  <c r="AA173" i="12"/>
  <c r="V173" i="12"/>
  <c r="Q173" i="12"/>
  <c r="F200" i="10" s="1"/>
  <c r="L173" i="12"/>
  <c r="G173" i="12"/>
  <c r="AF172" i="12"/>
  <c r="AA172" i="12"/>
  <c r="H199" i="10" s="1"/>
  <c r="V172" i="12"/>
  <c r="Q172" i="12"/>
  <c r="L172" i="12"/>
  <c r="G172" i="12"/>
  <c r="AF171" i="12"/>
  <c r="AA171" i="12"/>
  <c r="V171" i="12"/>
  <c r="Q171" i="12"/>
  <c r="L171" i="12"/>
  <c r="G171" i="12"/>
  <c r="AF170" i="12"/>
  <c r="AA170" i="12"/>
  <c r="H197" i="10" s="1"/>
  <c r="V170" i="12"/>
  <c r="Q170" i="12"/>
  <c r="L170" i="12"/>
  <c r="G170" i="12"/>
  <c r="AF169" i="12"/>
  <c r="AA169" i="12"/>
  <c r="V169" i="12"/>
  <c r="Q169" i="12"/>
  <c r="F196" i="10" s="1"/>
  <c r="L169" i="12"/>
  <c r="G169" i="12"/>
  <c r="AF168" i="12"/>
  <c r="AA168" i="12"/>
  <c r="H195" i="10" s="1"/>
  <c r="V168" i="12"/>
  <c r="Q168" i="12"/>
  <c r="L168" i="12"/>
  <c r="G168" i="12"/>
  <c r="AF167" i="12"/>
  <c r="AA167" i="12"/>
  <c r="V167" i="12"/>
  <c r="Q167" i="12"/>
  <c r="F194" i="10" s="1"/>
  <c r="L167" i="12"/>
  <c r="G167" i="12"/>
  <c r="AF166" i="12"/>
  <c r="AA166" i="12"/>
  <c r="H193" i="10" s="1"/>
  <c r="V166" i="12"/>
  <c r="Q166" i="12"/>
  <c r="L166" i="12"/>
  <c r="G166" i="12"/>
  <c r="AF165" i="12"/>
  <c r="AA165" i="12"/>
  <c r="V165" i="12"/>
  <c r="Q165" i="12"/>
  <c r="F192" i="10" s="1"/>
  <c r="L165" i="12"/>
  <c r="G165" i="12"/>
  <c r="AF164" i="12"/>
  <c r="AA164" i="12"/>
  <c r="H191" i="10" s="1"/>
  <c r="V164" i="12"/>
  <c r="Q164" i="12"/>
  <c r="L164" i="12"/>
  <c r="G164" i="12"/>
  <c r="AF163" i="12"/>
  <c r="AA163" i="12"/>
  <c r="V163" i="12"/>
  <c r="Q163" i="12"/>
  <c r="F190" i="10" s="1"/>
  <c r="L163" i="12"/>
  <c r="G163" i="12"/>
  <c r="AF162" i="12"/>
  <c r="AA162" i="12"/>
  <c r="H189" i="10" s="1"/>
  <c r="V162" i="12"/>
  <c r="Q162" i="12"/>
  <c r="L162" i="12"/>
  <c r="G162" i="12"/>
  <c r="AF161" i="12"/>
  <c r="AA161" i="12"/>
  <c r="V161" i="12"/>
  <c r="Q161" i="12"/>
  <c r="F188" i="10" s="1"/>
  <c r="L161" i="12"/>
  <c r="G161" i="12"/>
  <c r="AF160" i="12"/>
  <c r="AA160" i="12"/>
  <c r="H187" i="10" s="1"/>
  <c r="V160" i="12"/>
  <c r="Q160" i="12"/>
  <c r="L160" i="12"/>
  <c r="G160" i="12"/>
  <c r="AF159" i="12"/>
  <c r="AA159" i="12"/>
  <c r="V159" i="12"/>
  <c r="Q159" i="12"/>
  <c r="F186" i="10" s="1"/>
  <c r="L159" i="12"/>
  <c r="G159" i="12"/>
  <c r="AF158" i="12"/>
  <c r="AA158" i="12"/>
  <c r="H185" i="10" s="1"/>
  <c r="V158" i="12"/>
  <c r="Q158" i="12"/>
  <c r="L158" i="12"/>
  <c r="G158" i="12"/>
  <c r="AF157" i="12"/>
  <c r="AA157" i="12"/>
  <c r="V157" i="12"/>
  <c r="Q157" i="12"/>
  <c r="F184" i="10" s="1"/>
  <c r="L157" i="12"/>
  <c r="G157" i="12"/>
  <c r="AF156" i="12"/>
  <c r="AA156" i="12"/>
  <c r="H183" i="10" s="1"/>
  <c r="V156" i="12"/>
  <c r="Q156" i="12"/>
  <c r="L156" i="12"/>
  <c r="G156" i="12"/>
  <c r="AF155" i="12"/>
  <c r="AA155" i="12"/>
  <c r="V155" i="12"/>
  <c r="Q155" i="12"/>
  <c r="L155" i="12"/>
  <c r="G155" i="12"/>
  <c r="AF154" i="12"/>
  <c r="AA154" i="12"/>
  <c r="H181" i="10" s="1"/>
  <c r="V154" i="12"/>
  <c r="Q154" i="12"/>
  <c r="L154" i="12"/>
  <c r="G154" i="12"/>
  <c r="AF153" i="12"/>
  <c r="AA153" i="12"/>
  <c r="V153" i="12"/>
  <c r="Q153" i="12"/>
  <c r="F180" i="10" s="1"/>
  <c r="L153" i="12"/>
  <c r="G153" i="12"/>
  <c r="AF152" i="12"/>
  <c r="AA152" i="12"/>
  <c r="H179" i="10" s="1"/>
  <c r="V152" i="12"/>
  <c r="Q152" i="12"/>
  <c r="L152" i="12"/>
  <c r="G152" i="12"/>
  <c r="AF151" i="12"/>
  <c r="AA151" i="12"/>
  <c r="V151" i="12"/>
  <c r="Q151" i="12"/>
  <c r="L151" i="12"/>
  <c r="G151" i="12"/>
  <c r="AF150" i="12"/>
  <c r="AA150" i="12"/>
  <c r="H177" i="10" s="1"/>
  <c r="V150" i="12"/>
  <c r="Q150" i="12"/>
  <c r="L150" i="12"/>
  <c r="G150" i="12"/>
  <c r="AF149" i="12"/>
  <c r="AA149" i="12"/>
  <c r="V149" i="12"/>
  <c r="Q149" i="12"/>
  <c r="F176" i="10" s="1"/>
  <c r="L149" i="12"/>
  <c r="G149" i="12"/>
  <c r="AF148" i="12"/>
  <c r="AA148" i="12"/>
  <c r="H175" i="10" s="1"/>
  <c r="V148" i="12"/>
  <c r="Q148" i="12"/>
  <c r="L148" i="12"/>
  <c r="G148" i="12"/>
  <c r="AF147" i="12"/>
  <c r="AA147" i="12"/>
  <c r="V147" i="12"/>
  <c r="Q147" i="12"/>
  <c r="L147" i="12"/>
  <c r="G147" i="12"/>
  <c r="AF146" i="12"/>
  <c r="AA146" i="12"/>
  <c r="H173" i="10" s="1"/>
  <c r="V146" i="12"/>
  <c r="Q146" i="12"/>
  <c r="L146" i="12"/>
  <c r="G146" i="12"/>
  <c r="AF145" i="12"/>
  <c r="AA145" i="12"/>
  <c r="V145" i="12"/>
  <c r="Q145" i="12"/>
  <c r="F172" i="10" s="1"/>
  <c r="L145" i="12"/>
  <c r="G145" i="12"/>
  <c r="AF144" i="12"/>
  <c r="AA144" i="12"/>
  <c r="H171" i="10" s="1"/>
  <c r="V144" i="12"/>
  <c r="Q144" i="12"/>
  <c r="L144" i="12"/>
  <c r="G144" i="12"/>
  <c r="AF143" i="12"/>
  <c r="AA143" i="12"/>
  <c r="V143" i="12"/>
  <c r="Q143" i="12"/>
  <c r="F170" i="10" s="1"/>
  <c r="L143" i="12"/>
  <c r="G143" i="12"/>
  <c r="AF142" i="12"/>
  <c r="AA142" i="12"/>
  <c r="H169" i="10" s="1"/>
  <c r="V142" i="12"/>
  <c r="Q142" i="12"/>
  <c r="L142" i="12"/>
  <c r="G142" i="12"/>
  <c r="AF141" i="12"/>
  <c r="AA141" i="12"/>
  <c r="V141" i="12"/>
  <c r="Q141" i="12"/>
  <c r="F168" i="10" s="1"/>
  <c r="L141" i="12"/>
  <c r="G141" i="12"/>
  <c r="AF140" i="12"/>
  <c r="AA140" i="12"/>
  <c r="H167" i="10" s="1"/>
  <c r="V140" i="12"/>
  <c r="Q140" i="12"/>
  <c r="L140" i="12"/>
  <c r="G140" i="12"/>
  <c r="AF139" i="12"/>
  <c r="AA139" i="12"/>
  <c r="V139" i="12"/>
  <c r="Q139" i="12"/>
  <c r="F166" i="10" s="1"/>
  <c r="L139" i="12"/>
  <c r="G139" i="12"/>
  <c r="AF138" i="12"/>
  <c r="AA138" i="12"/>
  <c r="H165" i="10" s="1"/>
  <c r="V138" i="12"/>
  <c r="Q138" i="12"/>
  <c r="L138" i="12"/>
  <c r="G138" i="12"/>
  <c r="AF137" i="12"/>
  <c r="AA137" i="12"/>
  <c r="V137" i="12"/>
  <c r="Q137" i="12"/>
  <c r="F164" i="10" s="1"/>
  <c r="L137" i="12"/>
  <c r="G137" i="12"/>
  <c r="AF136" i="12"/>
  <c r="AA136" i="12"/>
  <c r="H163" i="10" s="1"/>
  <c r="V136" i="12"/>
  <c r="Q136" i="12"/>
  <c r="L136" i="12"/>
  <c r="G136" i="12"/>
  <c r="AF135" i="12"/>
  <c r="AA135" i="12"/>
  <c r="V135" i="12"/>
  <c r="Q135" i="12"/>
  <c r="F162" i="10" s="1"/>
  <c r="L135" i="12"/>
  <c r="G135" i="12"/>
  <c r="AF134" i="12"/>
  <c r="AA134" i="12"/>
  <c r="H161" i="10" s="1"/>
  <c r="V134" i="12"/>
  <c r="Q134" i="12"/>
  <c r="L134" i="12"/>
  <c r="G134" i="12"/>
  <c r="AF133" i="12"/>
  <c r="AA133" i="12"/>
  <c r="V133" i="12"/>
  <c r="Q133" i="12"/>
  <c r="F160" i="10" s="1"/>
  <c r="L133" i="12"/>
  <c r="G133" i="12"/>
  <c r="AF132" i="12"/>
  <c r="AA132" i="12"/>
  <c r="H159" i="10" s="1"/>
  <c r="V132" i="12"/>
  <c r="Q132" i="12"/>
  <c r="L132" i="12"/>
  <c r="G132" i="12"/>
  <c r="AF131" i="12"/>
  <c r="AA131" i="12"/>
  <c r="V131" i="12"/>
  <c r="Q131" i="12"/>
  <c r="L131" i="12"/>
  <c r="G131" i="12"/>
  <c r="AF130" i="12"/>
  <c r="AA130" i="12"/>
  <c r="H157" i="10" s="1"/>
  <c r="V130" i="12"/>
  <c r="Q130" i="12"/>
  <c r="L130" i="12"/>
  <c r="G130" i="12"/>
  <c r="AF129" i="12"/>
  <c r="AA129" i="12"/>
  <c r="V129" i="12"/>
  <c r="Q129" i="12"/>
  <c r="F156" i="10" s="1"/>
  <c r="L129" i="12"/>
  <c r="G129" i="12"/>
  <c r="AF128" i="12"/>
  <c r="AA128" i="12"/>
  <c r="H155" i="10" s="1"/>
  <c r="V128" i="12"/>
  <c r="Q128" i="12"/>
  <c r="L128" i="12"/>
  <c r="G128" i="12"/>
  <c r="AF127" i="12"/>
  <c r="AA127" i="12"/>
  <c r="V127" i="12"/>
  <c r="Q127" i="12"/>
  <c r="L127" i="12"/>
  <c r="G127" i="12"/>
  <c r="AF126" i="12"/>
  <c r="AA126" i="12"/>
  <c r="H153" i="10" s="1"/>
  <c r="V126" i="12"/>
  <c r="Q126" i="12"/>
  <c r="L126" i="12"/>
  <c r="G126" i="12"/>
  <c r="AF125" i="12"/>
  <c r="AA125" i="12"/>
  <c r="V125" i="12"/>
  <c r="Q125" i="12"/>
  <c r="F152" i="10" s="1"/>
  <c r="L125" i="12"/>
  <c r="G125" i="12"/>
  <c r="AF124" i="12"/>
  <c r="AA124" i="12"/>
  <c r="H151" i="10" s="1"/>
  <c r="V124" i="12"/>
  <c r="Q124" i="12"/>
  <c r="L124" i="12"/>
  <c r="G124" i="12"/>
  <c r="AF123" i="12"/>
  <c r="AA123" i="12"/>
  <c r="V123" i="12"/>
  <c r="Q123" i="12"/>
  <c r="L123" i="12"/>
  <c r="G123" i="12"/>
  <c r="AF122" i="12"/>
  <c r="AA122" i="12"/>
  <c r="H149" i="10" s="1"/>
  <c r="V122" i="12"/>
  <c r="Q122" i="12"/>
  <c r="L122" i="12"/>
  <c r="G122" i="12"/>
  <c r="AF121" i="12"/>
  <c r="AA121" i="12"/>
  <c r="V121" i="12"/>
  <c r="Q121" i="12"/>
  <c r="F148" i="10" s="1"/>
  <c r="L121" i="12"/>
  <c r="G121" i="12"/>
  <c r="AF120" i="12"/>
  <c r="AA120" i="12"/>
  <c r="H147" i="10" s="1"/>
  <c r="V120" i="12"/>
  <c r="Q120" i="12"/>
  <c r="L120" i="12"/>
  <c r="G120" i="12"/>
  <c r="AF119" i="12"/>
  <c r="AA119" i="12"/>
  <c r="V119" i="12"/>
  <c r="Q119" i="12"/>
  <c r="F146" i="10" s="1"/>
  <c r="L119" i="12"/>
  <c r="G119" i="12"/>
  <c r="AF118" i="12"/>
  <c r="AA118" i="12"/>
  <c r="H145" i="10" s="1"/>
  <c r="V118" i="12"/>
  <c r="Q118" i="12"/>
  <c r="L118" i="12"/>
  <c r="G118" i="12"/>
  <c r="AF117" i="12"/>
  <c r="AA117" i="12"/>
  <c r="V117" i="12"/>
  <c r="Q117" i="12"/>
  <c r="F144" i="10" s="1"/>
  <c r="L117" i="12"/>
  <c r="G117" i="12"/>
  <c r="AF116" i="12"/>
  <c r="AA116" i="12"/>
  <c r="H143" i="10" s="1"/>
  <c r="V116" i="12"/>
  <c r="Q116" i="12"/>
  <c r="L116" i="12"/>
  <c r="G116" i="12"/>
  <c r="AF115" i="12"/>
  <c r="AA115" i="12"/>
  <c r="V115" i="12"/>
  <c r="Q115" i="12"/>
  <c r="F142" i="10" s="1"/>
  <c r="L115" i="12"/>
  <c r="G115" i="12"/>
  <c r="AF114" i="12"/>
  <c r="AA114" i="12"/>
  <c r="H141" i="10" s="1"/>
  <c r="V114" i="12"/>
  <c r="Q114" i="12"/>
  <c r="L114" i="12"/>
  <c r="G114" i="12"/>
  <c r="AF113" i="12"/>
  <c r="AA113" i="12"/>
  <c r="V113" i="12"/>
  <c r="Q113" i="12"/>
  <c r="F140" i="10" s="1"/>
  <c r="L113" i="12"/>
  <c r="G113" i="12"/>
  <c r="AF112" i="12"/>
  <c r="AA112" i="12"/>
  <c r="H139" i="10" s="1"/>
  <c r="V112" i="12"/>
  <c r="Q112" i="12"/>
  <c r="L112" i="12"/>
  <c r="G112" i="12"/>
  <c r="AF111" i="12"/>
  <c r="AA111" i="12"/>
  <c r="V111" i="12"/>
  <c r="Q111" i="12"/>
  <c r="F138" i="10" s="1"/>
  <c r="L111" i="12"/>
  <c r="G111" i="12"/>
  <c r="AF110" i="12"/>
  <c r="AA110" i="12"/>
  <c r="H137" i="10" s="1"/>
  <c r="V110" i="12"/>
  <c r="Q110" i="12"/>
  <c r="L110" i="12"/>
  <c r="G110" i="12"/>
  <c r="AF109" i="12"/>
  <c r="AA109" i="12"/>
  <c r="V109" i="12"/>
  <c r="Q109" i="12"/>
  <c r="F136" i="10" s="1"/>
  <c r="L109" i="12"/>
  <c r="G109" i="12"/>
  <c r="AF108" i="12"/>
  <c r="AA108" i="12"/>
  <c r="H135" i="10" s="1"/>
  <c r="V108" i="12"/>
  <c r="Q108" i="12"/>
  <c r="L108" i="12"/>
  <c r="G108" i="12"/>
  <c r="AF107" i="12"/>
  <c r="AA107" i="12"/>
  <c r="V107" i="12"/>
  <c r="Q107" i="12"/>
  <c r="L107" i="12"/>
  <c r="G107" i="12"/>
  <c r="AF106" i="12"/>
  <c r="AA106" i="12"/>
  <c r="H133" i="10" s="1"/>
  <c r="V106" i="12"/>
  <c r="Q106" i="12"/>
  <c r="L106" i="12"/>
  <c r="G106" i="12"/>
  <c r="AF105" i="12"/>
  <c r="AA105" i="12"/>
  <c r="V105" i="12"/>
  <c r="Q105" i="12"/>
  <c r="F132" i="10" s="1"/>
  <c r="L105" i="12"/>
  <c r="G105" i="12"/>
  <c r="AF104" i="12"/>
  <c r="AA104" i="12"/>
  <c r="H131" i="10" s="1"/>
  <c r="V104" i="12"/>
  <c r="Q104" i="12"/>
  <c r="L104" i="12"/>
  <c r="G104" i="12"/>
  <c r="AF103" i="12"/>
  <c r="AA103" i="12"/>
  <c r="V103" i="12"/>
  <c r="Q103" i="12"/>
  <c r="F130" i="10" s="1"/>
  <c r="L103" i="12"/>
  <c r="G103" i="12"/>
  <c r="AF102" i="12"/>
  <c r="AA102" i="12"/>
  <c r="H129" i="10" s="1"/>
  <c r="V102" i="12"/>
  <c r="Q102" i="12"/>
  <c r="L102" i="12"/>
  <c r="G102" i="12"/>
  <c r="AF101" i="12"/>
  <c r="AA101" i="12"/>
  <c r="V101" i="12"/>
  <c r="Q101" i="12"/>
  <c r="F128" i="10" s="1"/>
  <c r="L101" i="12"/>
  <c r="G101" i="12"/>
  <c r="AF100" i="12"/>
  <c r="AA100" i="12"/>
  <c r="H127" i="10" s="1"/>
  <c r="V100" i="12"/>
  <c r="Q100" i="12"/>
  <c r="L100" i="12"/>
  <c r="G100" i="12"/>
  <c r="AF99" i="12"/>
  <c r="AA99" i="12"/>
  <c r="V99" i="12"/>
  <c r="Q99" i="12"/>
  <c r="F126" i="10" s="1"/>
  <c r="L99" i="12"/>
  <c r="G99" i="12"/>
  <c r="AF98" i="12"/>
  <c r="AA98" i="12"/>
  <c r="H125" i="10" s="1"/>
  <c r="V98" i="12"/>
  <c r="Q98" i="12"/>
  <c r="L98" i="12"/>
  <c r="G98" i="12"/>
  <c r="AF97" i="12"/>
  <c r="AA97" i="12"/>
  <c r="V97" i="12"/>
  <c r="Q97" i="12"/>
  <c r="F124" i="10" s="1"/>
  <c r="L97" i="12"/>
  <c r="G97" i="12"/>
  <c r="AF96" i="12"/>
  <c r="AA96" i="12"/>
  <c r="H123" i="10" s="1"/>
  <c r="V96" i="12"/>
  <c r="Q96" i="12"/>
  <c r="L96" i="12"/>
  <c r="G96" i="12"/>
  <c r="AF95" i="12"/>
  <c r="AA95" i="12"/>
  <c r="V95" i="12"/>
  <c r="Q95" i="12"/>
  <c r="F122" i="10" s="1"/>
  <c r="L95" i="12"/>
  <c r="G95" i="12"/>
  <c r="AF94" i="12"/>
  <c r="AA94" i="12"/>
  <c r="H121" i="10" s="1"/>
  <c r="V94" i="12"/>
  <c r="Q94" i="12"/>
  <c r="L94" i="12"/>
  <c r="G94" i="12"/>
  <c r="AF93" i="12"/>
  <c r="AA93" i="12"/>
  <c r="V93" i="12"/>
  <c r="Q93" i="12"/>
  <c r="F120" i="10" s="1"/>
  <c r="L93" i="12"/>
  <c r="G93" i="12"/>
  <c r="AF92" i="12"/>
  <c r="AA92" i="12"/>
  <c r="H119" i="10" s="1"/>
  <c r="V92" i="12"/>
  <c r="Q92" i="12"/>
  <c r="L92" i="12"/>
  <c r="G92" i="12"/>
  <c r="AF91" i="12"/>
  <c r="AA91" i="12"/>
  <c r="V91" i="12"/>
  <c r="Q91" i="12"/>
  <c r="F118" i="10" s="1"/>
  <c r="L91" i="12"/>
  <c r="G91" i="12"/>
  <c r="AF90" i="12"/>
  <c r="AA90" i="12"/>
  <c r="H117" i="10" s="1"/>
  <c r="V90" i="12"/>
  <c r="Q90" i="12"/>
  <c r="L90" i="12"/>
  <c r="G90" i="12"/>
  <c r="AF89" i="12"/>
  <c r="AA89" i="12"/>
  <c r="V89" i="12"/>
  <c r="Q89" i="12"/>
  <c r="F116" i="10" s="1"/>
  <c r="L89" i="12"/>
  <c r="G89" i="12"/>
  <c r="AF88" i="12"/>
  <c r="AA88" i="12"/>
  <c r="H115" i="10" s="1"/>
  <c r="V88" i="12"/>
  <c r="Q88" i="12"/>
  <c r="L88" i="12"/>
  <c r="G88" i="12"/>
  <c r="AF87" i="12"/>
  <c r="AA87" i="12"/>
  <c r="V87" i="12"/>
  <c r="Q87" i="12"/>
  <c r="F114" i="10" s="1"/>
  <c r="L87" i="12"/>
  <c r="G87" i="12"/>
  <c r="AF86" i="12"/>
  <c r="AA86" i="12"/>
  <c r="H113" i="10" s="1"/>
  <c r="V86" i="12"/>
  <c r="Q86" i="12"/>
  <c r="L86" i="12"/>
  <c r="G86" i="12"/>
  <c r="AF85" i="12"/>
  <c r="AA85" i="12"/>
  <c r="V85" i="12"/>
  <c r="Q85" i="12"/>
  <c r="F112" i="10" s="1"/>
  <c r="L85" i="12"/>
  <c r="G85" i="12"/>
  <c r="AF84" i="12"/>
  <c r="AA84" i="12"/>
  <c r="H111" i="10" s="1"/>
  <c r="V84" i="12"/>
  <c r="Q84" i="12"/>
  <c r="L84" i="12"/>
  <c r="G84" i="12"/>
  <c r="AF83" i="12"/>
  <c r="AA83" i="12"/>
  <c r="V83" i="12"/>
  <c r="Q83" i="12"/>
  <c r="F110" i="10" s="1"/>
  <c r="L83" i="12"/>
  <c r="G83" i="12"/>
  <c r="AF82" i="12"/>
  <c r="AA82" i="12"/>
  <c r="H109" i="10" s="1"/>
  <c r="V82" i="12"/>
  <c r="Q82" i="12"/>
  <c r="L82" i="12"/>
  <c r="G82" i="12"/>
  <c r="AF81" i="12"/>
  <c r="AA81" i="12"/>
  <c r="V81" i="12"/>
  <c r="Q81" i="12"/>
  <c r="F108" i="10" s="1"/>
  <c r="L81" i="12"/>
  <c r="G81" i="12"/>
  <c r="AF80" i="12"/>
  <c r="AA80" i="12"/>
  <c r="H107" i="10" s="1"/>
  <c r="V80" i="12"/>
  <c r="Q80" i="12"/>
  <c r="L80" i="12"/>
  <c r="G80" i="12"/>
  <c r="AF79" i="12"/>
  <c r="AA79" i="12"/>
  <c r="V79" i="12"/>
  <c r="Q79" i="12"/>
  <c r="F106" i="10" s="1"/>
  <c r="L79" i="12"/>
  <c r="G79" i="12"/>
  <c r="AF78" i="12"/>
  <c r="AA78" i="12"/>
  <c r="H105" i="10" s="1"/>
  <c r="V78" i="12"/>
  <c r="Q78" i="12"/>
  <c r="L78" i="12"/>
  <c r="G78" i="12"/>
  <c r="AF77" i="12"/>
  <c r="AA77" i="12"/>
  <c r="V77" i="12"/>
  <c r="Q77" i="12"/>
  <c r="F104" i="10" s="1"/>
  <c r="L77" i="12"/>
  <c r="G77" i="12"/>
  <c r="AF76" i="12"/>
  <c r="AA76" i="12"/>
  <c r="H103" i="10" s="1"/>
  <c r="V76" i="12"/>
  <c r="Q76" i="12"/>
  <c r="L76" i="12"/>
  <c r="G76" i="12"/>
  <c r="AF75" i="12"/>
  <c r="AA75" i="12"/>
  <c r="V75" i="12"/>
  <c r="Q75" i="12"/>
  <c r="F102" i="10" s="1"/>
  <c r="L75" i="12"/>
  <c r="G75" i="12"/>
  <c r="AF74" i="12"/>
  <c r="AA74" i="12"/>
  <c r="H101" i="10" s="1"/>
  <c r="V74" i="12"/>
  <c r="Q74" i="12"/>
  <c r="L74" i="12"/>
  <c r="G74" i="12"/>
  <c r="AF73" i="12"/>
  <c r="AA73" i="12"/>
  <c r="V73" i="12"/>
  <c r="Q73" i="12"/>
  <c r="F100" i="10" s="1"/>
  <c r="L73" i="12"/>
  <c r="G73" i="12"/>
  <c r="AF72" i="12"/>
  <c r="AA72" i="12"/>
  <c r="H99" i="10" s="1"/>
  <c r="V72" i="12"/>
  <c r="Q72" i="12"/>
  <c r="L72" i="12"/>
  <c r="G72" i="12"/>
  <c r="AF71" i="12"/>
  <c r="AA71" i="12"/>
  <c r="V71" i="12"/>
  <c r="Q71" i="12"/>
  <c r="F98" i="10" s="1"/>
  <c r="L71" i="12"/>
  <c r="G71" i="12"/>
  <c r="AF70" i="12"/>
  <c r="AA70" i="12"/>
  <c r="H97" i="10" s="1"/>
  <c r="V70" i="12"/>
  <c r="Q70" i="12"/>
  <c r="L70" i="12"/>
  <c r="G70" i="12"/>
  <c r="AF69" i="12"/>
  <c r="AA69" i="12"/>
  <c r="V69" i="12"/>
  <c r="Q69" i="12"/>
  <c r="F96" i="10" s="1"/>
  <c r="L69" i="12"/>
  <c r="G69" i="12"/>
  <c r="AF68" i="12"/>
  <c r="AA68" i="12"/>
  <c r="H95" i="10" s="1"/>
  <c r="V68" i="12"/>
  <c r="Q68" i="12"/>
  <c r="L68" i="12"/>
  <c r="G68" i="12"/>
  <c r="AF67" i="12"/>
  <c r="AA67" i="12"/>
  <c r="V67" i="12"/>
  <c r="Q67" i="12"/>
  <c r="F94" i="10" s="1"/>
  <c r="L67" i="12"/>
  <c r="G67" i="12"/>
  <c r="AF66" i="12"/>
  <c r="AA66" i="12"/>
  <c r="H93" i="10" s="1"/>
  <c r="V66" i="12"/>
  <c r="Q66" i="12"/>
  <c r="L66" i="12"/>
  <c r="G66" i="12"/>
  <c r="AF65" i="12"/>
  <c r="AA65" i="12"/>
  <c r="V65" i="12"/>
  <c r="Q65" i="12"/>
  <c r="F92" i="10" s="1"/>
  <c r="L65" i="12"/>
  <c r="G65" i="12"/>
  <c r="AF64" i="12"/>
  <c r="AA64" i="12"/>
  <c r="H91" i="10" s="1"/>
  <c r="V64" i="12"/>
  <c r="Q64" i="12"/>
  <c r="L64" i="12"/>
  <c r="G64" i="12"/>
  <c r="AF63" i="12"/>
  <c r="AA63" i="12"/>
  <c r="V63" i="12"/>
  <c r="Q63" i="12"/>
  <c r="F90" i="10" s="1"/>
  <c r="L63" i="12"/>
  <c r="G63" i="12"/>
  <c r="AF62" i="12"/>
  <c r="AA62" i="12"/>
  <c r="H89" i="10" s="1"/>
  <c r="V62" i="12"/>
  <c r="Q62" i="12"/>
  <c r="L62" i="12"/>
  <c r="G62" i="12"/>
  <c r="AF61" i="12"/>
  <c r="AA61" i="12"/>
  <c r="V61" i="12"/>
  <c r="Q61" i="12"/>
  <c r="F88" i="10" s="1"/>
  <c r="L61" i="12"/>
  <c r="G61" i="12"/>
  <c r="AF60" i="12"/>
  <c r="AA60" i="12"/>
  <c r="H87" i="10" s="1"/>
  <c r="V60" i="12"/>
  <c r="Q60" i="12"/>
  <c r="L60" i="12"/>
  <c r="G60" i="12"/>
  <c r="AF59" i="12"/>
  <c r="AA59" i="12"/>
  <c r="V59" i="12"/>
  <c r="Q59" i="12"/>
  <c r="F86" i="10" s="1"/>
  <c r="L59" i="12"/>
  <c r="G59" i="12"/>
  <c r="AF58" i="12"/>
  <c r="AA58" i="12"/>
  <c r="H85" i="10" s="1"/>
  <c r="V58" i="12"/>
  <c r="Q58" i="12"/>
  <c r="L58" i="12"/>
  <c r="G58" i="12"/>
  <c r="AF57" i="12"/>
  <c r="AA57" i="12"/>
  <c r="V57" i="12"/>
  <c r="Q57" i="12"/>
  <c r="F84" i="10" s="1"/>
  <c r="L57" i="12"/>
  <c r="G57" i="12"/>
  <c r="AF56" i="12"/>
  <c r="AA56" i="12"/>
  <c r="H83" i="10" s="1"/>
  <c r="V56" i="12"/>
  <c r="Q56" i="12"/>
  <c r="L56" i="12"/>
  <c r="G56" i="12"/>
  <c r="AF55" i="12"/>
  <c r="AA55" i="12"/>
  <c r="V55" i="12"/>
  <c r="Q55" i="12"/>
  <c r="F82" i="10" s="1"/>
  <c r="L55" i="12"/>
  <c r="G55" i="12"/>
  <c r="AF54" i="12"/>
  <c r="AA54" i="12"/>
  <c r="H81" i="10" s="1"/>
  <c r="V54" i="12"/>
  <c r="Q54" i="12"/>
  <c r="L54" i="12"/>
  <c r="G54" i="12"/>
  <c r="AF53" i="12"/>
  <c r="AA53" i="12"/>
  <c r="V53" i="12"/>
  <c r="Q53" i="12"/>
  <c r="F80" i="10" s="1"/>
  <c r="L53" i="12"/>
  <c r="G53" i="12"/>
  <c r="AF52" i="12"/>
  <c r="AA52" i="12"/>
  <c r="H79" i="10" s="1"/>
  <c r="V52" i="12"/>
  <c r="Q52" i="12"/>
  <c r="L52" i="12"/>
  <c r="G52" i="12"/>
  <c r="AF51" i="12"/>
  <c r="AA51" i="12"/>
  <c r="V51" i="12"/>
  <c r="Q51" i="12"/>
  <c r="F78" i="10" s="1"/>
  <c r="L51" i="12"/>
  <c r="G51" i="12"/>
  <c r="AF50" i="12"/>
  <c r="AA50" i="12"/>
  <c r="H77" i="10" s="1"/>
  <c r="V50" i="12"/>
  <c r="Q50" i="12"/>
  <c r="L50" i="12"/>
  <c r="G50" i="12"/>
  <c r="AF49" i="12"/>
  <c r="AA49" i="12"/>
  <c r="V49" i="12"/>
  <c r="Q49" i="12"/>
  <c r="F76" i="10" s="1"/>
  <c r="L49" i="12"/>
  <c r="G49" i="12"/>
  <c r="AF48" i="12"/>
  <c r="AA48" i="12"/>
  <c r="H75" i="10" s="1"/>
  <c r="V48" i="12"/>
  <c r="Q48" i="12"/>
  <c r="L48" i="12"/>
  <c r="G48" i="12"/>
  <c r="AF47" i="12"/>
  <c r="AA47" i="12"/>
  <c r="V47" i="12"/>
  <c r="Q47" i="12"/>
  <c r="F74" i="10" s="1"/>
  <c r="L47" i="12"/>
  <c r="G47" i="12"/>
  <c r="AF46" i="12"/>
  <c r="AA46" i="12"/>
  <c r="H73" i="10" s="1"/>
  <c r="V46" i="12"/>
  <c r="Q46" i="12"/>
  <c r="L46" i="12"/>
  <c r="G46" i="12"/>
  <c r="AF45" i="12"/>
  <c r="AA45" i="12"/>
  <c r="V45" i="12"/>
  <c r="Q45" i="12"/>
  <c r="F72" i="10" s="1"/>
  <c r="L45" i="12"/>
  <c r="G45" i="12"/>
  <c r="AF44" i="12"/>
  <c r="AA44" i="12"/>
  <c r="H71" i="10" s="1"/>
  <c r="V44" i="12"/>
  <c r="Q44" i="12"/>
  <c r="L44" i="12"/>
  <c r="G44" i="12"/>
  <c r="AF43" i="12"/>
  <c r="AA43" i="12"/>
  <c r="V43" i="12"/>
  <c r="Q43" i="12"/>
  <c r="F70" i="10" s="1"/>
  <c r="L43" i="12"/>
  <c r="G43" i="12"/>
  <c r="AF42" i="12"/>
  <c r="AA42" i="12"/>
  <c r="H69" i="10" s="1"/>
  <c r="V42" i="12"/>
  <c r="Q42" i="12"/>
  <c r="L42" i="12"/>
  <c r="G42" i="12"/>
  <c r="AF41" i="12"/>
  <c r="AA41" i="12"/>
  <c r="V41" i="12"/>
  <c r="Q41" i="12"/>
  <c r="F68" i="10" s="1"/>
  <c r="L41" i="12"/>
  <c r="G41" i="12"/>
  <c r="AF40" i="12"/>
  <c r="AA40" i="12"/>
  <c r="H67" i="10" s="1"/>
  <c r="V40" i="12"/>
  <c r="Q40" i="12"/>
  <c r="L40" i="12"/>
  <c r="G40" i="12"/>
  <c r="AF39" i="12"/>
  <c r="AA39" i="12"/>
  <c r="V39" i="12"/>
  <c r="Q39" i="12"/>
  <c r="F66" i="10" s="1"/>
  <c r="L39" i="12"/>
  <c r="G39" i="12"/>
  <c r="AF38" i="12"/>
  <c r="AA38" i="12"/>
  <c r="H65" i="10" s="1"/>
  <c r="V38" i="12"/>
  <c r="Q38" i="12"/>
  <c r="L38" i="12"/>
  <c r="G38" i="12"/>
  <c r="AF37" i="12"/>
  <c r="AA37" i="12"/>
  <c r="V37" i="12"/>
  <c r="Q37" i="12"/>
  <c r="F64" i="10" s="1"/>
  <c r="L37" i="12"/>
  <c r="G37" i="12"/>
  <c r="AF36" i="12"/>
  <c r="AA36" i="12"/>
  <c r="H63" i="10" s="1"/>
  <c r="V36" i="12"/>
  <c r="Q36" i="12"/>
  <c r="L36" i="12"/>
  <c r="G36" i="12"/>
  <c r="AF35" i="12"/>
  <c r="AA35" i="12"/>
  <c r="V35" i="12"/>
  <c r="Q35" i="12"/>
  <c r="F62" i="10" s="1"/>
  <c r="L35" i="12"/>
  <c r="G35" i="12"/>
  <c r="AF34" i="12"/>
  <c r="AA34" i="12"/>
  <c r="H61" i="10" s="1"/>
  <c r="V34" i="12"/>
  <c r="Q34" i="12"/>
  <c r="L34" i="12"/>
  <c r="G34" i="12"/>
  <c r="AF33" i="12"/>
  <c r="AA33" i="12"/>
  <c r="V33" i="12"/>
  <c r="Q33" i="12"/>
  <c r="F60" i="10" s="1"/>
  <c r="L33" i="12"/>
  <c r="G33" i="12"/>
  <c r="AF32" i="12"/>
  <c r="AA32" i="12"/>
  <c r="H59" i="10" s="1"/>
  <c r="V32" i="12"/>
  <c r="Q32" i="12"/>
  <c r="L32" i="12"/>
  <c r="G32" i="12"/>
  <c r="AF31" i="12"/>
  <c r="AA31" i="12"/>
  <c r="V31" i="12"/>
  <c r="Q31" i="12"/>
  <c r="F58" i="10" s="1"/>
  <c r="L31" i="12"/>
  <c r="G31" i="12"/>
  <c r="AF30" i="12"/>
  <c r="AA30" i="12"/>
  <c r="H57" i="10" s="1"/>
  <c r="V30" i="12"/>
  <c r="Q30" i="12"/>
  <c r="L30" i="12"/>
  <c r="G30" i="12"/>
  <c r="AF29" i="12"/>
  <c r="AA29" i="12"/>
  <c r="V29" i="12"/>
  <c r="Q29" i="12"/>
  <c r="F56" i="10" s="1"/>
  <c r="L29" i="12"/>
  <c r="G29" i="12"/>
  <c r="AF28" i="12"/>
  <c r="AA28" i="12"/>
  <c r="H55" i="10" s="1"/>
  <c r="V28" i="12"/>
  <c r="Q28" i="12"/>
  <c r="L28" i="12"/>
  <c r="G28" i="12"/>
  <c r="AF27" i="12"/>
  <c r="AA27" i="12"/>
  <c r="V27" i="12"/>
  <c r="Q27" i="12"/>
  <c r="F54" i="10" s="1"/>
  <c r="L27" i="12"/>
  <c r="G27" i="12"/>
  <c r="AF26" i="12"/>
  <c r="AA26" i="12"/>
  <c r="H53" i="10" s="1"/>
  <c r="V26" i="12"/>
  <c r="Q26" i="12"/>
  <c r="L26" i="12"/>
  <c r="G26" i="12"/>
  <c r="AF25" i="12"/>
  <c r="AA25" i="12"/>
  <c r="V25" i="12"/>
  <c r="Q25" i="12"/>
  <c r="F52" i="10" s="1"/>
  <c r="L25" i="12"/>
  <c r="G25" i="12"/>
  <c r="AF24" i="12"/>
  <c r="AA24" i="12"/>
  <c r="H51" i="10" s="1"/>
  <c r="V24" i="12"/>
  <c r="Q24" i="12"/>
  <c r="L24" i="12"/>
  <c r="G24" i="12"/>
  <c r="AF23" i="12"/>
  <c r="AA23" i="12"/>
  <c r="V23" i="12"/>
  <c r="Q23" i="12"/>
  <c r="F50" i="10" s="1"/>
  <c r="L23" i="12"/>
  <c r="G23" i="12"/>
  <c r="AF22" i="12"/>
  <c r="AA22" i="12"/>
  <c r="H49" i="10" s="1"/>
  <c r="V22" i="12"/>
  <c r="Q22" i="12"/>
  <c r="L22" i="12"/>
  <c r="G22" i="12"/>
  <c r="AF21" i="12"/>
  <c r="AA21" i="12"/>
  <c r="V21" i="12"/>
  <c r="Q21" i="12"/>
  <c r="F48" i="10" s="1"/>
  <c r="L21" i="12"/>
  <c r="G21" i="12"/>
  <c r="AF20" i="12"/>
  <c r="AA20" i="12"/>
  <c r="H47" i="10" s="1"/>
  <c r="V20" i="12"/>
  <c r="Q20" i="12"/>
  <c r="L20" i="12"/>
  <c r="G20" i="12"/>
  <c r="AF19" i="12"/>
  <c r="AA19" i="12"/>
  <c r="V19" i="12"/>
  <c r="Q19" i="12"/>
  <c r="F46" i="10" s="1"/>
  <c r="L19" i="12"/>
  <c r="G19" i="12"/>
  <c r="AF18" i="12"/>
  <c r="AA18" i="12"/>
  <c r="H45" i="10" s="1"/>
  <c r="V18" i="12"/>
  <c r="Q18" i="12"/>
  <c r="L18" i="12"/>
  <c r="G18" i="12"/>
  <c r="AF17" i="12"/>
  <c r="AA17" i="12"/>
  <c r="V17" i="12"/>
  <c r="Q17" i="12"/>
  <c r="F44" i="10" s="1"/>
  <c r="L17" i="12"/>
  <c r="G17" i="12"/>
  <c r="AF16" i="12"/>
  <c r="AA16" i="12"/>
  <c r="H43" i="10" s="1"/>
  <c r="V16" i="12"/>
  <c r="Q16" i="12"/>
  <c r="L16" i="12"/>
  <c r="G16" i="12"/>
  <c r="AF15" i="12"/>
  <c r="AA15" i="12"/>
  <c r="V15" i="12"/>
  <c r="Q15" i="12"/>
  <c r="F42" i="10" s="1"/>
  <c r="L15" i="12"/>
  <c r="G15" i="12"/>
  <c r="AF14" i="12"/>
  <c r="AA14" i="12"/>
  <c r="H41" i="10" s="1"/>
  <c r="V14" i="12"/>
  <c r="Q14" i="12"/>
  <c r="L14" i="12"/>
  <c r="G14" i="12"/>
  <c r="AF13" i="12"/>
  <c r="AA13" i="12"/>
  <c r="V13" i="12"/>
  <c r="Q13" i="12"/>
  <c r="F40" i="10" s="1"/>
  <c r="L13" i="12"/>
  <c r="G13" i="12"/>
  <c r="AF12" i="12"/>
  <c r="AA12" i="12"/>
  <c r="H39" i="10" s="1"/>
  <c r="V12" i="12"/>
  <c r="Q12" i="12"/>
  <c r="L12" i="12"/>
  <c r="G12" i="12"/>
  <c r="AF11" i="12"/>
  <c r="AA11" i="12"/>
  <c r="V11" i="12"/>
  <c r="Q11" i="12"/>
  <c r="F38" i="10" s="1"/>
  <c r="L11" i="12"/>
  <c r="G11" i="12"/>
  <c r="AF10" i="12"/>
  <c r="AA10" i="12"/>
  <c r="H37" i="10" s="1"/>
  <c r="V10" i="12"/>
  <c r="Q10" i="12"/>
  <c r="L10" i="12"/>
  <c r="G10" i="12"/>
  <c r="AF9" i="12"/>
  <c r="AA9" i="12"/>
  <c r="V9" i="12"/>
  <c r="Q9" i="12"/>
  <c r="F36" i="10" s="1"/>
  <c r="L9" i="12"/>
  <c r="G9" i="12"/>
  <c r="AF8" i="12"/>
  <c r="AA8" i="12"/>
  <c r="H35" i="10" s="1"/>
  <c r="V8" i="12"/>
  <c r="Q8" i="12"/>
  <c r="L8" i="12"/>
  <c r="G8" i="12"/>
  <c r="AF7" i="12"/>
  <c r="AA7" i="12"/>
  <c r="V7" i="12"/>
  <c r="Q7" i="12"/>
  <c r="F34" i="10" s="1"/>
  <c r="L7" i="12"/>
  <c r="G7" i="12"/>
  <c r="AF6" i="12"/>
  <c r="AA6" i="12"/>
  <c r="H33" i="10" s="1"/>
  <c r="V6" i="12"/>
  <c r="Q6" i="12"/>
  <c r="L6" i="12"/>
  <c r="G6" i="12"/>
  <c r="AF5" i="12"/>
  <c r="AA5" i="12"/>
  <c r="V5" i="12"/>
  <c r="Q5" i="12"/>
  <c r="F32" i="10" s="1"/>
  <c r="L5" i="12"/>
  <c r="G5" i="12"/>
  <c r="B40" i="11"/>
  <c r="D35" i="11"/>
  <c r="C35" i="11"/>
  <c r="E35" i="11" s="1"/>
  <c r="D33" i="11"/>
  <c r="D32" i="11"/>
  <c r="D40" i="11" s="1"/>
  <c r="C32" i="11"/>
  <c r="D30" i="11"/>
  <c r="C30" i="11"/>
  <c r="E30" i="11" s="1"/>
  <c r="N9" i="11"/>
  <c r="L9" i="11"/>
  <c r="K9" i="11"/>
  <c r="M8" i="11"/>
  <c r="N8" i="11" s="1"/>
  <c r="L8" i="11"/>
  <c r="K8" i="11"/>
  <c r="N7" i="11"/>
  <c r="L7" i="11"/>
  <c r="K7" i="11"/>
  <c r="M6" i="11"/>
  <c r="L6" i="11"/>
  <c r="K6" i="11"/>
  <c r="L5" i="11"/>
  <c r="K5" i="11"/>
  <c r="I291" i="10"/>
  <c r="G291" i="10"/>
  <c r="F291" i="10"/>
  <c r="E291" i="10"/>
  <c r="D291" i="10"/>
  <c r="I290" i="10"/>
  <c r="H290" i="10"/>
  <c r="G290" i="10"/>
  <c r="E290" i="10"/>
  <c r="D290" i="10"/>
  <c r="I289" i="10"/>
  <c r="G289" i="10"/>
  <c r="F289" i="10"/>
  <c r="E289" i="10"/>
  <c r="D289" i="10"/>
  <c r="I288" i="10"/>
  <c r="H288" i="10"/>
  <c r="G288" i="10"/>
  <c r="E288" i="10"/>
  <c r="D288" i="10"/>
  <c r="I287" i="10"/>
  <c r="G287" i="10"/>
  <c r="F287" i="10"/>
  <c r="E287" i="10"/>
  <c r="D287" i="10"/>
  <c r="I286" i="10"/>
  <c r="H286" i="10"/>
  <c r="G286" i="10"/>
  <c r="E286" i="10"/>
  <c r="D286" i="10"/>
  <c r="I285" i="10"/>
  <c r="G285" i="10"/>
  <c r="F285" i="10"/>
  <c r="E285" i="10"/>
  <c r="D285" i="10"/>
  <c r="I284" i="10"/>
  <c r="H284" i="10"/>
  <c r="G284" i="10"/>
  <c r="E284" i="10"/>
  <c r="D284" i="10"/>
  <c r="I283" i="10"/>
  <c r="G283" i="10"/>
  <c r="F283" i="10"/>
  <c r="E283" i="10"/>
  <c r="D283" i="10"/>
  <c r="I282" i="10"/>
  <c r="H282" i="10"/>
  <c r="G282" i="10"/>
  <c r="E282" i="10"/>
  <c r="D282" i="10"/>
  <c r="I281" i="10"/>
  <c r="G281" i="10"/>
  <c r="F281" i="10"/>
  <c r="E281" i="10"/>
  <c r="D281" i="10"/>
  <c r="I280" i="10"/>
  <c r="H280" i="10"/>
  <c r="G280" i="10"/>
  <c r="E280" i="10"/>
  <c r="D280" i="10"/>
  <c r="I279" i="10"/>
  <c r="G279" i="10"/>
  <c r="F279" i="10"/>
  <c r="E279" i="10"/>
  <c r="D279" i="10"/>
  <c r="I278" i="10"/>
  <c r="H278" i="10"/>
  <c r="G278" i="10"/>
  <c r="F278" i="10"/>
  <c r="E278" i="10"/>
  <c r="D278" i="10"/>
  <c r="I277" i="10"/>
  <c r="G277" i="10"/>
  <c r="F277" i="10"/>
  <c r="E277" i="10"/>
  <c r="D277" i="10"/>
  <c r="I276" i="10"/>
  <c r="H276" i="10"/>
  <c r="G276" i="10"/>
  <c r="E276" i="10"/>
  <c r="D276" i="10"/>
  <c r="I275" i="10"/>
  <c r="G275" i="10"/>
  <c r="F275" i="10"/>
  <c r="E275" i="10"/>
  <c r="D275" i="10"/>
  <c r="I274" i="10"/>
  <c r="H274" i="10"/>
  <c r="G274" i="10"/>
  <c r="F274" i="10"/>
  <c r="E274" i="10"/>
  <c r="D274" i="10"/>
  <c r="I273" i="10"/>
  <c r="G273" i="10"/>
  <c r="F273" i="10"/>
  <c r="E273" i="10"/>
  <c r="D273" i="10"/>
  <c r="I272" i="10"/>
  <c r="H272" i="10"/>
  <c r="G272" i="10"/>
  <c r="E272" i="10"/>
  <c r="D272" i="10"/>
  <c r="I271" i="10"/>
  <c r="G271" i="10"/>
  <c r="F271" i="10"/>
  <c r="E271" i="10"/>
  <c r="D271" i="10"/>
  <c r="I270" i="10"/>
  <c r="H270" i="10"/>
  <c r="G270" i="10"/>
  <c r="F270" i="10"/>
  <c r="E270" i="10"/>
  <c r="D270" i="10"/>
  <c r="I269" i="10"/>
  <c r="G269" i="10"/>
  <c r="F269" i="10"/>
  <c r="E269" i="10"/>
  <c r="D269" i="10"/>
  <c r="I268" i="10"/>
  <c r="H268" i="10"/>
  <c r="G268" i="10"/>
  <c r="E268" i="10"/>
  <c r="D268" i="10"/>
  <c r="I267" i="10"/>
  <c r="G267" i="10"/>
  <c r="F267" i="10"/>
  <c r="E267" i="10"/>
  <c r="D267" i="10"/>
  <c r="I266" i="10"/>
  <c r="H266" i="10"/>
  <c r="G266" i="10"/>
  <c r="E266" i="10"/>
  <c r="D266" i="10"/>
  <c r="I265" i="10"/>
  <c r="G265" i="10"/>
  <c r="F265" i="10"/>
  <c r="E265" i="10"/>
  <c r="D265" i="10"/>
  <c r="I264" i="10"/>
  <c r="H264" i="10"/>
  <c r="G264" i="10"/>
  <c r="E264" i="10"/>
  <c r="D264" i="10"/>
  <c r="I263" i="10"/>
  <c r="G263" i="10"/>
  <c r="F263" i="10"/>
  <c r="E263" i="10"/>
  <c r="D263" i="10"/>
  <c r="I262" i="10"/>
  <c r="H262" i="10"/>
  <c r="G262" i="10"/>
  <c r="E262" i="10"/>
  <c r="D262" i="10"/>
  <c r="I261" i="10"/>
  <c r="G261" i="10"/>
  <c r="F261" i="10"/>
  <c r="E261" i="10"/>
  <c r="D261" i="10"/>
  <c r="I260" i="10"/>
  <c r="H260" i="10"/>
  <c r="G260" i="10"/>
  <c r="E260" i="10"/>
  <c r="D260" i="10"/>
  <c r="I259" i="10"/>
  <c r="G259" i="10"/>
  <c r="F259" i="10"/>
  <c r="E259" i="10"/>
  <c r="D259" i="10"/>
  <c r="I258" i="10"/>
  <c r="H258" i="10"/>
  <c r="G258" i="10"/>
  <c r="E258" i="10"/>
  <c r="D258" i="10"/>
  <c r="I257" i="10"/>
  <c r="G257" i="10"/>
  <c r="F257" i="10"/>
  <c r="E257" i="10"/>
  <c r="D257" i="10"/>
  <c r="I256" i="10"/>
  <c r="H256" i="10"/>
  <c r="G256" i="10"/>
  <c r="E256" i="10"/>
  <c r="D256" i="10"/>
  <c r="I255" i="10"/>
  <c r="G255" i="10"/>
  <c r="F255" i="10"/>
  <c r="E255" i="10"/>
  <c r="D255" i="10"/>
  <c r="I254" i="10"/>
  <c r="H254" i="10"/>
  <c r="G254" i="10"/>
  <c r="F254" i="10"/>
  <c r="E254" i="10"/>
  <c r="D254" i="10"/>
  <c r="I253" i="10"/>
  <c r="G253" i="10"/>
  <c r="F253" i="10"/>
  <c r="E253" i="10"/>
  <c r="D253" i="10"/>
  <c r="I252" i="10"/>
  <c r="H252" i="10"/>
  <c r="G252" i="10"/>
  <c r="E252" i="10"/>
  <c r="D252" i="10"/>
  <c r="I251" i="10"/>
  <c r="G251" i="10"/>
  <c r="F251" i="10"/>
  <c r="E251" i="10"/>
  <c r="D251" i="10"/>
  <c r="I250" i="10"/>
  <c r="H250" i="10"/>
  <c r="G250" i="10"/>
  <c r="F250" i="10"/>
  <c r="E250" i="10"/>
  <c r="D250" i="10"/>
  <c r="I249" i="10"/>
  <c r="G249" i="10"/>
  <c r="F249" i="10"/>
  <c r="E249" i="10"/>
  <c r="D249" i="10"/>
  <c r="I248" i="10"/>
  <c r="H248" i="10"/>
  <c r="G248" i="10"/>
  <c r="E248" i="10"/>
  <c r="D248" i="10"/>
  <c r="I247" i="10"/>
  <c r="G247" i="10"/>
  <c r="F247" i="10"/>
  <c r="E247" i="10"/>
  <c r="D247" i="10"/>
  <c r="I246" i="10"/>
  <c r="H246" i="10"/>
  <c r="G246" i="10"/>
  <c r="F246" i="10"/>
  <c r="E246" i="10"/>
  <c r="D246" i="10"/>
  <c r="I245" i="10"/>
  <c r="G245" i="10"/>
  <c r="F245" i="10"/>
  <c r="E245" i="10"/>
  <c r="D245" i="10"/>
  <c r="I244" i="10"/>
  <c r="H244" i="10"/>
  <c r="G244" i="10"/>
  <c r="E244" i="10"/>
  <c r="D244" i="10"/>
  <c r="I243" i="10"/>
  <c r="G243" i="10"/>
  <c r="F243" i="10"/>
  <c r="E243" i="10"/>
  <c r="D243" i="10"/>
  <c r="I242" i="10"/>
  <c r="H242" i="10"/>
  <c r="G242" i="10"/>
  <c r="E242" i="10"/>
  <c r="D242" i="10"/>
  <c r="I241" i="10"/>
  <c r="G241" i="10"/>
  <c r="F241" i="10"/>
  <c r="E241" i="10"/>
  <c r="D241" i="10"/>
  <c r="I240" i="10"/>
  <c r="H240" i="10"/>
  <c r="G240" i="10"/>
  <c r="E240" i="10"/>
  <c r="D240" i="10"/>
  <c r="I239" i="10"/>
  <c r="G239" i="10"/>
  <c r="F239" i="10"/>
  <c r="E239" i="10"/>
  <c r="D239" i="10"/>
  <c r="I238" i="10"/>
  <c r="H238" i="10"/>
  <c r="G238" i="10"/>
  <c r="E238" i="10"/>
  <c r="D238" i="10"/>
  <c r="I237" i="10"/>
  <c r="G237" i="10"/>
  <c r="F237" i="10"/>
  <c r="E237" i="10"/>
  <c r="D237" i="10"/>
  <c r="I236" i="10"/>
  <c r="H236" i="10"/>
  <c r="G236" i="10"/>
  <c r="E236" i="10"/>
  <c r="D236" i="10"/>
  <c r="I235" i="10"/>
  <c r="G235" i="10"/>
  <c r="F235" i="10"/>
  <c r="E235" i="10"/>
  <c r="D235" i="10"/>
  <c r="I234" i="10"/>
  <c r="H234" i="10"/>
  <c r="G234" i="10"/>
  <c r="E234" i="10"/>
  <c r="D234" i="10"/>
  <c r="I233" i="10"/>
  <c r="G233" i="10"/>
  <c r="F233" i="10"/>
  <c r="E233" i="10"/>
  <c r="D233" i="10"/>
  <c r="I232" i="10"/>
  <c r="H232" i="10"/>
  <c r="G232" i="10"/>
  <c r="E232" i="10"/>
  <c r="D232" i="10"/>
  <c r="I231" i="10"/>
  <c r="G231" i="10"/>
  <c r="F231" i="10"/>
  <c r="E231" i="10"/>
  <c r="D231" i="10"/>
  <c r="I230" i="10"/>
  <c r="H230" i="10"/>
  <c r="G230" i="10"/>
  <c r="F230" i="10"/>
  <c r="E230" i="10"/>
  <c r="D230" i="10"/>
  <c r="I229" i="10"/>
  <c r="G229" i="10"/>
  <c r="F229" i="10"/>
  <c r="E229" i="10"/>
  <c r="D229" i="10"/>
  <c r="I228" i="10"/>
  <c r="H228" i="10"/>
  <c r="G228" i="10"/>
  <c r="E228" i="10"/>
  <c r="D228" i="10"/>
  <c r="I227" i="10"/>
  <c r="G227" i="10"/>
  <c r="F227" i="10"/>
  <c r="E227" i="10"/>
  <c r="D227" i="10"/>
  <c r="I226" i="10"/>
  <c r="H226" i="10"/>
  <c r="G226" i="10"/>
  <c r="F226" i="10"/>
  <c r="E226" i="10"/>
  <c r="D226" i="10"/>
  <c r="I225" i="10"/>
  <c r="G225" i="10"/>
  <c r="F225" i="10"/>
  <c r="E225" i="10"/>
  <c r="D225" i="10"/>
  <c r="I224" i="10"/>
  <c r="H224" i="10"/>
  <c r="G224" i="10"/>
  <c r="E224" i="10"/>
  <c r="D224" i="10"/>
  <c r="I223" i="10"/>
  <c r="G223" i="10"/>
  <c r="F223" i="10"/>
  <c r="E223" i="10"/>
  <c r="D223" i="10"/>
  <c r="I222" i="10"/>
  <c r="H222" i="10"/>
  <c r="G222" i="10"/>
  <c r="F222" i="10"/>
  <c r="E222" i="10"/>
  <c r="D222" i="10"/>
  <c r="I221" i="10"/>
  <c r="G221" i="10"/>
  <c r="F221" i="10"/>
  <c r="E221" i="10"/>
  <c r="D221" i="10"/>
  <c r="I220" i="10"/>
  <c r="H220" i="10"/>
  <c r="G220" i="10"/>
  <c r="E220" i="10"/>
  <c r="D220" i="10"/>
  <c r="I219" i="10"/>
  <c r="G219" i="10"/>
  <c r="F219" i="10"/>
  <c r="E219" i="10"/>
  <c r="D219" i="10"/>
  <c r="I218" i="10"/>
  <c r="H218" i="10"/>
  <c r="G218" i="10"/>
  <c r="E218" i="10"/>
  <c r="D218" i="10"/>
  <c r="I217" i="10"/>
  <c r="G217" i="10"/>
  <c r="F217" i="10"/>
  <c r="E217" i="10"/>
  <c r="D217" i="10"/>
  <c r="I216" i="10"/>
  <c r="H216" i="10"/>
  <c r="G216" i="10"/>
  <c r="E216" i="10"/>
  <c r="D216" i="10"/>
  <c r="I215" i="10"/>
  <c r="G215" i="10"/>
  <c r="F215" i="10"/>
  <c r="E215" i="10"/>
  <c r="D215" i="10"/>
  <c r="I214" i="10"/>
  <c r="H214" i="10"/>
  <c r="G214" i="10"/>
  <c r="E214" i="10"/>
  <c r="D214" i="10"/>
  <c r="I213" i="10"/>
  <c r="G213" i="10"/>
  <c r="F213" i="10"/>
  <c r="E213" i="10"/>
  <c r="D213" i="10"/>
  <c r="I212" i="10"/>
  <c r="H212" i="10"/>
  <c r="G212" i="10"/>
  <c r="E212" i="10"/>
  <c r="D212" i="10"/>
  <c r="I211" i="10"/>
  <c r="G211" i="10"/>
  <c r="F211" i="10"/>
  <c r="E211" i="10"/>
  <c r="D211" i="10"/>
  <c r="I210" i="10"/>
  <c r="H210" i="10"/>
  <c r="G210" i="10"/>
  <c r="E210" i="10"/>
  <c r="D210" i="10"/>
  <c r="I209" i="10"/>
  <c r="G209" i="10"/>
  <c r="F209" i="10"/>
  <c r="E209" i="10"/>
  <c r="D209" i="10"/>
  <c r="I208" i="10"/>
  <c r="H208" i="10"/>
  <c r="G208" i="10"/>
  <c r="E208" i="10"/>
  <c r="D208" i="10"/>
  <c r="I207" i="10"/>
  <c r="G207" i="10"/>
  <c r="F207" i="10"/>
  <c r="E207" i="10"/>
  <c r="D207" i="10"/>
  <c r="I206" i="10"/>
  <c r="H206" i="10"/>
  <c r="G206" i="10"/>
  <c r="F206" i="10"/>
  <c r="E206" i="10"/>
  <c r="D206" i="10"/>
  <c r="I205" i="10"/>
  <c r="G205" i="10"/>
  <c r="F205" i="10"/>
  <c r="E205" i="10"/>
  <c r="D205" i="10"/>
  <c r="I204" i="10"/>
  <c r="H204" i="10"/>
  <c r="G204" i="10"/>
  <c r="E204" i="10"/>
  <c r="D204" i="10"/>
  <c r="I203" i="10"/>
  <c r="G203" i="10"/>
  <c r="F203" i="10"/>
  <c r="E203" i="10"/>
  <c r="D203" i="10"/>
  <c r="I202" i="10"/>
  <c r="H202" i="10"/>
  <c r="G202" i="10"/>
  <c r="F202" i="10"/>
  <c r="E202" i="10"/>
  <c r="D202" i="10"/>
  <c r="I201" i="10"/>
  <c r="G201" i="10"/>
  <c r="F201" i="10"/>
  <c r="E201" i="10"/>
  <c r="D201" i="10"/>
  <c r="I200" i="10"/>
  <c r="H200" i="10"/>
  <c r="G200" i="10"/>
  <c r="E200" i="10"/>
  <c r="D200" i="10"/>
  <c r="I199" i="10"/>
  <c r="G199" i="10"/>
  <c r="F199" i="10"/>
  <c r="E199" i="10"/>
  <c r="D199" i="10"/>
  <c r="I198" i="10"/>
  <c r="H198" i="10"/>
  <c r="G198" i="10"/>
  <c r="F198" i="10"/>
  <c r="E198" i="10"/>
  <c r="D198" i="10"/>
  <c r="I197" i="10"/>
  <c r="G197" i="10"/>
  <c r="F197" i="10"/>
  <c r="E197" i="10"/>
  <c r="D197" i="10"/>
  <c r="I196" i="10"/>
  <c r="H196" i="10"/>
  <c r="G196" i="10"/>
  <c r="E196" i="10"/>
  <c r="D196" i="10"/>
  <c r="I195" i="10"/>
  <c r="G195" i="10"/>
  <c r="F195" i="10"/>
  <c r="E195" i="10"/>
  <c r="D195" i="10"/>
  <c r="I194" i="10"/>
  <c r="H194" i="10"/>
  <c r="G194" i="10"/>
  <c r="E194" i="10"/>
  <c r="D194" i="10"/>
  <c r="I193" i="10"/>
  <c r="G193" i="10"/>
  <c r="F193" i="10"/>
  <c r="E193" i="10"/>
  <c r="D193" i="10"/>
  <c r="I192" i="10"/>
  <c r="H192" i="10"/>
  <c r="G192" i="10"/>
  <c r="E192" i="10"/>
  <c r="D192" i="10"/>
  <c r="I191" i="10"/>
  <c r="G191" i="10"/>
  <c r="F191" i="10"/>
  <c r="E191" i="10"/>
  <c r="D191" i="10"/>
  <c r="I190" i="10"/>
  <c r="H190" i="10"/>
  <c r="G190" i="10"/>
  <c r="E190" i="10"/>
  <c r="D190" i="10"/>
  <c r="I189" i="10"/>
  <c r="G189" i="10"/>
  <c r="F189" i="10"/>
  <c r="E189" i="10"/>
  <c r="D189" i="10"/>
  <c r="I188" i="10"/>
  <c r="H188" i="10"/>
  <c r="G188" i="10"/>
  <c r="E188" i="10"/>
  <c r="D188" i="10"/>
  <c r="I187" i="10"/>
  <c r="G187" i="10"/>
  <c r="F187" i="10"/>
  <c r="E187" i="10"/>
  <c r="D187" i="10"/>
  <c r="I186" i="10"/>
  <c r="H186" i="10"/>
  <c r="G186" i="10"/>
  <c r="E186" i="10"/>
  <c r="D186" i="10"/>
  <c r="I185" i="10"/>
  <c r="G185" i="10"/>
  <c r="F185" i="10"/>
  <c r="E185" i="10"/>
  <c r="D185" i="10"/>
  <c r="I184" i="10"/>
  <c r="H184" i="10"/>
  <c r="G184" i="10"/>
  <c r="E184" i="10"/>
  <c r="D184" i="10"/>
  <c r="I183" i="10"/>
  <c r="G183" i="10"/>
  <c r="F183" i="10"/>
  <c r="E183" i="10"/>
  <c r="D183" i="10"/>
  <c r="I182" i="10"/>
  <c r="H182" i="10"/>
  <c r="G182" i="10"/>
  <c r="F182" i="10"/>
  <c r="E182" i="10"/>
  <c r="D182" i="10"/>
  <c r="I181" i="10"/>
  <c r="G181" i="10"/>
  <c r="F181" i="10"/>
  <c r="E181" i="10"/>
  <c r="D181" i="10"/>
  <c r="I180" i="10"/>
  <c r="H180" i="10"/>
  <c r="G180" i="10"/>
  <c r="E180" i="10"/>
  <c r="D180" i="10"/>
  <c r="I179" i="10"/>
  <c r="G179" i="10"/>
  <c r="F179" i="10"/>
  <c r="E179" i="10"/>
  <c r="D179" i="10"/>
  <c r="I178" i="10"/>
  <c r="H178" i="10"/>
  <c r="G178" i="10"/>
  <c r="F178" i="10"/>
  <c r="E178" i="10"/>
  <c r="D178" i="10"/>
  <c r="I177" i="10"/>
  <c r="G177" i="10"/>
  <c r="F177" i="10"/>
  <c r="E177" i="10"/>
  <c r="D177" i="10"/>
  <c r="I176" i="10"/>
  <c r="H176" i="10"/>
  <c r="G176" i="10"/>
  <c r="E176" i="10"/>
  <c r="D176" i="10"/>
  <c r="I175" i="10"/>
  <c r="G175" i="10"/>
  <c r="F175" i="10"/>
  <c r="E175" i="10"/>
  <c r="D175" i="10"/>
  <c r="I174" i="10"/>
  <c r="H174" i="10"/>
  <c r="G174" i="10"/>
  <c r="F174" i="10"/>
  <c r="E174" i="10"/>
  <c r="D174" i="10"/>
  <c r="I173" i="10"/>
  <c r="G173" i="10"/>
  <c r="F173" i="10"/>
  <c r="E173" i="10"/>
  <c r="D173" i="10"/>
  <c r="I172" i="10"/>
  <c r="H172" i="10"/>
  <c r="G172" i="10"/>
  <c r="E172" i="10"/>
  <c r="D172" i="10"/>
  <c r="I171" i="10"/>
  <c r="G171" i="10"/>
  <c r="F171" i="10"/>
  <c r="E171" i="10"/>
  <c r="D171" i="10"/>
  <c r="I170" i="10"/>
  <c r="H170" i="10"/>
  <c r="G170" i="10"/>
  <c r="E170" i="10"/>
  <c r="D170" i="10"/>
  <c r="I169" i="10"/>
  <c r="G169" i="10"/>
  <c r="F169" i="10"/>
  <c r="E169" i="10"/>
  <c r="D169" i="10"/>
  <c r="I168" i="10"/>
  <c r="H168" i="10"/>
  <c r="G168" i="10"/>
  <c r="E168" i="10"/>
  <c r="D168" i="10"/>
  <c r="I167" i="10"/>
  <c r="G167" i="10"/>
  <c r="F167" i="10"/>
  <c r="E167" i="10"/>
  <c r="D167" i="10"/>
  <c r="I166" i="10"/>
  <c r="H166" i="10"/>
  <c r="G166" i="10"/>
  <c r="E166" i="10"/>
  <c r="D166" i="10"/>
  <c r="I165" i="10"/>
  <c r="G165" i="10"/>
  <c r="F165" i="10"/>
  <c r="E165" i="10"/>
  <c r="D165" i="10"/>
  <c r="I164" i="10"/>
  <c r="H164" i="10"/>
  <c r="G164" i="10"/>
  <c r="E164" i="10"/>
  <c r="D164" i="10"/>
  <c r="I163" i="10"/>
  <c r="G163" i="10"/>
  <c r="F163" i="10"/>
  <c r="E163" i="10"/>
  <c r="D163" i="10"/>
  <c r="I162" i="10"/>
  <c r="H162" i="10"/>
  <c r="G162" i="10"/>
  <c r="E162" i="10"/>
  <c r="D162" i="10"/>
  <c r="I161" i="10"/>
  <c r="G161" i="10"/>
  <c r="F161" i="10"/>
  <c r="E161" i="10"/>
  <c r="D161" i="10"/>
  <c r="I160" i="10"/>
  <c r="H160" i="10"/>
  <c r="G160" i="10"/>
  <c r="E160" i="10"/>
  <c r="D160" i="10"/>
  <c r="I159" i="10"/>
  <c r="G159" i="10"/>
  <c r="F159" i="10"/>
  <c r="E159" i="10"/>
  <c r="D159" i="10"/>
  <c r="I158" i="10"/>
  <c r="H158" i="10"/>
  <c r="G158" i="10"/>
  <c r="F158" i="10"/>
  <c r="E158" i="10"/>
  <c r="D158" i="10"/>
  <c r="I157" i="10"/>
  <c r="G157" i="10"/>
  <c r="F157" i="10"/>
  <c r="E157" i="10"/>
  <c r="D157" i="10"/>
  <c r="I156" i="10"/>
  <c r="H156" i="10"/>
  <c r="G156" i="10"/>
  <c r="E156" i="10"/>
  <c r="D156" i="10"/>
  <c r="I155" i="10"/>
  <c r="G155" i="10"/>
  <c r="F155" i="10"/>
  <c r="E155" i="10"/>
  <c r="D155" i="10"/>
  <c r="I154" i="10"/>
  <c r="H154" i="10"/>
  <c r="G154" i="10"/>
  <c r="F154" i="10"/>
  <c r="E154" i="10"/>
  <c r="D154" i="10"/>
  <c r="I153" i="10"/>
  <c r="G153" i="10"/>
  <c r="F153" i="10"/>
  <c r="E153" i="10"/>
  <c r="D153" i="10"/>
  <c r="I152" i="10"/>
  <c r="H152" i="10"/>
  <c r="G152" i="10"/>
  <c r="E152" i="10"/>
  <c r="D152" i="10"/>
  <c r="I151" i="10"/>
  <c r="G151" i="10"/>
  <c r="F151" i="10"/>
  <c r="E151" i="10"/>
  <c r="D151" i="10"/>
  <c r="I150" i="10"/>
  <c r="H150" i="10"/>
  <c r="G150" i="10"/>
  <c r="F150" i="10"/>
  <c r="E150" i="10"/>
  <c r="D150" i="10"/>
  <c r="I149" i="10"/>
  <c r="G149" i="10"/>
  <c r="F149" i="10"/>
  <c r="E149" i="10"/>
  <c r="D149" i="10"/>
  <c r="I148" i="10"/>
  <c r="H148" i="10"/>
  <c r="G148" i="10"/>
  <c r="E148" i="10"/>
  <c r="D148" i="10"/>
  <c r="I147" i="10"/>
  <c r="G147" i="10"/>
  <c r="F147" i="10"/>
  <c r="E147" i="10"/>
  <c r="D147" i="10"/>
  <c r="I146" i="10"/>
  <c r="H146" i="10"/>
  <c r="G146" i="10"/>
  <c r="E146" i="10"/>
  <c r="D146" i="10"/>
  <c r="I145" i="10"/>
  <c r="G145" i="10"/>
  <c r="F145" i="10"/>
  <c r="E145" i="10"/>
  <c r="D145" i="10"/>
  <c r="I144" i="10"/>
  <c r="H144" i="10"/>
  <c r="G144" i="10"/>
  <c r="E144" i="10"/>
  <c r="D144" i="10"/>
  <c r="I143" i="10"/>
  <c r="G143" i="10"/>
  <c r="F143" i="10"/>
  <c r="E143" i="10"/>
  <c r="D143" i="10"/>
  <c r="I142" i="10"/>
  <c r="H142" i="10"/>
  <c r="G142" i="10"/>
  <c r="E142" i="10"/>
  <c r="D142" i="10"/>
  <c r="I141" i="10"/>
  <c r="G141" i="10"/>
  <c r="F141" i="10"/>
  <c r="E141" i="10"/>
  <c r="D141" i="10"/>
  <c r="I140" i="10"/>
  <c r="H140" i="10"/>
  <c r="G140" i="10"/>
  <c r="E140" i="10"/>
  <c r="D140" i="10"/>
  <c r="I139" i="10"/>
  <c r="G139" i="10"/>
  <c r="F139" i="10"/>
  <c r="E139" i="10"/>
  <c r="D139" i="10"/>
  <c r="I138" i="10"/>
  <c r="H138" i="10"/>
  <c r="G138" i="10"/>
  <c r="E138" i="10"/>
  <c r="D138" i="10"/>
  <c r="I137" i="10"/>
  <c r="G137" i="10"/>
  <c r="F137" i="10"/>
  <c r="E137" i="10"/>
  <c r="D137" i="10"/>
  <c r="I136" i="10"/>
  <c r="H136" i="10"/>
  <c r="G136" i="10"/>
  <c r="E136" i="10"/>
  <c r="D136" i="10"/>
  <c r="I135" i="10"/>
  <c r="G135" i="10"/>
  <c r="F135" i="10"/>
  <c r="E135" i="10"/>
  <c r="D135" i="10"/>
  <c r="I134" i="10"/>
  <c r="H134" i="10"/>
  <c r="G134" i="10"/>
  <c r="F134" i="10"/>
  <c r="E134" i="10"/>
  <c r="D134" i="10"/>
  <c r="I133" i="10"/>
  <c r="G133" i="10"/>
  <c r="F133" i="10"/>
  <c r="E133" i="10"/>
  <c r="D133" i="10"/>
  <c r="I132" i="10"/>
  <c r="H132" i="10"/>
  <c r="G132" i="10"/>
  <c r="E132" i="10"/>
  <c r="D132" i="10"/>
  <c r="I131" i="10"/>
  <c r="G131" i="10"/>
  <c r="F131" i="10"/>
  <c r="E131" i="10"/>
  <c r="D131" i="10"/>
  <c r="I130" i="10"/>
  <c r="H130" i="10"/>
  <c r="G130" i="10"/>
  <c r="E130" i="10"/>
  <c r="D130" i="10"/>
  <c r="I129" i="10"/>
  <c r="G129" i="10"/>
  <c r="F129" i="10"/>
  <c r="E129" i="10"/>
  <c r="D129" i="10"/>
  <c r="I128" i="10"/>
  <c r="H128" i="10"/>
  <c r="G128" i="10"/>
  <c r="E128" i="10"/>
  <c r="D128" i="10"/>
  <c r="I127" i="10"/>
  <c r="G127" i="10"/>
  <c r="F127" i="10"/>
  <c r="E127" i="10"/>
  <c r="D127" i="10"/>
  <c r="I126" i="10"/>
  <c r="H126" i="10"/>
  <c r="G126" i="10"/>
  <c r="E126" i="10"/>
  <c r="D126" i="10"/>
  <c r="I125" i="10"/>
  <c r="G125" i="10"/>
  <c r="F125" i="10"/>
  <c r="E125" i="10"/>
  <c r="D125" i="10"/>
  <c r="I124" i="10"/>
  <c r="H124" i="10"/>
  <c r="G124" i="10"/>
  <c r="E124" i="10"/>
  <c r="D124" i="10"/>
  <c r="I123" i="10"/>
  <c r="G123" i="10"/>
  <c r="F123" i="10"/>
  <c r="E123" i="10"/>
  <c r="D123" i="10"/>
  <c r="I122" i="10"/>
  <c r="H122" i="10"/>
  <c r="G122" i="10"/>
  <c r="E122" i="10"/>
  <c r="D122" i="10"/>
  <c r="I121" i="10"/>
  <c r="G121" i="10"/>
  <c r="F121" i="10"/>
  <c r="E121" i="10"/>
  <c r="D121" i="10"/>
  <c r="I120" i="10"/>
  <c r="H120" i="10"/>
  <c r="G120" i="10"/>
  <c r="E120" i="10"/>
  <c r="D120" i="10"/>
  <c r="I119" i="10"/>
  <c r="G119" i="10"/>
  <c r="F119" i="10"/>
  <c r="E119" i="10"/>
  <c r="D119" i="10"/>
  <c r="I118" i="10"/>
  <c r="H118" i="10"/>
  <c r="G118" i="10"/>
  <c r="E118" i="10"/>
  <c r="D118" i="10"/>
  <c r="I117" i="10"/>
  <c r="G117" i="10"/>
  <c r="F117" i="10"/>
  <c r="E117" i="10"/>
  <c r="D117" i="10"/>
  <c r="I116" i="10"/>
  <c r="H116" i="10"/>
  <c r="G116" i="10"/>
  <c r="E116" i="10"/>
  <c r="D116" i="10"/>
  <c r="I115" i="10"/>
  <c r="G115" i="10"/>
  <c r="F115" i="10"/>
  <c r="E115" i="10"/>
  <c r="D115" i="10"/>
  <c r="I114" i="10"/>
  <c r="H114" i="10"/>
  <c r="G114" i="10"/>
  <c r="E114" i="10"/>
  <c r="D114" i="10"/>
  <c r="I113" i="10"/>
  <c r="G113" i="10"/>
  <c r="F113" i="10"/>
  <c r="E113" i="10"/>
  <c r="D113" i="10"/>
  <c r="I112" i="10"/>
  <c r="H112" i="10"/>
  <c r="G112" i="10"/>
  <c r="E112" i="10"/>
  <c r="D112" i="10"/>
  <c r="I111" i="10"/>
  <c r="G111" i="10"/>
  <c r="F111" i="10"/>
  <c r="E111" i="10"/>
  <c r="D111" i="10"/>
  <c r="I110" i="10"/>
  <c r="H110" i="10"/>
  <c r="G110" i="10"/>
  <c r="E110" i="10"/>
  <c r="D110" i="10"/>
  <c r="I109" i="10"/>
  <c r="G109" i="10"/>
  <c r="F109" i="10"/>
  <c r="E109" i="10"/>
  <c r="D109" i="10"/>
  <c r="I108" i="10"/>
  <c r="H108" i="10"/>
  <c r="G108" i="10"/>
  <c r="E108" i="10"/>
  <c r="D108" i="10"/>
  <c r="I107" i="10"/>
  <c r="G107" i="10"/>
  <c r="F107" i="10"/>
  <c r="E107" i="10"/>
  <c r="D107" i="10"/>
  <c r="I106" i="10"/>
  <c r="H106" i="10"/>
  <c r="G106" i="10"/>
  <c r="E106" i="10"/>
  <c r="D106" i="10"/>
  <c r="I105" i="10"/>
  <c r="G105" i="10"/>
  <c r="F105" i="10"/>
  <c r="E105" i="10"/>
  <c r="D105" i="10"/>
  <c r="I104" i="10"/>
  <c r="H104" i="10"/>
  <c r="G104" i="10"/>
  <c r="E104" i="10"/>
  <c r="D104" i="10"/>
  <c r="I103" i="10"/>
  <c r="G103" i="10"/>
  <c r="F103" i="10"/>
  <c r="E103" i="10"/>
  <c r="D103" i="10"/>
  <c r="I102" i="10"/>
  <c r="H102" i="10"/>
  <c r="G102" i="10"/>
  <c r="E102" i="10"/>
  <c r="D102" i="10"/>
  <c r="I101" i="10"/>
  <c r="G101" i="10"/>
  <c r="F101" i="10"/>
  <c r="E101" i="10"/>
  <c r="D101" i="10"/>
  <c r="I100" i="10"/>
  <c r="H100" i="10"/>
  <c r="G100" i="10"/>
  <c r="E100" i="10"/>
  <c r="D100" i="10"/>
  <c r="I99" i="10"/>
  <c r="G99" i="10"/>
  <c r="F99" i="10"/>
  <c r="E99" i="10"/>
  <c r="D99" i="10"/>
  <c r="I98" i="10"/>
  <c r="H98" i="10"/>
  <c r="G98" i="10"/>
  <c r="E98" i="10"/>
  <c r="D98" i="10"/>
  <c r="I97" i="10"/>
  <c r="G97" i="10"/>
  <c r="F97" i="10"/>
  <c r="E97" i="10"/>
  <c r="D97" i="10"/>
  <c r="I96" i="10"/>
  <c r="H96" i="10"/>
  <c r="G96" i="10"/>
  <c r="E96" i="10"/>
  <c r="D96" i="10"/>
  <c r="I95" i="10"/>
  <c r="G95" i="10"/>
  <c r="F95" i="10"/>
  <c r="E95" i="10"/>
  <c r="D95" i="10"/>
  <c r="I94" i="10"/>
  <c r="H94" i="10"/>
  <c r="G94" i="10"/>
  <c r="E94" i="10"/>
  <c r="D94" i="10"/>
  <c r="I93" i="10"/>
  <c r="G93" i="10"/>
  <c r="F93" i="10"/>
  <c r="E93" i="10"/>
  <c r="D93" i="10"/>
  <c r="I92" i="10"/>
  <c r="H92" i="10"/>
  <c r="G92" i="10"/>
  <c r="E92" i="10"/>
  <c r="D92" i="10"/>
  <c r="I91" i="10"/>
  <c r="G91" i="10"/>
  <c r="F91" i="10"/>
  <c r="E91" i="10"/>
  <c r="D91" i="10"/>
  <c r="I90" i="10"/>
  <c r="H90" i="10"/>
  <c r="G90" i="10"/>
  <c r="E90" i="10"/>
  <c r="D90" i="10"/>
  <c r="I89" i="10"/>
  <c r="G89" i="10"/>
  <c r="F89" i="10"/>
  <c r="E89" i="10"/>
  <c r="D89" i="10"/>
  <c r="I88" i="10"/>
  <c r="H88" i="10"/>
  <c r="G88" i="10"/>
  <c r="E88" i="10"/>
  <c r="D88" i="10"/>
  <c r="I87" i="10"/>
  <c r="G87" i="10"/>
  <c r="F87" i="10"/>
  <c r="E87" i="10"/>
  <c r="D87" i="10"/>
  <c r="I86" i="10"/>
  <c r="H86" i="10"/>
  <c r="G86" i="10"/>
  <c r="E86" i="10"/>
  <c r="D86" i="10"/>
  <c r="I85" i="10"/>
  <c r="G85" i="10"/>
  <c r="F85" i="10"/>
  <c r="E85" i="10"/>
  <c r="D85" i="10"/>
  <c r="I84" i="10"/>
  <c r="H84" i="10"/>
  <c r="G84" i="10"/>
  <c r="E84" i="10"/>
  <c r="D84" i="10"/>
  <c r="I83" i="10"/>
  <c r="G83" i="10"/>
  <c r="F83" i="10"/>
  <c r="E83" i="10"/>
  <c r="D83" i="10"/>
  <c r="I82" i="10"/>
  <c r="H82" i="10"/>
  <c r="G82" i="10"/>
  <c r="E82" i="10"/>
  <c r="D82" i="10"/>
  <c r="I81" i="10"/>
  <c r="G81" i="10"/>
  <c r="F81" i="10"/>
  <c r="E81" i="10"/>
  <c r="D81" i="10"/>
  <c r="I80" i="10"/>
  <c r="H80" i="10"/>
  <c r="G80" i="10"/>
  <c r="E80" i="10"/>
  <c r="D80" i="10"/>
  <c r="I79" i="10"/>
  <c r="G79" i="10"/>
  <c r="F79" i="10"/>
  <c r="E79" i="10"/>
  <c r="D79" i="10"/>
  <c r="I78" i="10"/>
  <c r="H78" i="10"/>
  <c r="G78" i="10"/>
  <c r="E78" i="10"/>
  <c r="D78" i="10"/>
  <c r="I77" i="10"/>
  <c r="G77" i="10"/>
  <c r="F77" i="10"/>
  <c r="E77" i="10"/>
  <c r="D77" i="10"/>
  <c r="I76" i="10"/>
  <c r="H76" i="10"/>
  <c r="G76" i="10"/>
  <c r="E76" i="10"/>
  <c r="D76" i="10"/>
  <c r="I75" i="10"/>
  <c r="G75" i="10"/>
  <c r="F75" i="10"/>
  <c r="E75" i="10"/>
  <c r="D75" i="10"/>
  <c r="I74" i="10"/>
  <c r="H74" i="10"/>
  <c r="G74" i="10"/>
  <c r="E74" i="10"/>
  <c r="D74" i="10"/>
  <c r="I73" i="10"/>
  <c r="G73" i="10"/>
  <c r="F73" i="10"/>
  <c r="E73" i="10"/>
  <c r="D73" i="10"/>
  <c r="I72" i="10"/>
  <c r="H72" i="10"/>
  <c r="G72" i="10"/>
  <c r="E72" i="10"/>
  <c r="D72" i="10"/>
  <c r="I71" i="10"/>
  <c r="G71" i="10"/>
  <c r="F71" i="10"/>
  <c r="E71" i="10"/>
  <c r="D71" i="10"/>
  <c r="I70" i="10"/>
  <c r="H70" i="10"/>
  <c r="G70" i="10"/>
  <c r="E70" i="10"/>
  <c r="D70" i="10"/>
  <c r="I69" i="10"/>
  <c r="G69" i="10"/>
  <c r="F69" i="10"/>
  <c r="E69" i="10"/>
  <c r="D69" i="10"/>
  <c r="I68" i="10"/>
  <c r="H68" i="10"/>
  <c r="G68" i="10"/>
  <c r="E68" i="10"/>
  <c r="D68" i="10"/>
  <c r="I67" i="10"/>
  <c r="G67" i="10"/>
  <c r="F67" i="10"/>
  <c r="E67" i="10"/>
  <c r="D67" i="10"/>
  <c r="I66" i="10"/>
  <c r="H66" i="10"/>
  <c r="G66" i="10"/>
  <c r="E66" i="10"/>
  <c r="D66" i="10"/>
  <c r="I65" i="10"/>
  <c r="G65" i="10"/>
  <c r="F65" i="10"/>
  <c r="E65" i="10"/>
  <c r="D65" i="10"/>
  <c r="I64" i="10"/>
  <c r="H64" i="10"/>
  <c r="G64" i="10"/>
  <c r="E64" i="10"/>
  <c r="D64" i="10"/>
  <c r="I63" i="10"/>
  <c r="G63" i="10"/>
  <c r="F63" i="10"/>
  <c r="E63" i="10"/>
  <c r="D63" i="10"/>
  <c r="I62" i="10"/>
  <c r="H62" i="10"/>
  <c r="G62" i="10"/>
  <c r="E62" i="10"/>
  <c r="D62" i="10"/>
  <c r="I61" i="10"/>
  <c r="G61" i="10"/>
  <c r="F61" i="10"/>
  <c r="E61" i="10"/>
  <c r="D61" i="10"/>
  <c r="I60" i="10"/>
  <c r="H60" i="10"/>
  <c r="G60" i="10"/>
  <c r="E60" i="10"/>
  <c r="D60" i="10"/>
  <c r="I59" i="10"/>
  <c r="G59" i="10"/>
  <c r="F59" i="10"/>
  <c r="E59" i="10"/>
  <c r="D59" i="10"/>
  <c r="I58" i="10"/>
  <c r="H58" i="10"/>
  <c r="G58" i="10"/>
  <c r="E58" i="10"/>
  <c r="D58" i="10"/>
  <c r="I57" i="10"/>
  <c r="G57" i="10"/>
  <c r="F57" i="10"/>
  <c r="E57" i="10"/>
  <c r="D57" i="10"/>
  <c r="I56" i="10"/>
  <c r="H56" i="10"/>
  <c r="G56" i="10"/>
  <c r="E56" i="10"/>
  <c r="D56" i="10"/>
  <c r="I55" i="10"/>
  <c r="G55" i="10"/>
  <c r="F55" i="10"/>
  <c r="E55" i="10"/>
  <c r="D55" i="10"/>
  <c r="I54" i="10"/>
  <c r="H54" i="10"/>
  <c r="G54" i="10"/>
  <c r="E54" i="10"/>
  <c r="D54" i="10"/>
  <c r="I53" i="10"/>
  <c r="G53" i="10"/>
  <c r="F53" i="10"/>
  <c r="E53" i="10"/>
  <c r="D53" i="10"/>
  <c r="I52" i="10"/>
  <c r="H52" i="10"/>
  <c r="G52" i="10"/>
  <c r="E52" i="10"/>
  <c r="D52" i="10"/>
  <c r="I51" i="10"/>
  <c r="G51" i="10"/>
  <c r="F51" i="10"/>
  <c r="E51" i="10"/>
  <c r="D51" i="10"/>
  <c r="I50" i="10"/>
  <c r="H50" i="10"/>
  <c r="G50" i="10"/>
  <c r="E50" i="10"/>
  <c r="D50" i="10"/>
  <c r="I49" i="10"/>
  <c r="G49" i="10"/>
  <c r="F49" i="10"/>
  <c r="E49" i="10"/>
  <c r="D49" i="10"/>
  <c r="I48" i="10"/>
  <c r="H48" i="10"/>
  <c r="G48" i="10"/>
  <c r="E48" i="10"/>
  <c r="D48" i="10"/>
  <c r="I47" i="10"/>
  <c r="G47" i="10"/>
  <c r="F47" i="10"/>
  <c r="E47" i="10"/>
  <c r="D47" i="10"/>
  <c r="I46" i="10"/>
  <c r="H46" i="10"/>
  <c r="G46" i="10"/>
  <c r="E46" i="10"/>
  <c r="D46" i="10"/>
  <c r="I45" i="10"/>
  <c r="G45" i="10"/>
  <c r="F45" i="10"/>
  <c r="E45" i="10"/>
  <c r="D45" i="10"/>
  <c r="I44" i="10"/>
  <c r="H44" i="10"/>
  <c r="G44" i="10"/>
  <c r="E44" i="10"/>
  <c r="D44" i="10"/>
  <c r="I43" i="10"/>
  <c r="G43" i="10"/>
  <c r="F43" i="10"/>
  <c r="E43" i="10"/>
  <c r="D43" i="10"/>
  <c r="I42" i="10"/>
  <c r="H42" i="10"/>
  <c r="G42" i="10"/>
  <c r="E42" i="10"/>
  <c r="D42" i="10"/>
  <c r="I41" i="10"/>
  <c r="G41" i="10"/>
  <c r="F41" i="10"/>
  <c r="E41" i="10"/>
  <c r="D41" i="10"/>
  <c r="I40" i="10"/>
  <c r="H40" i="10"/>
  <c r="G40" i="10"/>
  <c r="E40" i="10"/>
  <c r="D40" i="10"/>
  <c r="I39" i="10"/>
  <c r="G39" i="10"/>
  <c r="F39" i="10"/>
  <c r="E39" i="10"/>
  <c r="D39" i="10"/>
  <c r="I38" i="10"/>
  <c r="H38" i="10"/>
  <c r="G38" i="10"/>
  <c r="E38" i="10"/>
  <c r="D38" i="10"/>
  <c r="I37" i="10"/>
  <c r="G37" i="10"/>
  <c r="F37" i="10"/>
  <c r="E37" i="10"/>
  <c r="D37" i="10"/>
  <c r="I36" i="10"/>
  <c r="H36" i="10"/>
  <c r="G36" i="10"/>
  <c r="E36" i="10"/>
  <c r="D36" i="10"/>
  <c r="I35" i="10"/>
  <c r="G35" i="10"/>
  <c r="F35" i="10"/>
  <c r="E35" i="10"/>
  <c r="D35" i="10"/>
  <c r="I34" i="10"/>
  <c r="H34" i="10"/>
  <c r="G34" i="10"/>
  <c r="E34" i="10"/>
  <c r="D34" i="10"/>
  <c r="I33" i="10"/>
  <c r="G33" i="10"/>
  <c r="F33" i="10"/>
  <c r="E33" i="10"/>
  <c r="D33" i="10"/>
  <c r="I32" i="10"/>
  <c r="H32" i="10"/>
  <c r="G32" i="10"/>
  <c r="E32" i="10"/>
  <c r="D32" i="10"/>
  <c r="H20" i="10"/>
  <c r="H18" i="10"/>
  <c r="F20" i="10" s="1"/>
  <c r="F18" i="10"/>
  <c r="H16" i="10"/>
  <c r="D20" i="10" s="1"/>
  <c r="F16" i="10"/>
  <c r="D18" i="10" s="1"/>
  <c r="D16" i="10"/>
  <c r="H15" i="10"/>
  <c r="C20" i="10" s="1"/>
  <c r="F15" i="10"/>
  <c r="C18" i="10" s="1"/>
  <c r="D15" i="10"/>
  <c r="C16" i="10" s="1"/>
  <c r="C15" i="10"/>
  <c r="E11" i="10"/>
  <c r="G11" i="10" s="1"/>
  <c r="C11" i="10"/>
  <c r="E9" i="10"/>
  <c r="G9" i="10" s="1"/>
  <c r="C9" i="10"/>
  <c r="E7" i="10"/>
  <c r="G7" i="10" s="1"/>
  <c r="D7" i="10"/>
  <c r="C7" i="10"/>
  <c r="E6" i="10"/>
  <c r="C6" i="10"/>
  <c r="D5" i="10"/>
  <c r="D9" i="10" s="1"/>
  <c r="C7" i="7"/>
  <c r="C8" i="7" s="1"/>
  <c r="D7" i="7"/>
  <c r="D8" i="7" s="1"/>
  <c r="E7" i="7"/>
  <c r="E8" i="7" s="1"/>
  <c r="F7" i="7"/>
  <c r="F8" i="7" s="1"/>
  <c r="G7" i="7"/>
  <c r="G8" i="7" s="1"/>
  <c r="H7" i="7"/>
  <c r="H8" i="7" s="1"/>
  <c r="B7" i="7"/>
  <c r="J24" i="1" l="1"/>
  <c r="J25" i="1" s="1"/>
  <c r="J47" i="1" s="1"/>
  <c r="I31" i="5"/>
  <c r="I32" i="5" s="1"/>
  <c r="G16" i="15" s="1"/>
  <c r="I29" i="5"/>
  <c r="I21" i="7"/>
  <c r="G26" i="15" s="1"/>
  <c r="I37" i="5"/>
  <c r="I38" i="5" s="1"/>
  <c r="G20" i="15" s="1"/>
  <c r="I30" i="5"/>
  <c r="G15" i="15" s="1"/>
  <c r="I6" i="5"/>
  <c r="I10" i="5"/>
  <c r="G8" i="15" s="1"/>
  <c r="E47" i="11"/>
  <c r="E49" i="11" s="1"/>
  <c r="D50" i="33"/>
  <c r="I19" i="5"/>
  <c r="G12" i="15" s="1"/>
  <c r="J18" i="2"/>
  <c r="I15" i="7"/>
  <c r="D65" i="33" s="1"/>
  <c r="D77" i="33" s="1"/>
  <c r="D11" i="32" s="1"/>
  <c r="I3" i="7"/>
  <c r="I30" i="7"/>
  <c r="I29" i="7"/>
  <c r="I13" i="5"/>
  <c r="G9" i="15" s="1"/>
  <c r="I12" i="5"/>
  <c r="I16" i="5"/>
  <c r="I11" i="5"/>
  <c r="J48" i="1"/>
  <c r="E32" i="11"/>
  <c r="M10" i="11"/>
  <c r="N10" i="11" s="1"/>
  <c r="C33" i="11"/>
  <c r="E33" i="11" s="1"/>
  <c r="I22" i="5"/>
  <c r="I20" i="5"/>
  <c r="G13" i="15" s="1"/>
  <c r="I15" i="5"/>
  <c r="G11" i="15" s="1"/>
  <c r="H21" i="7"/>
  <c r="F26" i="15" s="1"/>
  <c r="G21" i="7"/>
  <c r="E26" i="15" s="1"/>
  <c r="F21" i="7"/>
  <c r="E21" i="7"/>
  <c r="D21" i="7"/>
  <c r="C21" i="7"/>
  <c r="B48" i="23"/>
  <c r="B21" i="22"/>
  <c r="E24" i="20"/>
  <c r="C24" i="20"/>
  <c r="I24" i="20"/>
  <c r="D24" i="20"/>
  <c r="G24" i="20"/>
  <c r="F24" i="20"/>
  <c r="H24" i="20"/>
  <c r="H46" i="19"/>
  <c r="E46" i="19"/>
  <c r="D46" i="19"/>
  <c r="F46" i="19"/>
  <c r="E17" i="10"/>
  <c r="E15" i="10"/>
  <c r="C17" i="10" s="1"/>
  <c r="E16" i="10"/>
  <c r="D17" i="10" s="1"/>
  <c r="E8" i="10"/>
  <c r="G8" i="10" s="1"/>
  <c r="D8" i="10"/>
  <c r="H17" i="10"/>
  <c r="E20" i="10" s="1"/>
  <c r="G17" i="10"/>
  <c r="E19" i="10" s="1"/>
  <c r="C8" i="10"/>
  <c r="F17" i="10"/>
  <c r="E18" i="10" s="1"/>
  <c r="C10" i="10"/>
  <c r="G18" i="10"/>
  <c r="F19" i="10" s="1"/>
  <c r="G16" i="10"/>
  <c r="D19" i="10" s="1"/>
  <c r="H19" i="10"/>
  <c r="G20" i="10" s="1"/>
  <c r="G19" i="10"/>
  <c r="G15" i="10"/>
  <c r="C19" i="10" s="1"/>
  <c r="E10" i="10"/>
  <c r="G10" i="10" s="1"/>
  <c r="D10" i="10"/>
  <c r="N5" i="11"/>
  <c r="B36" i="11"/>
  <c r="F6" i="10"/>
  <c r="D11" i="10"/>
  <c r="F11" i="10" s="1"/>
  <c r="N6" i="11"/>
  <c r="D36" i="11"/>
  <c r="C40" i="11"/>
  <c r="B4" i="7"/>
  <c r="C4" i="7"/>
  <c r="C28" i="7" s="1"/>
  <c r="G4" i="7"/>
  <c r="D4" i="7"/>
  <c r="D28" i="7" s="1"/>
  <c r="E4" i="7"/>
  <c r="E28" i="7" s="1"/>
  <c r="F4" i="7"/>
  <c r="F28" i="7" s="1"/>
  <c r="H28" i="7"/>
  <c r="B31" i="7"/>
  <c r="B86" i="3"/>
  <c r="B67" i="3"/>
  <c r="B49" i="3"/>
  <c r="C86" i="3"/>
  <c r="C67" i="3"/>
  <c r="C49" i="3"/>
  <c r="E48" i="11" l="1"/>
  <c r="E55" i="11" s="1"/>
  <c r="G19" i="15"/>
  <c r="D67" i="33"/>
  <c r="D8" i="32" s="1"/>
  <c r="F52" i="33"/>
  <c r="G6" i="32" s="1"/>
  <c r="F51" i="33"/>
  <c r="F57" i="33" s="1"/>
  <c r="G4" i="32" s="1"/>
  <c r="D52" i="33"/>
  <c r="D6" i="32" s="1"/>
  <c r="D51" i="33"/>
  <c r="D57" i="33" s="1"/>
  <c r="D4" i="32" s="1"/>
  <c r="I17" i="7"/>
  <c r="I18" i="7" s="1"/>
  <c r="J20" i="2"/>
  <c r="J22" i="2" s="1"/>
  <c r="I20" i="7"/>
  <c r="G31" i="15" s="1"/>
  <c r="G28" i="7"/>
  <c r="I4" i="7"/>
  <c r="E36" i="11"/>
  <c r="E40" i="11"/>
  <c r="B23" i="22"/>
  <c r="F7" i="10"/>
  <c r="F10" i="10"/>
  <c r="F9" i="10"/>
  <c r="D56" i="11"/>
  <c r="D39" i="11"/>
  <c r="F8" i="10"/>
  <c r="B39" i="11"/>
  <c r="C36" i="11"/>
  <c r="B56" i="11"/>
  <c r="D86" i="3"/>
  <c r="D67" i="3"/>
  <c r="D49" i="3"/>
  <c r="E86" i="3"/>
  <c r="E67" i="3"/>
  <c r="E49" i="3"/>
  <c r="F86" i="3"/>
  <c r="F67" i="3"/>
  <c r="F49" i="3"/>
  <c r="G86" i="3"/>
  <c r="G67" i="3"/>
  <c r="G49" i="3"/>
  <c r="H86" i="3"/>
  <c r="H67" i="3"/>
  <c r="H49" i="3"/>
  <c r="I49" i="3"/>
  <c r="I86" i="3"/>
  <c r="I67" i="3"/>
  <c r="I21" i="5" l="1"/>
  <c r="G14" i="15" s="1"/>
  <c r="D71" i="33"/>
  <c r="E54" i="11"/>
  <c r="I23" i="5"/>
  <c r="F58" i="33"/>
  <c r="G5" i="32" s="1"/>
  <c r="F54" i="33"/>
  <c r="F55" i="33" s="1"/>
  <c r="F63" i="33" s="1"/>
  <c r="F53" i="33"/>
  <c r="D58" i="33"/>
  <c r="D5" i="32" s="1"/>
  <c r="D53" i="33"/>
  <c r="D54" i="33"/>
  <c r="D55" i="33" s="1"/>
  <c r="D63" i="33" s="1"/>
  <c r="I24" i="5"/>
  <c r="G25" i="15"/>
  <c r="I24" i="7"/>
  <c r="G29" i="15" s="1"/>
  <c r="I5" i="7"/>
  <c r="D68" i="33" s="1"/>
  <c r="I28" i="7"/>
  <c r="I32" i="7" s="1"/>
  <c r="E39" i="11"/>
  <c r="E56" i="11"/>
  <c r="C39" i="11"/>
  <c r="C56" i="11"/>
  <c r="D59" i="11"/>
  <c r="B59" i="11"/>
  <c r="B17" i="2"/>
  <c r="B16" i="2"/>
  <c r="B14" i="2"/>
  <c r="C16" i="2"/>
  <c r="C17" i="2"/>
  <c r="C14" i="2"/>
  <c r="D14" i="2"/>
  <c r="E16" i="2"/>
  <c r="E14" i="2"/>
  <c r="F16" i="2"/>
  <c r="F14" i="2"/>
  <c r="G14" i="2"/>
  <c r="H14" i="2"/>
  <c r="I17" i="2"/>
  <c r="I16" i="2"/>
  <c r="I14" i="2"/>
  <c r="I18" i="2" s="1"/>
  <c r="I20" i="2" s="1"/>
  <c r="I22" i="2" s="1"/>
  <c r="I12" i="2"/>
  <c r="B21" i="7"/>
  <c r="C29" i="5"/>
  <c r="D29" i="5"/>
  <c r="E29" i="5"/>
  <c r="F29" i="5"/>
  <c r="G29" i="5"/>
  <c r="H29" i="5"/>
  <c r="B29" i="5"/>
  <c r="V9" i="1"/>
  <c r="W9" i="1"/>
  <c r="X9" i="1"/>
  <c r="Y9" i="1"/>
  <c r="Z9" i="1"/>
  <c r="AA9" i="1"/>
  <c r="AB9" i="1"/>
  <c r="V10" i="1"/>
  <c r="W10" i="1"/>
  <c r="X10" i="1"/>
  <c r="Y10" i="1"/>
  <c r="Z10" i="1"/>
  <c r="AA10" i="1"/>
  <c r="AB10" i="1"/>
  <c r="V11" i="1"/>
  <c r="W11" i="1"/>
  <c r="X11" i="1"/>
  <c r="Y11" i="1"/>
  <c r="Z11" i="1"/>
  <c r="AA11" i="1"/>
  <c r="AB11" i="1"/>
  <c r="V14" i="1"/>
  <c r="W14" i="1"/>
  <c r="X14" i="1"/>
  <c r="Y14" i="1"/>
  <c r="Z14" i="1"/>
  <c r="AA14" i="1"/>
  <c r="AB14" i="1"/>
  <c r="V12" i="1"/>
  <c r="W12" i="1"/>
  <c r="X12" i="1"/>
  <c r="Y12" i="1"/>
  <c r="Z12" i="1"/>
  <c r="AA12" i="1"/>
  <c r="AB12" i="1"/>
  <c r="V13" i="1"/>
  <c r="W13" i="1"/>
  <c r="X13" i="1"/>
  <c r="Y13" i="1"/>
  <c r="Z13" i="1"/>
  <c r="AA13" i="1"/>
  <c r="AB13" i="1"/>
  <c r="H31" i="1"/>
  <c r="AA5" i="2"/>
  <c r="AB5" i="2"/>
  <c r="AA6" i="2"/>
  <c r="AB6" i="2"/>
  <c r="AA8" i="2"/>
  <c r="AB8" i="2"/>
  <c r="AA9" i="2"/>
  <c r="AB9" i="2"/>
  <c r="AA10" i="2"/>
  <c r="AB10" i="2"/>
  <c r="AA19" i="2"/>
  <c r="AB19" i="2"/>
  <c r="AA21" i="2"/>
  <c r="AB21" i="2"/>
  <c r="D70" i="33" l="1"/>
  <c r="D12" i="32" s="1"/>
  <c r="D69" i="33"/>
  <c r="D13" i="32" s="1"/>
  <c r="D75" i="33"/>
  <c r="D10" i="32" s="1"/>
  <c r="D73" i="33"/>
  <c r="D9" i="32" s="1"/>
  <c r="F60" i="33"/>
  <c r="F64" i="33"/>
  <c r="G7" i="32" s="1"/>
  <c r="D64" i="33"/>
  <c r="D7" i="32" s="1"/>
  <c r="D60" i="33"/>
  <c r="G21" i="15"/>
  <c r="I12" i="7"/>
  <c r="I10" i="7"/>
  <c r="G23" i="15" s="1"/>
  <c r="I11" i="7"/>
  <c r="G24" i="15" s="1"/>
  <c r="I6" i="7"/>
  <c r="E59" i="11"/>
  <c r="C59" i="11"/>
  <c r="H32" i="7"/>
  <c r="G32" i="7"/>
  <c r="G28" i="5"/>
  <c r="H28" i="5"/>
  <c r="G31" i="5"/>
  <c r="G32" i="5" s="1"/>
  <c r="E16" i="15" s="1"/>
  <c r="H31" i="5"/>
  <c r="H32" i="5" s="1"/>
  <c r="F16" i="15" s="1"/>
  <c r="G33" i="5"/>
  <c r="G34" i="5" s="1"/>
  <c r="E17" i="15" s="1"/>
  <c r="H33" i="5"/>
  <c r="H34" i="5" s="1"/>
  <c r="F17" i="15" s="1"/>
  <c r="G35" i="5"/>
  <c r="G36" i="5" s="1"/>
  <c r="E18" i="15" s="1"/>
  <c r="H35" i="5"/>
  <c r="H36" i="5" s="1"/>
  <c r="F18" i="15" s="1"/>
  <c r="H25" i="2"/>
  <c r="I25" i="2"/>
  <c r="H7" i="2"/>
  <c r="H11" i="2" s="1"/>
  <c r="AA38" i="1"/>
  <c r="AB38" i="1"/>
  <c r="AA40" i="1"/>
  <c r="AB40" i="1"/>
  <c r="AA42" i="1"/>
  <c r="AB42" i="1"/>
  <c r="AA43" i="1"/>
  <c r="AB43" i="1"/>
  <c r="AA39" i="1"/>
  <c r="AB39" i="1"/>
  <c r="AA41" i="1"/>
  <c r="AB41" i="1"/>
  <c r="AA44" i="1"/>
  <c r="AB44" i="1"/>
  <c r="AA29" i="1"/>
  <c r="AB29" i="1"/>
  <c r="AA32" i="1"/>
  <c r="AB32" i="1"/>
  <c r="AA33" i="1"/>
  <c r="AB33" i="1"/>
  <c r="AA34" i="1"/>
  <c r="AB34" i="1"/>
  <c r="AA35" i="1"/>
  <c r="AB35" i="1"/>
  <c r="AA31" i="1"/>
  <c r="AA30" i="1"/>
  <c r="AB30" i="1"/>
  <c r="AA17" i="1"/>
  <c r="AB17" i="1"/>
  <c r="AA18" i="1"/>
  <c r="AB18" i="1"/>
  <c r="AA23" i="1"/>
  <c r="AB23" i="1"/>
  <c r="AA21" i="1"/>
  <c r="AB21" i="1"/>
  <c r="AA20" i="1"/>
  <c r="AB20" i="1"/>
  <c r="AA19" i="1"/>
  <c r="AB19" i="1"/>
  <c r="AA22" i="1"/>
  <c r="AB22" i="1"/>
  <c r="AA8" i="1"/>
  <c r="AB8" i="1"/>
  <c r="H36" i="1"/>
  <c r="H45" i="1"/>
  <c r="I36" i="1"/>
  <c r="H24" i="1"/>
  <c r="I24" i="1"/>
  <c r="I15" i="1"/>
  <c r="H15" i="1"/>
  <c r="B30" i="7"/>
  <c r="B29" i="7"/>
  <c r="B25" i="2"/>
  <c r="M25" i="2" s="1"/>
  <c r="G25" i="2"/>
  <c r="R25" i="2" s="1"/>
  <c r="F25" i="2"/>
  <c r="E25" i="2"/>
  <c r="P25" i="2" s="1"/>
  <c r="D25" i="2"/>
  <c r="O25" i="2" s="1"/>
  <c r="C25" i="2"/>
  <c r="F35" i="5"/>
  <c r="F36" i="5" s="1"/>
  <c r="F33" i="5"/>
  <c r="F34" i="5" s="1"/>
  <c r="F31" i="5"/>
  <c r="F32" i="5" s="1"/>
  <c r="F28" i="5"/>
  <c r="E35" i="5"/>
  <c r="E36" i="5" s="1"/>
  <c r="E33" i="5"/>
  <c r="E34" i="5" s="1"/>
  <c r="E31" i="5"/>
  <c r="E32" i="5" s="1"/>
  <c r="E28" i="5"/>
  <c r="Z44" i="1"/>
  <c r="Z41" i="1"/>
  <c r="Z39" i="1"/>
  <c r="Z43" i="1"/>
  <c r="Z42" i="1"/>
  <c r="Z40" i="1"/>
  <c r="Z38" i="1"/>
  <c r="Y44" i="1"/>
  <c r="Y41" i="1"/>
  <c r="Y39" i="1"/>
  <c r="Y43" i="1"/>
  <c r="Y42" i="1"/>
  <c r="Y40" i="1"/>
  <c r="Y38" i="1"/>
  <c r="Z30" i="1"/>
  <c r="Z31" i="1"/>
  <c r="Z35" i="1"/>
  <c r="Z34" i="1"/>
  <c r="Z33" i="1"/>
  <c r="Z32" i="1"/>
  <c r="Z29" i="1"/>
  <c r="Y30" i="1"/>
  <c r="Y31" i="1"/>
  <c r="Y35" i="1"/>
  <c r="Y34" i="1"/>
  <c r="Y33" i="1"/>
  <c r="Y32" i="1"/>
  <c r="Y29" i="1"/>
  <c r="Z22" i="1"/>
  <c r="Z19" i="1"/>
  <c r="Z20" i="1"/>
  <c r="Z21" i="1"/>
  <c r="Z23" i="1"/>
  <c r="Z18" i="1"/>
  <c r="Z17" i="1"/>
  <c r="Y22" i="1"/>
  <c r="Y19" i="1"/>
  <c r="Y20" i="1"/>
  <c r="Y21" i="1"/>
  <c r="Y23" i="1"/>
  <c r="Y18" i="1"/>
  <c r="Y17" i="1"/>
  <c r="Z8" i="1"/>
  <c r="Y8" i="1"/>
  <c r="Z23" i="2"/>
  <c r="Z21" i="2"/>
  <c r="Z19" i="2"/>
  <c r="Z10" i="2"/>
  <c r="Z9" i="2"/>
  <c r="Z8" i="2"/>
  <c r="Z6" i="2"/>
  <c r="Z5" i="2"/>
  <c r="Y23" i="2"/>
  <c r="Y21" i="2"/>
  <c r="Y19" i="2"/>
  <c r="Y10" i="2"/>
  <c r="Y9" i="2"/>
  <c r="Y8" i="2"/>
  <c r="Y6" i="2"/>
  <c r="Y5" i="2"/>
  <c r="G7" i="2"/>
  <c r="F7" i="2"/>
  <c r="G45" i="1"/>
  <c r="G36" i="1"/>
  <c r="G24" i="1"/>
  <c r="F45" i="1"/>
  <c r="F36" i="1"/>
  <c r="F24" i="1"/>
  <c r="G15" i="1"/>
  <c r="F15" i="1"/>
  <c r="B28" i="7"/>
  <c r="D7" i="2"/>
  <c r="C7" i="2"/>
  <c r="E7" i="2"/>
  <c r="B35" i="5"/>
  <c r="B36" i="5" s="1"/>
  <c r="C35" i="5"/>
  <c r="C36" i="5" s="1"/>
  <c r="D35" i="5"/>
  <c r="D36" i="5" s="1"/>
  <c r="D33" i="5"/>
  <c r="D34" i="5" s="1"/>
  <c r="C33" i="5"/>
  <c r="C34" i="5" s="1"/>
  <c r="C31" i="5"/>
  <c r="C32" i="5" s="1"/>
  <c r="B33" i="5"/>
  <c r="B34" i="5" s="1"/>
  <c r="D31" i="5"/>
  <c r="D32" i="5" s="1"/>
  <c r="B31" i="5"/>
  <c r="B32" i="5" s="1"/>
  <c r="D15" i="1"/>
  <c r="D24" i="1"/>
  <c r="E15" i="1"/>
  <c r="E24" i="1"/>
  <c r="C15" i="1"/>
  <c r="C24" i="1"/>
  <c r="C28" i="5"/>
  <c r="D28" i="5"/>
  <c r="B28" i="5"/>
  <c r="D36" i="1"/>
  <c r="D45" i="1"/>
  <c r="E36" i="1"/>
  <c r="E45" i="1"/>
  <c r="C36" i="1"/>
  <c r="C45" i="1"/>
  <c r="B7" i="2"/>
  <c r="B36" i="1"/>
  <c r="B45" i="1"/>
  <c r="B15" i="1"/>
  <c r="B24" i="1"/>
  <c r="W8" i="2"/>
  <c r="V6" i="2"/>
  <c r="W6" i="2"/>
  <c r="X6" i="2"/>
  <c r="V8" i="2"/>
  <c r="X8" i="2"/>
  <c r="V9" i="2"/>
  <c r="W9" i="2"/>
  <c r="X9" i="2"/>
  <c r="V10" i="2"/>
  <c r="W10" i="2"/>
  <c r="X10" i="2"/>
  <c r="V19" i="2"/>
  <c r="W19" i="2"/>
  <c r="X19" i="2"/>
  <c r="V21" i="2"/>
  <c r="W21" i="2"/>
  <c r="X21" i="2"/>
  <c r="V23" i="2"/>
  <c r="W23" i="2"/>
  <c r="X23" i="2"/>
  <c r="X5" i="2"/>
  <c r="W5" i="2"/>
  <c r="V5" i="2"/>
  <c r="W43" i="1"/>
  <c r="W44" i="1"/>
  <c r="V40" i="1"/>
  <c r="W40" i="1"/>
  <c r="X40" i="1"/>
  <c r="V42" i="1"/>
  <c r="W42" i="1"/>
  <c r="X42" i="1"/>
  <c r="V43" i="1"/>
  <c r="X43" i="1"/>
  <c r="V39" i="1"/>
  <c r="W39" i="1"/>
  <c r="X39" i="1"/>
  <c r="V41" i="1"/>
  <c r="W41" i="1"/>
  <c r="X41" i="1"/>
  <c r="V44" i="1"/>
  <c r="X44" i="1"/>
  <c r="W38" i="1"/>
  <c r="X38" i="1"/>
  <c r="V38" i="1"/>
  <c r="V32" i="1"/>
  <c r="W32" i="1"/>
  <c r="X32" i="1"/>
  <c r="V33" i="1"/>
  <c r="W33" i="1"/>
  <c r="X33" i="1"/>
  <c r="V34" i="1"/>
  <c r="W34" i="1"/>
  <c r="X34" i="1"/>
  <c r="V35" i="1"/>
  <c r="W35" i="1"/>
  <c r="X35" i="1"/>
  <c r="V31" i="1"/>
  <c r="W31" i="1"/>
  <c r="X31" i="1"/>
  <c r="V30" i="1"/>
  <c r="W30" i="1"/>
  <c r="X30" i="1"/>
  <c r="W29" i="1"/>
  <c r="X29" i="1"/>
  <c r="V29" i="1"/>
  <c r="W19" i="1"/>
  <c r="V18" i="1"/>
  <c r="W18" i="1"/>
  <c r="X18" i="1"/>
  <c r="V23" i="1"/>
  <c r="W23" i="1"/>
  <c r="X23" i="1"/>
  <c r="V21" i="1"/>
  <c r="W21" i="1"/>
  <c r="X21" i="1"/>
  <c r="V20" i="1"/>
  <c r="W20" i="1"/>
  <c r="X20" i="1"/>
  <c r="V19" i="1"/>
  <c r="X19" i="1"/>
  <c r="V22" i="1"/>
  <c r="W22" i="1"/>
  <c r="X22" i="1"/>
  <c r="W17" i="1"/>
  <c r="X17" i="1"/>
  <c r="V17" i="1"/>
  <c r="W8" i="1"/>
  <c r="X8" i="1"/>
  <c r="V8" i="1"/>
  <c r="I9" i="7" l="1"/>
  <c r="G22" i="15"/>
  <c r="AB24" i="1"/>
  <c r="H18" i="2"/>
  <c r="G3" i="7"/>
  <c r="G5" i="7" s="1"/>
  <c r="E21" i="15" s="1"/>
  <c r="G15" i="5"/>
  <c r="E11" i="15" s="1"/>
  <c r="H3" i="7"/>
  <c r="H5" i="7" s="1"/>
  <c r="H15" i="5"/>
  <c r="F11" i="15" s="1"/>
  <c r="B37" i="5"/>
  <c r="B38" i="5" s="1"/>
  <c r="V25" i="2"/>
  <c r="M7" i="2"/>
  <c r="B11" i="2"/>
  <c r="E11" i="2"/>
  <c r="C11" i="2"/>
  <c r="B15" i="5" s="1"/>
  <c r="O7" i="2"/>
  <c r="D11" i="2"/>
  <c r="E19" i="5"/>
  <c r="F11" i="2"/>
  <c r="G11" i="2"/>
  <c r="Y25" i="2"/>
  <c r="S7" i="2"/>
  <c r="AA7" i="2"/>
  <c r="AB7" i="2"/>
  <c r="B27" i="5"/>
  <c r="V15" i="1"/>
  <c r="X15" i="1"/>
  <c r="W15" i="1"/>
  <c r="Y15" i="1"/>
  <c r="Z15" i="1"/>
  <c r="AA15" i="1"/>
  <c r="AB15" i="1"/>
  <c r="AA24" i="1"/>
  <c r="AA36" i="1"/>
  <c r="H5" i="5"/>
  <c r="F6" i="15" s="1"/>
  <c r="G5" i="5"/>
  <c r="E6" i="15" s="1"/>
  <c r="H4" i="5"/>
  <c r="F5" i="15" s="1"/>
  <c r="AB45" i="1"/>
  <c r="G4" i="5"/>
  <c r="E5" i="15" s="1"/>
  <c r="AA45" i="1"/>
  <c r="AB31" i="1"/>
  <c r="H7" i="5"/>
  <c r="H27" i="5"/>
  <c r="G7" i="5"/>
  <c r="G27" i="5"/>
  <c r="AB36" i="1"/>
  <c r="H19" i="5"/>
  <c r="F12" i="15" s="1"/>
  <c r="T7" i="2"/>
  <c r="G19" i="5"/>
  <c r="E12" i="15" s="1"/>
  <c r="G37" i="5"/>
  <c r="H37" i="5"/>
  <c r="F19" i="15" s="1"/>
  <c r="B19" i="5"/>
  <c r="H15" i="7"/>
  <c r="H20" i="5"/>
  <c r="F13" i="15" s="1"/>
  <c r="V7" i="2"/>
  <c r="G15" i="7"/>
  <c r="D32" i="7"/>
  <c r="E32" i="7"/>
  <c r="F32" i="7"/>
  <c r="B32" i="7"/>
  <c r="C32" i="7"/>
  <c r="Z25" i="2"/>
  <c r="P7" i="2"/>
  <c r="D19" i="5"/>
  <c r="Q7" i="2"/>
  <c r="Q25" i="2"/>
  <c r="X7" i="2"/>
  <c r="W7" i="2"/>
  <c r="Y7" i="2"/>
  <c r="F19" i="5"/>
  <c r="C19" i="5"/>
  <c r="R7" i="2"/>
  <c r="X25" i="2"/>
  <c r="N25" i="2"/>
  <c r="W25" i="2"/>
  <c r="Z7" i="2"/>
  <c r="H46" i="1"/>
  <c r="H25" i="1"/>
  <c r="G30" i="5" s="1"/>
  <c r="E15" i="15" s="1"/>
  <c r="I25" i="1"/>
  <c r="H30" i="5" s="1"/>
  <c r="F15" i="15" s="1"/>
  <c r="F46" i="1"/>
  <c r="Z45" i="1"/>
  <c r="Y45" i="1"/>
  <c r="F25" i="1"/>
  <c r="E30" i="5" s="1"/>
  <c r="Z24" i="1"/>
  <c r="Y24" i="1"/>
  <c r="X45" i="1"/>
  <c r="E46" i="1"/>
  <c r="Y36" i="1"/>
  <c r="D4" i="5"/>
  <c r="X24" i="1"/>
  <c r="D46" i="1"/>
  <c r="W45" i="1"/>
  <c r="X36" i="1"/>
  <c r="C7" i="5"/>
  <c r="W24" i="1"/>
  <c r="C46" i="1"/>
  <c r="W36" i="1"/>
  <c r="B8" i="7"/>
  <c r="V24" i="1"/>
  <c r="G25" i="1"/>
  <c r="F30" i="5" s="1"/>
  <c r="E5" i="5"/>
  <c r="E7" i="5"/>
  <c r="E27" i="5"/>
  <c r="E37" i="5"/>
  <c r="E38" i="5" s="1"/>
  <c r="D27" i="5"/>
  <c r="D37" i="5"/>
  <c r="D38" i="5" s="1"/>
  <c r="D25" i="1"/>
  <c r="C30" i="5" s="1"/>
  <c r="C4" i="5"/>
  <c r="C5" i="5"/>
  <c r="C27" i="5"/>
  <c r="B5" i="5"/>
  <c r="C37" i="5"/>
  <c r="C38" i="5" s="1"/>
  <c r="B4" i="5"/>
  <c r="B7" i="5"/>
  <c r="F37" i="5"/>
  <c r="F38" i="5" s="1"/>
  <c r="V45" i="1"/>
  <c r="F4" i="5"/>
  <c r="D5" i="5"/>
  <c r="B46" i="1"/>
  <c r="B25" i="1"/>
  <c r="D7" i="5"/>
  <c r="V36" i="1"/>
  <c r="F7" i="5"/>
  <c r="G46" i="1"/>
  <c r="E25" i="1"/>
  <c r="D30" i="5" s="1"/>
  <c r="F5" i="5"/>
  <c r="Z36" i="1"/>
  <c r="E4" i="5"/>
  <c r="C25" i="1"/>
  <c r="B30" i="5" s="1"/>
  <c r="F27" i="5"/>
  <c r="B46" i="11" l="1"/>
  <c r="G7" i="15"/>
  <c r="C46" i="11"/>
  <c r="G38" i="5"/>
  <c r="E20" i="15" s="1"/>
  <c r="E19" i="15"/>
  <c r="C3" i="7"/>
  <c r="C5" i="7" s="1"/>
  <c r="C15" i="5"/>
  <c r="D3" i="7"/>
  <c r="D5" i="7" s="1"/>
  <c r="D15" i="5"/>
  <c r="F21" i="15"/>
  <c r="H6" i="7"/>
  <c r="H11" i="7"/>
  <c r="F24" i="15" s="1"/>
  <c r="H12" i="7"/>
  <c r="H10" i="7"/>
  <c r="F23" i="15" s="1"/>
  <c r="R11" i="2"/>
  <c r="F3" i="7"/>
  <c r="F5" i="7" s="1"/>
  <c r="F15" i="5"/>
  <c r="G6" i="7"/>
  <c r="G12" i="7"/>
  <c r="G11" i="7"/>
  <c r="E24" i="15" s="1"/>
  <c r="G10" i="7"/>
  <c r="E23" i="15" s="1"/>
  <c r="E3" i="7"/>
  <c r="E5" i="7" s="1"/>
  <c r="E15" i="5"/>
  <c r="D46" i="11"/>
  <c r="AB46" i="1"/>
  <c r="H38" i="5"/>
  <c r="F20" i="15" s="1"/>
  <c r="F20" i="5"/>
  <c r="F15" i="7"/>
  <c r="E22" i="5"/>
  <c r="F18" i="2"/>
  <c r="D22" i="5"/>
  <c r="E18" i="2"/>
  <c r="P18" i="2" s="1"/>
  <c r="C22" i="5"/>
  <c r="D18" i="2"/>
  <c r="B18" i="2"/>
  <c r="B20" i="2" s="1"/>
  <c r="B22" i="5"/>
  <c r="C18" i="2"/>
  <c r="D15" i="7"/>
  <c r="D20" i="5"/>
  <c r="P11" i="2"/>
  <c r="N11" i="2"/>
  <c r="B20" i="5"/>
  <c r="F22" i="5"/>
  <c r="G18" i="2"/>
  <c r="AA18" i="2" s="1"/>
  <c r="H14" i="5"/>
  <c r="F10" i="15" s="1"/>
  <c r="V11" i="2"/>
  <c r="M11" i="2"/>
  <c r="B3" i="7"/>
  <c r="B5" i="7" s="1"/>
  <c r="T18" i="2"/>
  <c r="AB18" i="2"/>
  <c r="G22" i="5"/>
  <c r="AA11" i="2"/>
  <c r="T11" i="2"/>
  <c r="H22" i="5"/>
  <c r="AB11" i="2"/>
  <c r="I47" i="1"/>
  <c r="S15" i="1"/>
  <c r="E7" i="15"/>
  <c r="H47" i="1"/>
  <c r="AB25" i="1"/>
  <c r="H10" i="5"/>
  <c r="F8" i="15" s="1"/>
  <c r="AA25" i="1"/>
  <c r="G14" i="5"/>
  <c r="E10" i="15" s="1"/>
  <c r="G10" i="5"/>
  <c r="E8" i="15" s="1"/>
  <c r="AA46" i="1"/>
  <c r="S11" i="2"/>
  <c r="G20" i="5"/>
  <c r="E13" i="15" s="1"/>
  <c r="H17" i="7"/>
  <c r="H18" i="7" s="1"/>
  <c r="F25" i="15" s="1"/>
  <c r="H20" i="2"/>
  <c r="G17" i="7"/>
  <c r="G18" i="7" s="1"/>
  <c r="E25" i="15" s="1"/>
  <c r="Q11" i="2"/>
  <c r="E20" i="5"/>
  <c r="Y11" i="2"/>
  <c r="E15" i="7"/>
  <c r="C20" i="5"/>
  <c r="W11" i="2"/>
  <c r="O11" i="2"/>
  <c r="X11" i="2"/>
  <c r="C15" i="7"/>
  <c r="Z11" i="2"/>
  <c r="S10" i="1"/>
  <c r="S21" i="1"/>
  <c r="S9" i="1"/>
  <c r="S20" i="1"/>
  <c r="S8" i="1"/>
  <c r="S23" i="1"/>
  <c r="S25" i="1"/>
  <c r="S18" i="1"/>
  <c r="S17" i="1"/>
  <c r="S14" i="1"/>
  <c r="S19" i="1"/>
  <c r="S13" i="1"/>
  <c r="S12" i="1"/>
  <c r="S22" i="1"/>
  <c r="S11" i="1"/>
  <c r="T21" i="1"/>
  <c r="T25" i="1"/>
  <c r="T23" i="1"/>
  <c r="T18" i="1"/>
  <c r="T17" i="1"/>
  <c r="T15" i="1"/>
  <c r="T13" i="1"/>
  <c r="T12" i="1"/>
  <c r="T10" i="1"/>
  <c r="T14" i="1"/>
  <c r="T22" i="1"/>
  <c r="T11" i="1"/>
  <c r="T19" i="1"/>
  <c r="T9" i="1"/>
  <c r="T20" i="1"/>
  <c r="S24" i="1"/>
  <c r="T24" i="1"/>
  <c r="R8" i="1"/>
  <c r="F47" i="1"/>
  <c r="E13" i="5" s="1"/>
  <c r="B14" i="5"/>
  <c r="D14" i="5"/>
  <c r="C14" i="5"/>
  <c r="E14" i="5"/>
  <c r="Q17" i="1"/>
  <c r="Q12" i="1"/>
  <c r="Q18" i="1"/>
  <c r="Q8" i="1"/>
  <c r="Q25" i="1"/>
  <c r="Q24" i="1"/>
  <c r="Q21" i="1"/>
  <c r="Q10" i="1"/>
  <c r="Q11" i="1"/>
  <c r="Q19" i="1"/>
  <c r="Q23" i="1"/>
  <c r="Q20" i="1"/>
  <c r="Q14" i="1"/>
  <c r="Q9" i="1"/>
  <c r="Q13" i="1"/>
  <c r="Q15" i="1"/>
  <c r="Q22" i="1"/>
  <c r="Y46" i="1"/>
  <c r="X46" i="1"/>
  <c r="W46" i="1"/>
  <c r="R22" i="1"/>
  <c r="R25" i="1"/>
  <c r="R18" i="1"/>
  <c r="R23" i="1"/>
  <c r="R21" i="1"/>
  <c r="R14" i="1"/>
  <c r="R15" i="1"/>
  <c r="R19" i="1"/>
  <c r="R11" i="1"/>
  <c r="R9" i="1"/>
  <c r="R17" i="1"/>
  <c r="R13" i="1"/>
  <c r="R12" i="1"/>
  <c r="R10" i="1"/>
  <c r="R24" i="1"/>
  <c r="R20" i="1"/>
  <c r="Z25" i="1"/>
  <c r="G47" i="1"/>
  <c r="O20" i="1"/>
  <c r="O11" i="1"/>
  <c r="O15" i="1"/>
  <c r="O8" i="1"/>
  <c r="O25" i="1"/>
  <c r="O9" i="1"/>
  <c r="O19" i="1"/>
  <c r="O21" i="1"/>
  <c r="O12" i="1"/>
  <c r="O17" i="1"/>
  <c r="D47" i="1"/>
  <c r="O18" i="1"/>
  <c r="O10" i="1"/>
  <c r="O24" i="1"/>
  <c r="O22" i="1"/>
  <c r="O23" i="1"/>
  <c r="C10" i="5"/>
  <c r="O14" i="1"/>
  <c r="O13" i="1"/>
  <c r="V46" i="1"/>
  <c r="P17" i="1"/>
  <c r="P11" i="1"/>
  <c r="P19" i="1"/>
  <c r="D10" i="5"/>
  <c r="P21" i="1"/>
  <c r="P12" i="1"/>
  <c r="P10" i="1"/>
  <c r="P13" i="1"/>
  <c r="E47" i="1"/>
  <c r="X25" i="1"/>
  <c r="P14" i="1"/>
  <c r="P23" i="1"/>
  <c r="P24" i="1"/>
  <c r="P20" i="1"/>
  <c r="P8" i="1"/>
  <c r="P9" i="1"/>
  <c r="P25" i="1"/>
  <c r="P18" i="1"/>
  <c r="P22" i="1"/>
  <c r="Y25" i="1"/>
  <c r="M10" i="1"/>
  <c r="M21" i="1"/>
  <c r="M19" i="1"/>
  <c r="M12" i="1"/>
  <c r="M8" i="1"/>
  <c r="B47" i="1"/>
  <c r="M24" i="1"/>
  <c r="M15" i="1"/>
  <c r="M11" i="1"/>
  <c r="M20" i="1"/>
  <c r="M23" i="1"/>
  <c r="M9" i="1"/>
  <c r="M22" i="1"/>
  <c r="M25" i="1"/>
  <c r="M14" i="1"/>
  <c r="M17" i="1"/>
  <c r="M13" i="1"/>
  <c r="M18" i="1"/>
  <c r="P15" i="1"/>
  <c r="F10" i="5"/>
  <c r="F14" i="5"/>
  <c r="Z46" i="1"/>
  <c r="N23" i="1"/>
  <c r="N12" i="1"/>
  <c r="C47" i="1"/>
  <c r="N8" i="1"/>
  <c r="N24" i="1"/>
  <c r="N20" i="1"/>
  <c r="N21" i="1"/>
  <c r="N13" i="1"/>
  <c r="N11" i="1"/>
  <c r="N19" i="1"/>
  <c r="N9" i="1"/>
  <c r="N15" i="1"/>
  <c r="N25" i="1"/>
  <c r="N18" i="1"/>
  <c r="N14" i="1"/>
  <c r="N10" i="1"/>
  <c r="V25" i="1"/>
  <c r="N17" i="1"/>
  <c r="N22" i="1"/>
  <c r="B10" i="5"/>
  <c r="W25" i="1"/>
  <c r="C50" i="33" l="1"/>
  <c r="B47" i="11"/>
  <c r="B48" i="11" s="1"/>
  <c r="B54" i="11" s="1"/>
  <c r="G16" i="5"/>
  <c r="G9" i="7"/>
  <c r="E22" i="15"/>
  <c r="F11" i="7"/>
  <c r="F6" i="7"/>
  <c r="F9" i="7" s="1"/>
  <c r="F12" i="7"/>
  <c r="F10" i="7"/>
  <c r="F22" i="15"/>
  <c r="H9" i="7"/>
  <c r="E11" i="7"/>
  <c r="E6" i="7"/>
  <c r="E9" i="7" s="1"/>
  <c r="E12" i="7"/>
  <c r="E10" i="7"/>
  <c r="B12" i="7"/>
  <c r="B10" i="7"/>
  <c r="D11" i="7"/>
  <c r="D6" i="7"/>
  <c r="D9" i="7" s="1"/>
  <c r="D12" i="7"/>
  <c r="D10" i="7"/>
  <c r="C11" i="7"/>
  <c r="C6" i="7"/>
  <c r="C9" i="7" s="1"/>
  <c r="C12" i="7"/>
  <c r="C10" i="7"/>
  <c r="C47" i="11"/>
  <c r="C49" i="11" s="1"/>
  <c r="D47" i="11"/>
  <c r="D48" i="11" s="1"/>
  <c r="D54" i="11" s="1"/>
  <c r="E20" i="2"/>
  <c r="P20" i="2" s="1"/>
  <c r="D17" i="7"/>
  <c r="D18" i="7" s="1"/>
  <c r="D24" i="7" s="1"/>
  <c r="V18" i="2"/>
  <c r="M20" i="2"/>
  <c r="B22" i="2"/>
  <c r="M18" i="2"/>
  <c r="X18" i="2"/>
  <c r="Z18" i="2"/>
  <c r="F17" i="7"/>
  <c r="F18" i="7" s="1"/>
  <c r="F24" i="7" s="1"/>
  <c r="R18" i="2"/>
  <c r="G20" i="2"/>
  <c r="AA20" i="2" s="1"/>
  <c r="AB47" i="1"/>
  <c r="H16" i="5"/>
  <c r="H11" i="5"/>
  <c r="I48" i="1"/>
  <c r="H12" i="5"/>
  <c r="B11" i="7"/>
  <c r="B6" i="7"/>
  <c r="B9" i="7" s="1"/>
  <c r="B17" i="7"/>
  <c r="B18" i="7" s="1"/>
  <c r="N18" i="2"/>
  <c r="C20" i="2"/>
  <c r="C22" i="2" s="1"/>
  <c r="AB20" i="2"/>
  <c r="AA47" i="1"/>
  <c r="G12" i="5"/>
  <c r="G11" i="5"/>
  <c r="H48" i="1"/>
  <c r="G13" i="5"/>
  <c r="E9" i="15" s="1"/>
  <c r="H22" i="2"/>
  <c r="S20" i="2"/>
  <c r="I6" i="3"/>
  <c r="T20" i="2"/>
  <c r="G24" i="7"/>
  <c r="E29" i="15" s="1"/>
  <c r="H24" i="7"/>
  <c r="F29" i="15" s="1"/>
  <c r="C17" i="7"/>
  <c r="C18" i="7" s="1"/>
  <c r="W18" i="2"/>
  <c r="O18" i="2"/>
  <c r="D20" i="2"/>
  <c r="Y18" i="2"/>
  <c r="F20" i="2"/>
  <c r="E17" i="7"/>
  <c r="E18" i="7" s="1"/>
  <c r="Q18" i="2"/>
  <c r="C13" i="5"/>
  <c r="D13" i="5"/>
  <c r="E16" i="5"/>
  <c r="E12" i="5"/>
  <c r="F13" i="5"/>
  <c r="E11" i="5"/>
  <c r="F48" i="1"/>
  <c r="Q47" i="1" s="1"/>
  <c r="F11" i="5"/>
  <c r="F16" i="5"/>
  <c r="G48" i="1"/>
  <c r="Z47" i="1"/>
  <c r="F12" i="5"/>
  <c r="Y47" i="1"/>
  <c r="C16" i="5"/>
  <c r="C12" i="5"/>
  <c r="C11" i="5"/>
  <c r="D48" i="1"/>
  <c r="O47" i="1" s="1"/>
  <c r="C48" i="1"/>
  <c r="N47" i="1" s="1"/>
  <c r="V47" i="1"/>
  <c r="B11" i="5"/>
  <c r="B12" i="5"/>
  <c r="B16" i="5"/>
  <c r="B13" i="5"/>
  <c r="D11" i="5"/>
  <c r="E48" i="1"/>
  <c r="P47" i="1" s="1"/>
  <c r="D12" i="5"/>
  <c r="D16" i="5"/>
  <c r="X47" i="1"/>
  <c r="B48" i="1"/>
  <c r="W47" i="1"/>
  <c r="B49" i="11" l="1"/>
  <c r="C52" i="33"/>
  <c r="E6" i="32" s="1"/>
  <c r="C51" i="33"/>
  <c r="C57" i="33" s="1"/>
  <c r="E4" i="32" s="1"/>
  <c r="E52" i="33"/>
  <c r="F6" i="32" s="1"/>
  <c r="E51" i="33"/>
  <c r="E57" i="33" s="1"/>
  <c r="F4" i="32" s="1"/>
  <c r="T30" i="1"/>
  <c r="S46" i="1"/>
  <c r="R46" i="1"/>
  <c r="C48" i="11"/>
  <c r="C54" i="11" s="1"/>
  <c r="D49" i="11"/>
  <c r="M22" i="2"/>
  <c r="C6" i="21"/>
  <c r="C31" i="21" s="1"/>
  <c r="C44" i="21" s="1"/>
  <c r="C76" i="21" s="1"/>
  <c r="C79" i="21" s="1"/>
  <c r="B6" i="3"/>
  <c r="D6" i="21"/>
  <c r="D31" i="21" s="1"/>
  <c r="D44" i="21" s="1"/>
  <c r="D76" i="21" s="1"/>
  <c r="D79" i="21" s="1"/>
  <c r="C6" i="3"/>
  <c r="G22" i="2"/>
  <c r="I34" i="3"/>
  <c r="I48" i="3" s="1"/>
  <c r="I50" i="3"/>
  <c r="I88" i="3" s="1"/>
  <c r="I91" i="3" s="1"/>
  <c r="I93" i="3" s="1"/>
  <c r="I6" i="21"/>
  <c r="I31" i="21" s="1"/>
  <c r="I44" i="21" s="1"/>
  <c r="I76" i="21" s="1"/>
  <c r="I79" i="21" s="1"/>
  <c r="H6" i="3"/>
  <c r="B55" i="11"/>
  <c r="D55" i="11"/>
  <c r="H24" i="5"/>
  <c r="H23" i="5"/>
  <c r="X20" i="2"/>
  <c r="G24" i="5"/>
  <c r="G23" i="5"/>
  <c r="E22" i="2"/>
  <c r="P22" i="2" s="1"/>
  <c r="B23" i="5"/>
  <c r="B24" i="5"/>
  <c r="Z20" i="2"/>
  <c r="R20" i="2"/>
  <c r="T45" i="1"/>
  <c r="T46" i="1"/>
  <c r="T44" i="1"/>
  <c r="S32" i="1"/>
  <c r="T38" i="1"/>
  <c r="S36" i="1"/>
  <c r="T32" i="1"/>
  <c r="T48" i="1"/>
  <c r="T35" i="1"/>
  <c r="T29" i="1"/>
  <c r="T33" i="1"/>
  <c r="T40" i="1"/>
  <c r="T42" i="1"/>
  <c r="T43" i="1"/>
  <c r="T39" i="1"/>
  <c r="T34" i="1"/>
  <c r="T31" i="1"/>
  <c r="T47" i="1"/>
  <c r="T41" i="1"/>
  <c r="T36" i="1"/>
  <c r="AB22" i="2"/>
  <c r="V20" i="2"/>
  <c r="N20" i="2"/>
  <c r="B24" i="7"/>
  <c r="AA22" i="2"/>
  <c r="S40" i="1"/>
  <c r="S42" i="1"/>
  <c r="AB48" i="1"/>
  <c r="S35" i="1"/>
  <c r="S48" i="1"/>
  <c r="S39" i="1"/>
  <c r="S30" i="1"/>
  <c r="S44" i="1"/>
  <c r="S38" i="1"/>
  <c r="S47" i="1"/>
  <c r="S41" i="1"/>
  <c r="S33" i="1"/>
  <c r="S34" i="1"/>
  <c r="S43" i="1"/>
  <c r="S31" i="1"/>
  <c r="S45" i="1"/>
  <c r="S29" i="1"/>
  <c r="AA48" i="1"/>
  <c r="H21" i="5"/>
  <c r="F14" i="15" s="1"/>
  <c r="T22" i="2"/>
  <c r="G21" i="5"/>
  <c r="E14" i="15" s="1"/>
  <c r="S22" i="2"/>
  <c r="D21" i="5"/>
  <c r="R22" i="2"/>
  <c r="F21" i="5"/>
  <c r="O20" i="2"/>
  <c r="W20" i="2"/>
  <c r="D22" i="2"/>
  <c r="E24" i="7"/>
  <c r="Q20" i="2"/>
  <c r="F22" i="2"/>
  <c r="Y20" i="2"/>
  <c r="N22" i="2"/>
  <c r="V22" i="2"/>
  <c r="B21" i="5"/>
  <c r="C24" i="7"/>
  <c r="Q29" i="1"/>
  <c r="Q43" i="1"/>
  <c r="Q36" i="1"/>
  <c r="Q42" i="1"/>
  <c r="Q44" i="1"/>
  <c r="Q35" i="1"/>
  <c r="Q31" i="1"/>
  <c r="Q38" i="1"/>
  <c r="Q32" i="1"/>
  <c r="Q41" i="1"/>
  <c r="Q40" i="1"/>
  <c r="Q34" i="1"/>
  <c r="Q39" i="1"/>
  <c r="Q33" i="1"/>
  <c r="Q30" i="1"/>
  <c r="Q46" i="1"/>
  <c r="Q48" i="1"/>
  <c r="Q45" i="1"/>
  <c r="R43" i="1"/>
  <c r="R42" i="1"/>
  <c r="R45" i="1"/>
  <c r="R34" i="1"/>
  <c r="R47" i="1"/>
  <c r="R29" i="1"/>
  <c r="R48" i="1"/>
  <c r="Z48" i="1"/>
  <c r="R32" i="1"/>
  <c r="R33" i="1"/>
  <c r="R40" i="1"/>
  <c r="R38" i="1"/>
  <c r="R36" i="1"/>
  <c r="R31" i="1"/>
  <c r="R44" i="1"/>
  <c r="R41" i="1"/>
  <c r="R30" i="1"/>
  <c r="R39" i="1"/>
  <c r="R35" i="1"/>
  <c r="Y48" i="1"/>
  <c r="O35" i="1"/>
  <c r="O48" i="1"/>
  <c r="O46" i="1"/>
  <c r="O42" i="1"/>
  <c r="O39" i="1"/>
  <c r="O31" i="1"/>
  <c r="O34" i="1"/>
  <c r="O44" i="1"/>
  <c r="O36" i="1"/>
  <c r="O30" i="1"/>
  <c r="O29" i="1"/>
  <c r="O40" i="1"/>
  <c r="O38" i="1"/>
  <c r="O43" i="1"/>
  <c r="O32" i="1"/>
  <c r="O41" i="1"/>
  <c r="O33" i="1"/>
  <c r="O45" i="1"/>
  <c r="W48" i="1"/>
  <c r="M45" i="1"/>
  <c r="M43" i="1"/>
  <c r="M31" i="1"/>
  <c r="M29" i="1"/>
  <c r="M38" i="1"/>
  <c r="M30" i="1"/>
  <c r="M44" i="1"/>
  <c r="M42" i="1"/>
  <c r="M41" i="1"/>
  <c r="M35" i="1"/>
  <c r="M32" i="1"/>
  <c r="M40" i="1"/>
  <c r="M48" i="1"/>
  <c r="M34" i="1"/>
  <c r="M39" i="1"/>
  <c r="M33" i="1"/>
  <c r="M36" i="1"/>
  <c r="M46" i="1"/>
  <c r="N33" i="1"/>
  <c r="N39" i="1"/>
  <c r="N44" i="1"/>
  <c r="N31" i="1"/>
  <c r="N41" i="1"/>
  <c r="N34" i="1"/>
  <c r="N45" i="1"/>
  <c r="N43" i="1"/>
  <c r="N30" i="1"/>
  <c r="N35" i="1"/>
  <c r="N40" i="1"/>
  <c r="V48" i="1"/>
  <c r="N32" i="1"/>
  <c r="N42" i="1"/>
  <c r="N29" i="1"/>
  <c r="N36" i="1"/>
  <c r="N48" i="1"/>
  <c r="N38" i="1"/>
  <c r="N46" i="1"/>
  <c r="P39" i="1"/>
  <c r="P34" i="1"/>
  <c r="P42" i="1"/>
  <c r="P43" i="1"/>
  <c r="P29" i="1"/>
  <c r="P45" i="1"/>
  <c r="P41" i="1"/>
  <c r="P33" i="1"/>
  <c r="P31" i="1"/>
  <c r="P38" i="1"/>
  <c r="P32" i="1"/>
  <c r="P46" i="1"/>
  <c r="P36" i="1"/>
  <c r="P48" i="1"/>
  <c r="X48" i="1"/>
  <c r="P35" i="1"/>
  <c r="P44" i="1"/>
  <c r="P40" i="1"/>
  <c r="P30" i="1"/>
  <c r="M47" i="1"/>
  <c r="C58" i="33" l="1"/>
  <c r="E5" i="32" s="1"/>
  <c r="E58" i="33"/>
  <c r="F5" i="32" s="1"/>
  <c r="E54" i="33"/>
  <c r="E55" i="33" s="1"/>
  <c r="E63" i="33" s="1"/>
  <c r="E53" i="33"/>
  <c r="C53" i="33"/>
  <c r="C54" i="33"/>
  <c r="C55" i="33" s="1"/>
  <c r="C63" i="33" s="1"/>
  <c r="C55" i="11"/>
  <c r="G6" i="21"/>
  <c r="G31" i="21" s="1"/>
  <c r="G44" i="21" s="1"/>
  <c r="G76" i="21" s="1"/>
  <c r="G79" i="21" s="1"/>
  <c r="F6" i="3"/>
  <c r="H6" i="21"/>
  <c r="H31" i="21" s="1"/>
  <c r="H44" i="21" s="1"/>
  <c r="H76" i="21" s="1"/>
  <c r="H79" i="21" s="1"/>
  <c r="G6" i="3"/>
  <c r="F23" i="5"/>
  <c r="C34" i="3"/>
  <c r="C48" i="3" s="1"/>
  <c r="C50" i="3"/>
  <c r="C88" i="3" s="1"/>
  <c r="C91" i="3" s="1"/>
  <c r="C93" i="3" s="1"/>
  <c r="F24" i="5"/>
  <c r="E6" i="21"/>
  <c r="E31" i="21" s="1"/>
  <c r="E44" i="21" s="1"/>
  <c r="E76" i="21" s="1"/>
  <c r="E79" i="21" s="1"/>
  <c r="D6" i="3"/>
  <c r="F6" i="21"/>
  <c r="F31" i="21" s="1"/>
  <c r="F44" i="21" s="1"/>
  <c r="F76" i="21" s="1"/>
  <c r="F79" i="21" s="1"/>
  <c r="E6" i="3"/>
  <c r="B34" i="3"/>
  <c r="B48" i="3" s="1"/>
  <c r="B50" i="3"/>
  <c r="B88" i="3" s="1"/>
  <c r="H34" i="3"/>
  <c r="H48" i="3" s="1"/>
  <c r="H50" i="3"/>
  <c r="H88" i="3" s="1"/>
  <c r="Z22" i="2"/>
  <c r="E23" i="5"/>
  <c r="E24" i="5"/>
  <c r="C23" i="5"/>
  <c r="C24" i="5"/>
  <c r="D23" i="5"/>
  <c r="D24" i="5"/>
  <c r="W22" i="2"/>
  <c r="O22" i="2"/>
  <c r="C21" i="5"/>
  <c r="Y22" i="2"/>
  <c r="E21" i="5"/>
  <c r="Q22" i="2"/>
  <c r="X22" i="2"/>
  <c r="C60" i="33" l="1"/>
  <c r="C64" i="33"/>
  <c r="E7" i="32" s="1"/>
  <c r="E64" i="33"/>
  <c r="F7" i="32" s="1"/>
  <c r="E60" i="33"/>
  <c r="E34" i="3"/>
  <c r="E48" i="3" s="1"/>
  <c r="E50" i="3"/>
  <c r="E88" i="3" s="1"/>
  <c r="E91" i="3" s="1"/>
  <c r="E93" i="3" s="1"/>
  <c r="D34" i="3"/>
  <c r="D48" i="3" s="1"/>
  <c r="D50" i="3"/>
  <c r="D88" i="3" s="1"/>
  <c r="D91" i="3" s="1"/>
  <c r="D93" i="3" s="1"/>
  <c r="H91" i="3"/>
  <c r="H93" i="3" s="1"/>
  <c r="G34" i="3"/>
  <c r="G48" i="3" s="1"/>
  <c r="G50" i="3"/>
  <c r="G88" i="3" s="1"/>
  <c r="B91" i="3"/>
  <c r="B93" i="3" s="1"/>
  <c r="F34" i="3"/>
  <c r="F48" i="3" s="1"/>
  <c r="F50" i="3"/>
  <c r="F88" i="3" s="1"/>
  <c r="G91" i="3" l="1"/>
  <c r="G93" i="3" s="1"/>
  <c r="F91" i="3"/>
  <c r="F93" i="3" s="1"/>
  <c r="C34" i="11"/>
  <c r="E34" i="11" s="1"/>
  <c r="E41" i="11" s="1"/>
  <c r="E42" i="11" s="1"/>
  <c r="D34" i="11"/>
  <c r="D41" i="11" s="1"/>
  <c r="D42" i="11" s="1"/>
  <c r="B41" i="11"/>
  <c r="B42" i="11" s="1"/>
  <c r="O6" i="11" s="1"/>
  <c r="C41" i="11" l="1"/>
  <c r="C42" i="11" s="1"/>
  <c r="O9" i="11"/>
  <c r="O7" i="11"/>
  <c r="O5" i="11"/>
  <c r="O8" i="11"/>
  <c r="O10" i="11" l="1"/>
  <c r="C43" i="11" s="1"/>
  <c r="C44" i="11" s="1"/>
  <c r="B43" i="11" l="1"/>
  <c r="B44" i="11" s="1"/>
  <c r="B51" i="11" s="1"/>
  <c r="B52" i="11" s="1"/>
  <c r="B60" i="11" s="1"/>
  <c r="B61" i="11" s="1"/>
  <c r="E43" i="11"/>
  <c r="E44" i="11" s="1"/>
  <c r="E51" i="11" s="1"/>
  <c r="E52" i="11" s="1"/>
  <c r="E60" i="11" s="1"/>
  <c r="E61" i="11" s="1"/>
  <c r="D43" i="11"/>
  <c r="D44" i="11" s="1"/>
  <c r="D51" i="11"/>
  <c r="D52" i="11" s="1"/>
  <c r="D60" i="11" s="1"/>
  <c r="D61" i="11" s="1"/>
  <c r="D45" i="11"/>
  <c r="D50" i="11" s="1"/>
  <c r="D57" i="11" s="1"/>
  <c r="C51" i="11"/>
  <c r="C52" i="11" s="1"/>
  <c r="C60" i="11" s="1"/>
  <c r="C61" i="11" s="1"/>
  <c r="C45" i="11"/>
  <c r="C50" i="11" s="1"/>
  <c r="C57" i="11" s="1"/>
  <c r="B45" i="11"/>
  <c r="B50" i="11" s="1"/>
  <c r="B57" i="11" s="1"/>
  <c r="E45" i="11" l="1"/>
  <c r="E50" i="11" s="1"/>
  <c r="E57" i="11" s="1"/>
  <c r="C19" i="7"/>
  <c r="C22" i="7" s="1"/>
  <c r="C23" i="7" s="1"/>
  <c r="H19" i="7"/>
  <c r="H22" i="7" s="1"/>
  <c r="B19" i="7"/>
  <c r="B22" i="7" s="1"/>
  <c r="B23" i="7" s="1"/>
  <c r="E19" i="7"/>
  <c r="E22" i="7" s="1"/>
  <c r="E23" i="7" s="1"/>
  <c r="G19" i="7"/>
  <c r="G22" i="7" s="1"/>
  <c r="D19" i="7"/>
  <c r="D22" i="7" s="1"/>
  <c r="D23" i="7" s="1"/>
  <c r="I19" i="7"/>
  <c r="I22" i="7" s="1"/>
  <c r="F19" i="7"/>
  <c r="F22" i="7" s="1"/>
  <c r="F23" i="7" s="1"/>
  <c r="G23" i="7" l="1"/>
  <c r="E28" i="15" s="1"/>
  <c r="E27" i="15"/>
  <c r="H23" i="7"/>
  <c r="F28" i="15" s="1"/>
  <c r="F27" i="15"/>
  <c r="G27" i="15"/>
  <c r="I23" i="7"/>
  <c r="G28" i="1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Manuel Sanchez</author>
  </authors>
  <commentList>
    <comment ref="B19" authorId="0" shapeId="0" xr:uid="{B02C5C2F-1966-48F0-81CC-04A57678701A}">
      <text>
        <r>
          <rPr>
            <b/>
            <sz val="9"/>
            <color indexed="81"/>
            <rFont val="Tahoma"/>
            <charset val="1"/>
          </rPr>
          <t>Manuel Sanchez:</t>
        </r>
        <r>
          <rPr>
            <sz val="9"/>
            <color indexed="81"/>
            <rFont val="Tahoma"/>
            <charset val="1"/>
          </rPr>
          <t xml:space="preserve">
Resultados obtenidos basados en análisis vertical</t>
        </r>
      </text>
    </comment>
    <comment ref="D19" authorId="0" shapeId="0" xr:uid="{D68CAD33-746C-4E9B-95E1-ED2415DF839C}">
      <text>
        <r>
          <rPr>
            <b/>
            <sz val="9"/>
            <color indexed="81"/>
            <rFont val="Tahoma"/>
            <charset val="1"/>
          </rPr>
          <t>Manuel Sanchez:</t>
        </r>
        <r>
          <rPr>
            <sz val="9"/>
            <color indexed="81"/>
            <rFont val="Tahoma"/>
            <charset val="1"/>
          </rPr>
          <t xml:space="preserve">
Resultados obtenidos basados en análisis vertical</t>
        </r>
      </text>
    </comment>
  </commentList>
</comments>
</file>

<file path=xl/sharedStrings.xml><?xml version="1.0" encoding="utf-8"?>
<sst xmlns="http://schemas.openxmlformats.org/spreadsheetml/2006/main" count="1133" uniqueCount="487">
  <si>
    <t>Tabla A1. ARGOS. Estados consolidados de la situación financiera 2005-2011 (COP millones)</t>
  </si>
  <si>
    <t>AÑO</t>
  </si>
  <si>
    <t>2005
RE-EXPRESADO</t>
  </si>
  <si>
    <t>2006
RE-EXPRESADO</t>
  </si>
  <si>
    <t>ACTIVO</t>
  </si>
  <si>
    <t>Activo Corriente</t>
  </si>
  <si>
    <t>Disponible</t>
  </si>
  <si>
    <t>Inversiones negociables</t>
  </si>
  <si>
    <t>Deudores, neto</t>
  </si>
  <si>
    <t>Inventarios, neto</t>
  </si>
  <si>
    <t>Gastos pagados por anticipado</t>
  </si>
  <si>
    <t>Propiedades, planta y equipo, neto</t>
  </si>
  <si>
    <t>Diferidos e Intangibles</t>
  </si>
  <si>
    <t>Total activo corriente</t>
  </si>
  <si>
    <t>Activo no corriente</t>
  </si>
  <si>
    <t>Deudores a largo plazo</t>
  </si>
  <si>
    <t>Inversiones permanentes</t>
  </si>
  <si>
    <t>Diferidos e intangibles</t>
  </si>
  <si>
    <t>Otros activos</t>
  </si>
  <si>
    <t>Valorizaciones de activos</t>
  </si>
  <si>
    <t>Inventarios</t>
  </si>
  <si>
    <t>Total activo no corriente</t>
  </si>
  <si>
    <t>TOTAL ACTIVOS</t>
  </si>
  <si>
    <t>PASIVO</t>
  </si>
  <si>
    <t>Pasivo corriente</t>
  </si>
  <si>
    <t>Obligaciones financieras</t>
  </si>
  <si>
    <t>Papeles comerciales</t>
  </si>
  <si>
    <t>Bonos en circulación</t>
  </si>
  <si>
    <t>Proveedores y cuentas por pagar</t>
  </si>
  <si>
    <t>Impuestos, gravámenes y tasas</t>
  </si>
  <si>
    <t>Obligaciones laborales</t>
  </si>
  <si>
    <t>Otros pasivos</t>
  </si>
  <si>
    <t>Total pasivo corriente</t>
  </si>
  <si>
    <t>Pasivo no corriente</t>
  </si>
  <si>
    <t>Impuesto diferido</t>
  </si>
  <si>
    <t>Total pasivo no corriente</t>
  </si>
  <si>
    <t>TOTAL PASIVO</t>
  </si>
  <si>
    <t>PATRIMONIO</t>
  </si>
  <si>
    <t>TOTAL PASIVO Y PATRIMONIO</t>
  </si>
  <si>
    <t>Tabla A2. ARGOS. Estados de resultados consolidado 2005-2011 (COP millones)</t>
  </si>
  <si>
    <t>Ingresos Operacionales</t>
  </si>
  <si>
    <t>Costo de Ventas</t>
  </si>
  <si>
    <t>Utilidad Bruta</t>
  </si>
  <si>
    <t>Gastos operacionales</t>
  </si>
  <si>
    <t>Gastos de administración</t>
  </si>
  <si>
    <t>Gastos de ventas</t>
  </si>
  <si>
    <t>Deterioro de activos</t>
  </si>
  <si>
    <t>Utilidad Operacional</t>
  </si>
  <si>
    <t>Otros ingresos (gastos) no operacionales</t>
  </si>
  <si>
    <t>Ingresos financieros</t>
  </si>
  <si>
    <t>Dividendos y participaciones</t>
  </si>
  <si>
    <t>Gastos financieros, netos</t>
  </si>
  <si>
    <t>Diferencia en cambio, neto</t>
  </si>
  <si>
    <t>Otros ingresos</t>
  </si>
  <si>
    <t>Otros egresos</t>
  </si>
  <si>
    <t>Utilidad antes de la provisión para impuesto sobre la renta</t>
  </si>
  <si>
    <t>Provisión para impuesto sobre la renta</t>
  </si>
  <si>
    <t>Utilidad antes de interés minoritario</t>
  </si>
  <si>
    <t>Participación de intereses minoritarios en
utilidades de compañias subordinadas</t>
  </si>
  <si>
    <t>UTILIDAD NETA CONSOLIDADA</t>
  </si>
  <si>
    <t>Tabla A3. ARGOS. Estados de flujo de efectivo 2005-2011 (COP millones)</t>
  </si>
  <si>
    <t>FLUJOS DE EFECTIVO DE ACTIVIDADES DE OPERACIÓN:</t>
  </si>
  <si>
    <t>Utilidad neta</t>
  </si>
  <si>
    <t>Ajuste para conciliar la utilidad neta con el efectivo neto
provisto por actividades de operación:</t>
  </si>
  <si>
    <t>Depreciaciones y amortizaciones de propiedades, planta y equipo</t>
  </si>
  <si>
    <t>Amortización de cargos diferidos y otros</t>
  </si>
  <si>
    <t>Otras amortizaciones</t>
  </si>
  <si>
    <t>Utilidad en venta de propiedades, planta y equipo</t>
  </si>
  <si>
    <t>Pérdida en venta de propiedad, planta y equipo</t>
  </si>
  <si>
    <t>Pérdida en retiro de propiedades, planta y equipo</t>
  </si>
  <si>
    <t>Utilidad en venta de inversiones permanentes</t>
  </si>
  <si>
    <t>Recuperación de provisión de inversiones</t>
  </si>
  <si>
    <t>Provisión de deudores</t>
  </si>
  <si>
    <t>Provisión de inventarios</t>
  </si>
  <si>
    <t>Diferencia en cambio de obligaciones financieras y cuentas por pagar a largo plazo</t>
  </si>
  <si>
    <t>Participación  de interés minoritario</t>
  </si>
  <si>
    <t>Amortización pensiones de jubilación</t>
  </si>
  <si>
    <t>Ingresos por cobrar</t>
  </si>
  <si>
    <t>Provisiones para protección de inversiones, neto</t>
  </si>
  <si>
    <t>Provisiones para protección de propiedades, planta y equipo, neto</t>
  </si>
  <si>
    <t>Recuperaciones de provisiones para protección de propiedades, planta y equipo, neto</t>
  </si>
  <si>
    <t>Corrección monetaria</t>
  </si>
  <si>
    <t>Diferencia en cambio de inversiones permanentes</t>
  </si>
  <si>
    <t>Diferencia en cambio de propiedades, planta y equipo</t>
  </si>
  <si>
    <t>Utilidad en enajenación de inversiones permanentes</t>
  </si>
  <si>
    <t>Castigo de intangibles</t>
  </si>
  <si>
    <t>SUBTOTAL FLUJOS DE OPERACIÓN</t>
  </si>
  <si>
    <t>CAMBIOS EN ACTIVOS Y PASIVOS OPERACIONALES</t>
  </si>
  <si>
    <t>Deudores</t>
  </si>
  <si>
    <t>Disminución en pasivos diferidos de largo plazo</t>
  </si>
  <si>
    <t>Disminución en otros pasivos de largo plazo</t>
  </si>
  <si>
    <t>Traslados de inversiones de portafolio a controladas</t>
  </si>
  <si>
    <t>EFECTIVO NETO PROVISTO POR ACTIVIDADES DE OPERACIÓN</t>
  </si>
  <si>
    <t>FLUJOS DE EFECTIVO DE LAS ACTIVIDADES DE INVERSIÓN:</t>
  </si>
  <si>
    <t>Venta de propiedades, planta y equipo</t>
  </si>
  <si>
    <t>Venta de inversiones permanentes</t>
  </si>
  <si>
    <t>Adquisición de inversiones permanentes</t>
  </si>
  <si>
    <t>Adquisición de propiedades, planta y equipo</t>
  </si>
  <si>
    <t>(Aumento) disminución de activos diferidos e intangibles</t>
  </si>
  <si>
    <t>(Aumento) disminución en otros activos</t>
  </si>
  <si>
    <t>Aumento neto propiedades, planta y equipos por incorporación de compañías</t>
  </si>
  <si>
    <t>Aumento neto de activos por incorporación y retiro de compañías</t>
  </si>
  <si>
    <t>(Disminución) aumento del patrimonio por diferencia en cambio inversiones del exterior y otros</t>
  </si>
  <si>
    <t>Disminución del patrimonio por otras variaciones patrimoniales</t>
  </si>
  <si>
    <t>Traslado de inversiones permanentes controladas a permanentes no controladas</t>
  </si>
  <si>
    <t>Aumento en diferidos e intangibles por efectos de fusión</t>
  </si>
  <si>
    <t>Aumento en inversiones por efectos de fusión</t>
  </si>
  <si>
    <t>Aumento en inversiones permanentes por realización de utilidades</t>
  </si>
  <si>
    <t>EFECTIVO NETO USADO EN ACTIVIDADES DE INVERSIÓN</t>
  </si>
  <si>
    <t>FLUJOS DE EFECTIVO DE ACTIVIDADES DE FINANCIACIÓN:</t>
  </si>
  <si>
    <t>Dividendos pagados en efectivo</t>
  </si>
  <si>
    <t>Aumento de bonos y papeles comerciales</t>
  </si>
  <si>
    <t>(Disminución) aumento en obligaciones financieras</t>
  </si>
  <si>
    <t>Disminución neta de acreedores varios de largo plazo</t>
  </si>
  <si>
    <t>Pagos de impuesto al patrimonio</t>
  </si>
  <si>
    <t>(Disminución) aumento en intereses en minoritarios</t>
  </si>
  <si>
    <t>Pagos de donaciones contra reservas</t>
  </si>
  <si>
    <t>Aumento en el patrimonio producto de la fusión</t>
  </si>
  <si>
    <t>Disminución en activos diferidos e intangibles de largo plazo</t>
  </si>
  <si>
    <t>Disminución en otros activos de largo plazo</t>
  </si>
  <si>
    <t>Disminución en impuestos de largo plazo</t>
  </si>
  <si>
    <t>(Disminución) aumento del patrimonio por otras variaciones patrimoniales</t>
  </si>
  <si>
    <t>Pago de bonos y papeles comerciales</t>
  </si>
  <si>
    <t>EFECTIVO NETO PROVISTO (USADO) EN ACTIVIDADES DE FINANCIACIÓN</t>
  </si>
  <si>
    <t>(Disminución) aumento en el efectivo y equivalentes de efectivo</t>
  </si>
  <si>
    <t>Aumento (disminución) del interés minoritario</t>
  </si>
  <si>
    <t>EFECTIVO Y EQUIVALENTES DE EFECTIVO AL INICIO DEL PERIODO</t>
  </si>
  <si>
    <t>EFECTIVO Y EQUIVALENTES DE EFECTIVO AL FINAL DEL PERIODO</t>
  </si>
  <si>
    <t>*</t>
  </si>
  <si>
    <t>Tabla A4. ARGOS. Partidas a escindir del balance general (COP millones)</t>
  </si>
  <si>
    <t>CUENTA</t>
  </si>
  <si>
    <t>VALOR A ESCINDIR</t>
  </si>
  <si>
    <t>Papeles comerciales y bonos</t>
  </si>
  <si>
    <t>Diferidos</t>
  </si>
  <si>
    <t>Tabla A5. ARGOS. Partidas a escindir del estado de resultados (COP millones)</t>
  </si>
  <si>
    <t>Participación neta en resultados de compañías subordinadas</t>
  </si>
  <si>
    <t>UTILIDAD NETA</t>
  </si>
  <si>
    <t>Tabla A6. ARGOS. Estado de resultados primer semestre 2012 (COP millones)</t>
  </si>
  <si>
    <t xml:space="preserve">CUENTAS </t>
  </si>
  <si>
    <t>TRIMESTRE 2</t>
  </si>
  <si>
    <t>SEMESTRE 1</t>
  </si>
  <si>
    <t>Costo y Gastos</t>
  </si>
  <si>
    <t>EBITDA</t>
  </si>
  <si>
    <t>Margen EBITDA</t>
  </si>
  <si>
    <t>Utilidad Neta</t>
  </si>
  <si>
    <t>Tabla A7. ARGOS. Variables para el cálculo del costo de capital</t>
  </si>
  <si>
    <t>VARIABLE</t>
  </si>
  <si>
    <t>VALOR</t>
  </si>
  <si>
    <t>DESCIPCIÓN / FUENTE</t>
  </si>
  <si>
    <t>Yield</t>
  </si>
  <si>
    <t>US Corporate BB Effective yield</t>
  </si>
  <si>
    <t>p (probabilidad de default Argos)</t>
  </si>
  <si>
    <t>p de ARGOS a 5 años (Bloomberg)</t>
  </si>
  <si>
    <t>p (probabilidad de default típica)</t>
  </si>
  <si>
    <t>Corporate finance (Berk &amp; DeMarzo)</t>
  </si>
  <si>
    <t>L (tasa de perdida dado el default)</t>
  </si>
  <si>
    <t>rf (tasa libre de riesgo)</t>
  </si>
  <si>
    <t>Treasury Yield 10 Years</t>
  </si>
  <si>
    <t>PRP (prima de riesgo país)</t>
  </si>
  <si>
    <t>Promedio 2 años (jul/2010 - jun2012)</t>
  </si>
  <si>
    <t>PRM (prima de riesgo de mercado)</t>
  </si>
  <si>
    <t>Damodaran</t>
  </si>
  <si>
    <t>Devaluación esperada LP (USD/COP)</t>
  </si>
  <si>
    <t>Balassa-Samuelson</t>
  </si>
  <si>
    <t>T (tasa de impuestos)</t>
  </si>
  <si>
    <t>Tomado de los EEFF de ARGOS</t>
  </si>
  <si>
    <t>Tabla TN1. ARGOS. Indicadores tradicionales y estratégicos 2011, 2012 y 2012 estimado</t>
  </si>
  <si>
    <t>GRUPO DE RATIOS</t>
  </si>
  <si>
    <t>TIPO DE INDICADORES</t>
  </si>
  <si>
    <t>Indicador</t>
  </si>
  <si>
    <t>Año 2011</t>
  </si>
  <si>
    <t>Año 2012</t>
  </si>
  <si>
    <t xml:space="preserve">Año 2012 Estimado </t>
  </si>
  <si>
    <t>1.	INDICADORES TRADICIONALES</t>
  </si>
  <si>
    <t>1.1. LIQUIDEZ</t>
  </si>
  <si>
    <t>1.1.1. Razón Corriente</t>
  </si>
  <si>
    <t>1.1.2. Prueba Ácida</t>
  </si>
  <si>
    <t>1.1.3. Solidez</t>
  </si>
  <si>
    <t>1.2. ENDEUDAMIENTO</t>
  </si>
  <si>
    <t>1.2.1. Endeudamiento Total y Solvencia</t>
  </si>
  <si>
    <t>1.2.2. Apalancamiento Financiero</t>
  </si>
  <si>
    <t>1.2.3. Pasivos Financieros a Deuda Total</t>
  </si>
  <si>
    <t>1.2.4. Cubrimiento de Intereses</t>
  </si>
  <si>
    <t>1.3. RENTABILIDAD</t>
  </si>
  <si>
    <t xml:space="preserve">1.3.1. 	Margen Bruto. </t>
  </si>
  <si>
    <t xml:space="preserve">1.3.2. Margen Operacional. </t>
  </si>
  <si>
    <t xml:space="preserve">1.3.3. Margen Neto. </t>
  </si>
  <si>
    <t>1.4. INDICES DE OPERACIÓN</t>
  </si>
  <si>
    <t>1.4.1. Rotación de Activos (totales)</t>
  </si>
  <si>
    <t>1.4.2. Rotación de Cartera</t>
  </si>
  <si>
    <t>1.4.3. Rotación de Inventarios</t>
  </si>
  <si>
    <t>1.4.4. Rotación de Proveedores</t>
  </si>
  <si>
    <t>1.4.5. El ciclo operativo del negocio (CON)</t>
  </si>
  <si>
    <t>1.4.6. Ciclo de Caja (CC)</t>
  </si>
  <si>
    <t>2. INDICADORES ESTRATÉGICOS</t>
  </si>
  <si>
    <t>2.1. EBITDA</t>
  </si>
  <si>
    <t>2.1.1. EBITDA</t>
  </si>
  <si>
    <t>2.1.2. Margen EBITDA</t>
  </si>
  <si>
    <t>2.1.3. Gastos Financieros / Ebitda</t>
  </si>
  <si>
    <t>2.1.4. Deuda Financiera / Ebitda</t>
  </si>
  <si>
    <t>2.2. EVA</t>
  </si>
  <si>
    <t>2.2.1. UODI</t>
  </si>
  <si>
    <t>2.2.2. Activo Operación Inicial</t>
  </si>
  <si>
    <t>2.2.3. Costo de uso de activos</t>
  </si>
  <si>
    <t>2.2.4. EVA</t>
  </si>
  <si>
    <t>2.2.5. RAN</t>
  </si>
  <si>
    <t>2.3. ROIC</t>
  </si>
  <si>
    <t>Capital Invertido</t>
  </si>
  <si>
    <t>ROIC</t>
  </si>
  <si>
    <t>Tabla TNA1. Estado de la situación financiera real y estimado 2012 (COP millones)</t>
  </si>
  <si>
    <t>A DICIEMBRE 31 DE 2011</t>
  </si>
  <si>
    <t>PARTIDAS
ESCINDIDAS
(MAYO/2012)</t>
  </si>
  <si>
    <t>A JUNIO 30 DE 2012 ESTIMADO</t>
  </si>
  <si>
    <t>EMISIÓN DE BONOS 1S 2012</t>
  </si>
  <si>
    <t xml:space="preserve">A DICIEMBRE 31 DE 2012 PROYECTADO </t>
  </si>
  <si>
    <t xml:space="preserve">A DICIEMBRE 31 DE 2012 REAL </t>
  </si>
  <si>
    <t>Propiedadades, planta y equipo, neto</t>
  </si>
  <si>
    <t>Tabla TNA2. Estado de resultados real y estimado 2012 (COP millones)</t>
  </si>
  <si>
    <t xml:space="preserve">Cuentas </t>
  </si>
  <si>
    <t>A Junio 30 de 2012 estimado</t>
  </si>
  <si>
    <t>Expectativas de crecimiento</t>
  </si>
  <si>
    <t>A Diciembre 31 de 2012 Proyectado</t>
  </si>
  <si>
    <t>A Diciembre 31 de 2012 Real</t>
  </si>
  <si>
    <t>Cementos Argos S. A. y subsidiarias (Millones de pesos colombianos)</t>
  </si>
  <si>
    <t>ESTADO DE SITUACIÓN FINANCIERA CONSOLIDADO</t>
  </si>
  <si>
    <t>Análisis Vertical</t>
  </si>
  <si>
    <t xml:space="preserve">Análisis Horizontal </t>
  </si>
  <si>
    <t>2012 Real</t>
  </si>
  <si>
    <t>2012
estimado</t>
  </si>
  <si>
    <t>2006-2005</t>
  </si>
  <si>
    <t>2007-2006</t>
  </si>
  <si>
    <t>2008-2007</t>
  </si>
  <si>
    <t>2009-2008</t>
  </si>
  <si>
    <t>2010-2009</t>
  </si>
  <si>
    <t>2011-2010</t>
  </si>
  <si>
    <t>2012-2011</t>
  </si>
  <si>
    <t>Activo corriente</t>
  </si>
  <si>
    <t>ESTADO DEL RESULTADO INTEGRAL CONSOLIDADO</t>
  </si>
  <si>
    <t>Millones de pesos colombianos</t>
  </si>
  <si>
    <t>OPERACIONES CONTINUADAS</t>
  </si>
  <si>
    <t>Gastos de Administración y Ventas</t>
  </si>
  <si>
    <t xml:space="preserve"> </t>
  </si>
  <si>
    <t>ESTADO DE FLUJOS DE EFECTIVO CONSOLIDADO</t>
  </si>
  <si>
    <t>FLUJOS DE EFECTIVO DE ACTIVIDADES DE OPERACIÓN</t>
  </si>
  <si>
    <t>Ajuste para conciliar la utilidad:</t>
  </si>
  <si>
    <t>Pérdida en retiro de otros activos</t>
  </si>
  <si>
    <t>Amortización del descuento de bonos en circulación</t>
  </si>
  <si>
    <t>Valoración de operaciones derivadas</t>
  </si>
  <si>
    <t>Subtotal flujos de operación</t>
  </si>
  <si>
    <t>Cambios en activos y pasivos operacionales</t>
  </si>
  <si>
    <t>Total ajustes para conciliar la utilidad</t>
  </si>
  <si>
    <t>Efectivo neto provisto por actividades de operación</t>
  </si>
  <si>
    <t>FLUJOS DE EFECTIVO DE ACTIVIDADES DE INVERSIÓN</t>
  </si>
  <si>
    <t>Efectivo neto usado en actividades de inversión</t>
  </si>
  <si>
    <t>FLUJOS DE EFECTIVO DE ACTIVIDADES DE FINANCIACIÓN</t>
  </si>
  <si>
    <t>Emisión de bonos</t>
  </si>
  <si>
    <t>Otras entradas de efectivo</t>
  </si>
  <si>
    <t>Venta a las participaciones no controladoras sin pérdida de control</t>
  </si>
  <si>
    <t>Efectivo neto provisto (usado) en actividades de financiación</t>
  </si>
  <si>
    <t>AUMENTO (DISMINUCIÓN) EN EL EFECTIVO Y EQUIVALENTES DE EFECTIVO</t>
  </si>
  <si>
    <t>Efecto neto en conversión de compañías del exterior</t>
  </si>
  <si>
    <t>Incremento (disminución) neto de efectivo y equivalente al efectivo</t>
  </si>
  <si>
    <t>BALANCE GENERAL PROFORMA</t>
  </si>
  <si>
    <t>PROYECTO ESCISION POR ABSORCION CEMARGOS</t>
  </si>
  <si>
    <t>Partidas
Escindidas
(mayo/2012)</t>
  </si>
  <si>
    <t>ESTADO DEL RESULTADOS PROFORMA</t>
  </si>
  <si>
    <t xml:space="preserve">ESTADO DE SITUACIÓN FINANCIERA CONSOLIDADO ESTIMADO PRIMER SEMESTRE DE 2012 </t>
  </si>
  <si>
    <t>A diciembre 31 de 2011</t>
  </si>
  <si>
    <t>Emisión de bonos 1S 2012</t>
  </si>
  <si>
    <t>A Diciembre 31 2012 Real</t>
  </si>
  <si>
    <t xml:space="preserve">ESTADO DE RESULTADOS CONSOLIDADO ESTIMADO PRIMER SEMESTRE DE 2012 </t>
  </si>
  <si>
    <t>Expectativas de variación</t>
  </si>
  <si>
    <t>A Diciembre 31 de 2012 estimado</t>
  </si>
  <si>
    <t>INDICADORES FINANCIEROS TRADICIONALES</t>
  </si>
  <si>
    <t>2006</t>
  </si>
  <si>
    <t>2007</t>
  </si>
  <si>
    <t>2008</t>
  </si>
  <si>
    <t>2009</t>
  </si>
  <si>
    <t>2010</t>
  </si>
  <si>
    <t>2011</t>
  </si>
  <si>
    <t xml:space="preserve">2012 Estimado </t>
  </si>
  <si>
    <t>A. LIQUIDEZ</t>
  </si>
  <si>
    <t>Razón corriente</t>
  </si>
  <si>
    <t>Prueba acida de inventarios</t>
  </si>
  <si>
    <t>Solidez</t>
  </si>
  <si>
    <t xml:space="preserve">Capital de Trabajo Neto </t>
  </si>
  <si>
    <t xml:space="preserve">B. ENDEUDAMIENTO </t>
  </si>
  <si>
    <t>Indice de Endeudamiento (%D)</t>
  </si>
  <si>
    <t>Indice de Propiedad o Solvencia (%E)</t>
  </si>
  <si>
    <t>Relacion Deuda a Patrimonio (D/E)</t>
  </si>
  <si>
    <t>Apalancamiento Financiero</t>
  </si>
  <si>
    <t>Pasivos Financieros a Deuda Total</t>
  </si>
  <si>
    <t>Cubrimiento de Intereses</t>
  </si>
  <si>
    <t>Deuda a Largo plazo a Capitalización total</t>
  </si>
  <si>
    <t xml:space="preserve">C. RENTABILIDAD </t>
  </si>
  <si>
    <t>Margen Bruto</t>
  </si>
  <si>
    <t>Margen Operacional</t>
  </si>
  <si>
    <t>Margen Neto</t>
  </si>
  <si>
    <t>Rendimiento sobre la inversión a nivel operacional (ROIo)</t>
  </si>
  <si>
    <t>Rendimiento sobre la inversión a nivel total (ROIt)</t>
  </si>
  <si>
    <t>Rendimiento sobre el patrimonio (RSP)</t>
  </si>
  <si>
    <t>D.INDICES DE ACTIVIDAD U OPERACIÓN</t>
  </si>
  <si>
    <t>Rotacion de activos Corrientes</t>
  </si>
  <si>
    <t>Rotación de Activos Fijos</t>
  </si>
  <si>
    <t>Rotación de Activos Operacionales</t>
  </si>
  <si>
    <t>Rotación de Activos Totales</t>
  </si>
  <si>
    <t>Rotación de cartera en veces</t>
  </si>
  <si>
    <t>Dias cartera</t>
  </si>
  <si>
    <t>Rotación de inventario en veces</t>
  </si>
  <si>
    <t>Dias inventarios</t>
  </si>
  <si>
    <t>Proveedores en veces</t>
  </si>
  <si>
    <t>Días proveedores</t>
  </si>
  <si>
    <t>Ciclo operativo del negocio (CON)</t>
  </si>
  <si>
    <t>Ciclo de Caja (CC)</t>
  </si>
  <si>
    <t>INDICADORES FINANCIEROS ESTRATEGICOS</t>
  </si>
  <si>
    <t>estimado</t>
  </si>
  <si>
    <t>2012</t>
  </si>
  <si>
    <t>UTILIDAD DE ACTIVIDADES OPERACIONALES</t>
  </si>
  <si>
    <t>Costos y gastos que no generan movimiento de efectivo</t>
  </si>
  <si>
    <t>KTNO</t>
  </si>
  <si>
    <t>PKT (Productividad de KTNO)</t>
  </si>
  <si>
    <t>Palanca de Crecimiento (Margen EBITDA/PKT)</t>
  </si>
  <si>
    <t>Gastos Financieros / Ebitda</t>
  </si>
  <si>
    <t>Deuda Financiera / Ebitda</t>
  </si>
  <si>
    <t>Deuda Financiera (Incluyendo bonos y acciones pref.) / Ebitda</t>
  </si>
  <si>
    <t>EVA</t>
  </si>
  <si>
    <t>Impuesto Efectivo</t>
  </si>
  <si>
    <t>UODI</t>
  </si>
  <si>
    <t>WACC (*)</t>
  </si>
  <si>
    <t>Activo Operación Inicial</t>
  </si>
  <si>
    <t>Costo de uso de activos</t>
  </si>
  <si>
    <t>RAN</t>
  </si>
  <si>
    <t>(*) Se toma como referencia para todos los años el WACC presentado en los Reportes integrados de los años en estudio.</t>
  </si>
  <si>
    <t>FCL</t>
  </si>
  <si>
    <t>Ebitda</t>
  </si>
  <si>
    <t>(-) Impuestos</t>
  </si>
  <si>
    <t>(-)Inversión (+ Desinversión) Capital de Trabajo</t>
  </si>
  <si>
    <t>(-)Inversión (+ Desinversión) Activos Fijos</t>
  </si>
  <si>
    <t>T (Tax Rate o Tasa de Impuestos)</t>
  </si>
  <si>
    <t>SECCIÓN 2 - CÁLCULO DEL WACC</t>
  </si>
  <si>
    <t>Tabla TN3. Estructura de capital comparables</t>
  </si>
  <si>
    <t>Tabla TN4. Beta histórico y beta ajustado</t>
  </si>
  <si>
    <t>Tabla TN5. Beta desapalancado a partir de los comparables</t>
  </si>
  <si>
    <t>Stock</t>
  </si>
  <si>
    <t>Historical Volatility</t>
  </si>
  <si>
    <t>Historical Return</t>
  </si>
  <si>
    <t>Historical Beta</t>
  </si>
  <si>
    <t>Historical Alpha</t>
  </si>
  <si>
    <t>Forecasted Return</t>
  </si>
  <si>
    <t>E
Market Cap</t>
  </si>
  <si>
    <t>EV
Enterprise Value</t>
  </si>
  <si>
    <t>Cash</t>
  </si>
  <si>
    <t>D
Deuda Total</t>
  </si>
  <si>
    <t>EV calc
Enterprise Value</t>
  </si>
  <si>
    <t>B_adj</t>
  </si>
  <si>
    <t>%D</t>
  </si>
  <si>
    <t>%E</t>
  </si>
  <si>
    <t>Bu</t>
  </si>
  <si>
    <t>^IRX</t>
  </si>
  <si>
    <t>SPY</t>
  </si>
  <si>
    <t>CX</t>
  </si>
  <si>
    <t>HOLN.SW</t>
  </si>
  <si>
    <t>VMC</t>
  </si>
  <si>
    <t>HEI.DE</t>
  </si>
  <si>
    <t>HCMLF</t>
  </si>
  <si>
    <t>PROMEDIO</t>
  </si>
  <si>
    <t>Tabla TN2. Variables del cálculo del Kd</t>
  </si>
  <si>
    <t>Variable</t>
  </si>
  <si>
    <t>Valor</t>
  </si>
  <si>
    <t>Descipción / Fuente</t>
  </si>
  <si>
    <t xml:space="preserve">Tabla TN6. ARGOS. Rango de WACC </t>
  </si>
  <si>
    <t>Descripción</t>
  </si>
  <si>
    <t>Valor 1</t>
  </si>
  <si>
    <t>Valor 2</t>
  </si>
  <si>
    <t>Valor 3</t>
  </si>
  <si>
    <t>Valor 1
(2012 estimado)</t>
  </si>
  <si>
    <t>Observaciones / Fuente</t>
  </si>
  <si>
    <t>PRP: Promedio EMBI+</t>
  </si>
  <si>
    <t>Promedio 2 años (jul/2010 - jun2012) (EMBI+ Colombia) www.invenomica.com</t>
  </si>
  <si>
    <t>Calificación ARGOS</t>
  </si>
  <si>
    <t>BB</t>
  </si>
  <si>
    <t>Cuenta con calificación AA+ en Colombia, pero se ubica en BB que es la calificación de Colombia en USA</t>
  </si>
  <si>
    <t>Yield BB</t>
  </si>
  <si>
    <t>Corporate efective yield BB - ycharts.com</t>
  </si>
  <si>
    <t>p_ARGOS (Prob. de Default)</t>
  </si>
  <si>
    <t>Fuente: Bloomberg</t>
  </si>
  <si>
    <t>p_bb (Prob. de Default)</t>
  </si>
  <si>
    <t>Histórico Moodys Global Credit Policy (1920 - 2008)</t>
  </si>
  <si>
    <t>L (Tasa de pérdida|Default)</t>
  </si>
  <si>
    <t>Dato sugerido en Corporate Finance (Berk de marzo)</t>
  </si>
  <si>
    <t>Kd (ARGOS)</t>
  </si>
  <si>
    <t>Kd = Yield - pxL + PRP</t>
  </si>
  <si>
    <t>rf (Tasa Libre de Riesgo)_</t>
  </si>
  <si>
    <t>Treasury Yield 10 Years (^TNX)  // D&amp;P - www.duffandphelps.com</t>
  </si>
  <si>
    <t>PMR (EQUITY RISK PREMIUM)</t>
  </si>
  <si>
    <t>Damodaran // Duff and Phelps - http://pages.stern.nyu.edu/~adamodar/
www.duffandphelps.com</t>
  </si>
  <si>
    <t>Bd_ARGOS (Beta de la Deuda)</t>
  </si>
  <si>
    <t>Bd = (Kd - rf - PRP)/PMR</t>
  </si>
  <si>
    <t>Spread Deuda</t>
  </si>
  <si>
    <t>Kd (Empresa Típica BB)</t>
  </si>
  <si>
    <t>Kd = Yield - pxL + 0%</t>
  </si>
  <si>
    <t>Bd Empresa Típica BB)</t>
  </si>
  <si>
    <t>Bu_Comparables</t>
  </si>
  <si>
    <t>Bu_ARGOS</t>
  </si>
  <si>
    <t>Ku_ARGOS</t>
  </si>
  <si>
    <t>Deuda Total ARGOS (D)</t>
  </si>
  <si>
    <t>COP Billones -&gt; EEFF 2012</t>
  </si>
  <si>
    <t xml:space="preserve">MarketCap ARGOS (E) </t>
  </si>
  <si>
    <t>V = D + E</t>
  </si>
  <si>
    <t>D/E</t>
  </si>
  <si>
    <t>Ke = Ku + (Ku - Kd) D/E</t>
  </si>
  <si>
    <t>Be = Bu + (Bu - Bd) D/E (ARGOS)</t>
  </si>
  <si>
    <t>Ke = rf + Be PMR + PRP</t>
  </si>
  <si>
    <t>Tasa Impositiva</t>
  </si>
  <si>
    <t>Tomada de EEFF de ARGOS SA</t>
  </si>
  <si>
    <t>%D ARGOS</t>
  </si>
  <si>
    <t>%E ARGOS</t>
  </si>
  <si>
    <t>WACC ARGOS (en USD)</t>
  </si>
  <si>
    <t>WACC = Kd (1-tax) %D + Ke %E</t>
  </si>
  <si>
    <t>DevEsperada LP(COP/USD)</t>
  </si>
  <si>
    <t>Kd COP</t>
  </si>
  <si>
    <t>Ke COP</t>
  </si>
  <si>
    <t>WACC ARGOS (en COP)</t>
  </si>
  <si>
    <t>© Peter DeMarzo, Rahul V Herwadkar. All rights reserved.</t>
  </si>
  <si>
    <t>Correlation Matrix</t>
  </si>
  <si>
    <t>Portfolio</t>
  </si>
  <si>
    <t>Volatility</t>
  </si>
  <si>
    <t>Weights</t>
  </si>
  <si>
    <t>Minimum Variance 
Portfolio (M)</t>
  </si>
  <si>
    <t>Tangent 
Portfolio (T)</t>
  </si>
  <si>
    <t>Corr(M, T)</t>
  </si>
  <si>
    <t>Interest Rate</t>
  </si>
  <si>
    <t>Weekly Excess Return</t>
  </si>
  <si>
    <t>Date</t>
  </si>
  <si>
    <t>Volume</t>
  </si>
  <si>
    <t>Close</t>
  </si>
  <si>
    <t>Dividends
 and
 Splits</t>
  </si>
  <si>
    <t>Adjusted Close</t>
  </si>
  <si>
    <t>% Change</t>
  </si>
  <si>
    <t>100:104</t>
  </si>
  <si>
    <t>25:26</t>
  </si>
  <si>
    <t>Tabla TN7. ARGOS. Análisis de variación de indicadores con opciones de financiación</t>
  </si>
  <si>
    <t>Valor
2011</t>
  </si>
  <si>
    <t>Valor
2012
estimado</t>
  </si>
  <si>
    <t>Valor
2012
real</t>
  </si>
  <si>
    <t>Opción 1
Acciones BVC</t>
  </si>
  <si>
    <t>Opción 2
Bonos BVC</t>
  </si>
  <si>
    <t>Opción 3
ADR Regla 144A</t>
  </si>
  <si>
    <t>Opción 4
Deuda</t>
  </si>
  <si>
    <t>% D (Porción de Deuda)</t>
  </si>
  <si>
    <t>% E (Porción de Patrimonio)</t>
  </si>
  <si>
    <t>D/E (Relación Deuda a Patrim.)</t>
  </si>
  <si>
    <t>WACC</t>
  </si>
  <si>
    <t>ROAo ROIt</t>
  </si>
  <si>
    <t>ROE</t>
  </si>
  <si>
    <t>ROIo</t>
  </si>
  <si>
    <t>Deuda Neta / EBITDA</t>
  </si>
  <si>
    <t>Deuda Financiera / EBITDA</t>
  </si>
  <si>
    <t>Cambio Positivo</t>
  </si>
  <si>
    <t>No hay cambio considerable</t>
  </si>
  <si>
    <t>Cambio Negativo</t>
  </si>
  <si>
    <t>Valor a financiar</t>
  </si>
  <si>
    <t>Valor en USD (M)</t>
  </si>
  <si>
    <t>Valor en COP (M)</t>
  </si>
  <si>
    <t>2012
(real)</t>
  </si>
  <si>
    <t>2012
(estimado)</t>
  </si>
  <si>
    <t>Acciones en BVC</t>
  </si>
  <si>
    <t>Bonos en BVC</t>
  </si>
  <si>
    <t>ADR Regla
144A</t>
  </si>
  <si>
    <t>Deuda</t>
  </si>
  <si>
    <t>Total Activos</t>
  </si>
  <si>
    <t>ROA ó ROIt</t>
  </si>
  <si>
    <t>Total Patromonio</t>
  </si>
  <si>
    <t>Activos Operativos</t>
  </si>
  <si>
    <t>Métrica</t>
  </si>
  <si>
    <t>Ingresos / Activos</t>
  </si>
  <si>
    <t>Promedio</t>
  </si>
  <si>
    <t>Margen operacional</t>
  </si>
  <si>
    <t>Pomedio</t>
  </si>
  <si>
    <t>Margen Utilidad Neta</t>
  </si>
  <si>
    <t>TABLAS CORRESPONDIENTES A LOS APÉNDICES DE LA SECCIÓN CASO DE ESTUDIO</t>
  </si>
  <si>
    <t>Tabla TN6. ARGOS. Rango del WACC</t>
  </si>
  <si>
    <t>Tabla TN7. ARGOS. Análisis de variación de los indicadores con opciones de financiación</t>
  </si>
  <si>
    <t xml:space="preserve">Tabla TN5. Beta desapalancado comparables </t>
  </si>
  <si>
    <t>TABLAS CORRESPONDIENTES A LOS APÉNDICES DE LA SECCIÓN TEACHING NOTE</t>
  </si>
  <si>
    <t>SECCIÓN 3. SIMULACIÓN DE ALTERNATIVAS DE FINANCIACIÓN E IMPACTO EN INDICADORES FINANCIEROS Y COSTO DE CAPITAL</t>
  </si>
  <si>
    <t>SECCIÓN 1. CÁLCULO DE INDICADORES FINANCIEROS TRADICIONALES Y ESTRATÉGICOS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</si>
</sst>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&quot;$&quot;\ * #,##0.00_);_(&quot;$&quot;\ * \(#,##0.00\);_(&quot;$&quot;\ * &quot;-&quot;??_);_(@_)"/>
    <numFmt numFmtId="166" formatCode="_(&quot;$&quot;\ * #,##0_);_(&quot;$&quot;\ * \(#,##0\);_(&quot;$&quot;\ * &quot;-&quot;??_);_(@_)"/>
    <numFmt numFmtId="167" formatCode="0.0%"/>
    <numFmt numFmtId="168" formatCode="_(* #,##0_);_(* \(#,##0\);_(* &quot;-&quot;??_);_(@_)"/>
    <numFmt numFmtId="169" formatCode="0.00_);[Red]\(0.00\)"/>
    <numFmt numFmtId="170" formatCode="0.00%_);[Red]\(0.00%\)"/>
    <numFmt numFmtId="171" formatCode="0%_);[Red]\(0%\)"/>
    <numFmt numFmtId="172" formatCode="dd\-mmm\-yyyy"/>
    <numFmt numFmtId="173" formatCode="0.0000"/>
    <numFmt numFmtId="174" formatCode="0.000%"/>
    <numFmt numFmtId="175" formatCode="0.0000%"/>
    <numFmt numFmtId="176" formatCode="0.000"/>
    <numFmt numFmtId="177" formatCode="#,###,###,###"/>
    <numFmt numFmtId="178" formatCode="_(* #,##0.0_);_(* \(#,##0.0\);_(* &quot;-&quot;??_);_(@_)"/>
    <numFmt numFmtId="179" formatCode="_-&quot;$&quot;\ * #,##0.0_-;\-&quot;$&quot;\ * #,##0.0_-;_-&quot;$&quot;\ * &quot;-&quot;?_-;_-@_-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0"/>
      <color theme="10"/>
      <name val="Arial"/>
      <family val="2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6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color theme="10"/>
      <name val="Times New Roman"/>
      <family val="1"/>
    </font>
    <font>
      <i/>
      <u/>
      <sz val="12"/>
      <color theme="10"/>
      <name val="Times New Roman"/>
      <family val="1"/>
    </font>
    <font>
      <sz val="9"/>
      <color theme="0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14"/>
      <color theme="1"/>
      <name val="Times New Roman"/>
      <family val="1"/>
    </font>
    <font>
      <u/>
      <sz val="14"/>
      <color theme="10"/>
      <name val="Times New Roman"/>
      <family val="1"/>
    </font>
    <font>
      <sz val="11"/>
      <color theme="1"/>
      <name val="Times New Roman"/>
      <family val="1"/>
    </font>
    <font>
      <i/>
      <u/>
      <sz val="14"/>
      <color theme="10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sz val="12"/>
      <color theme="0"/>
      <name val="Times New Roman"/>
      <family val="1"/>
    </font>
    <font>
      <b/>
      <sz val="20"/>
      <color rgb="FFBAD405"/>
      <name val="Times New Roman"/>
      <family val="1"/>
    </font>
    <font>
      <sz val="11"/>
      <color rgb="FFFF0000"/>
      <name val="Times New Roman"/>
      <family val="1"/>
    </font>
    <font>
      <sz val="16"/>
      <color theme="1"/>
      <name val="Times New Roman"/>
      <family val="1"/>
    </font>
    <font>
      <b/>
      <sz val="12"/>
      <color rgb="FFFF0000"/>
      <name val="Times New Roman"/>
      <family val="1"/>
    </font>
    <font>
      <sz val="11"/>
      <color theme="0" tint="-0.499984740745262"/>
      <name val="Times New Roman"/>
      <family val="1"/>
    </font>
    <font>
      <sz val="11"/>
      <color rgb="FF0070C0"/>
      <name val="Times New Roman"/>
      <family val="1"/>
    </font>
    <font>
      <u/>
      <sz val="10"/>
      <color theme="10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rgb="FFBAD40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EDEDE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AD405"/>
        <bgColor auto="1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ashed">
        <color theme="0" tint="-0.34998626667073579"/>
      </top>
      <bottom style="dashed">
        <color theme="0" tint="-0.34998626667073579"/>
      </bottom>
      <diagonal/>
    </border>
    <border>
      <left/>
      <right/>
      <top/>
      <bottom style="dashed">
        <color theme="0" tint="-0.34998626667073579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dashed">
        <color theme="0" tint="-0.34998626667073579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theme="0" tint="-0.34998626667073579"/>
      </top>
      <bottom style="dashed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ashed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6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22">
    <xf numFmtId="0" fontId="0" fillId="0" borderId="0" xfId="0"/>
    <xf numFmtId="166" fontId="0" fillId="0" borderId="0" xfId="1" applyNumberFormat="1" applyFont="1"/>
    <xf numFmtId="0" fontId="0" fillId="0" borderId="0" xfId="0" applyAlignment="1">
      <alignment horizontal="center" vertical="center"/>
    </xf>
    <xf numFmtId="0" fontId="3" fillId="0" borderId="0" xfId="0" applyFont="1"/>
    <xf numFmtId="166" fontId="0" fillId="0" borderId="0" xfId="0" applyNumberForma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166" fontId="0" fillId="0" borderId="0" xfId="1" applyNumberFormat="1" applyFont="1" applyAlignment="1">
      <alignment vertical="center"/>
    </xf>
    <xf numFmtId="167" fontId="0" fillId="0" borderId="0" xfId="2" applyNumberFormat="1" applyFont="1" applyAlignment="1">
      <alignment vertical="center"/>
    </xf>
    <xf numFmtId="0" fontId="0" fillId="0" borderId="0" xfId="0" applyAlignment="1">
      <alignment vertical="center" wrapText="1"/>
    </xf>
    <xf numFmtId="165" fontId="0" fillId="0" borderId="0" xfId="1" applyFont="1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/>
    <xf numFmtId="3" fontId="11" fillId="0" borderId="0" xfId="1" applyNumberFormat="1" applyFont="1" applyFill="1" applyBorder="1"/>
    <xf numFmtId="3" fontId="11" fillId="0" borderId="19" xfId="1" applyNumberFormat="1" applyFont="1" applyFill="1" applyBorder="1"/>
    <xf numFmtId="0" fontId="11" fillId="0" borderId="7" xfId="0" applyFont="1" applyBorder="1" applyAlignment="1">
      <alignment vertical="center"/>
    </xf>
    <xf numFmtId="167" fontId="11" fillId="0" borderId="7" xfId="2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43" fontId="11" fillId="0" borderId="0" xfId="3" applyFont="1" applyBorder="1" applyAlignment="1">
      <alignment vertical="center"/>
    </xf>
    <xf numFmtId="43" fontId="11" fillId="0" borderId="19" xfId="3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3" fontId="11" fillId="0" borderId="0" xfId="1" applyNumberFormat="1" applyFont="1" applyBorder="1" applyAlignment="1">
      <alignment vertical="center"/>
    </xf>
    <xf numFmtId="3" fontId="11" fillId="0" borderId="19" xfId="1" applyNumberFormat="1" applyFont="1" applyBorder="1" applyAlignment="1">
      <alignment vertical="center"/>
    </xf>
    <xf numFmtId="3" fontId="10" fillId="0" borderId="0" xfId="1" applyNumberFormat="1" applyFont="1" applyFill="1" applyBorder="1" applyAlignment="1">
      <alignment vertical="center"/>
    </xf>
    <xf numFmtId="166" fontId="0" fillId="0" borderId="0" xfId="0" applyNumberFormat="1" applyAlignment="1">
      <alignment vertical="center"/>
    </xf>
    <xf numFmtId="3" fontId="11" fillId="0" borderId="0" xfId="1" applyNumberFormat="1" applyFont="1" applyFill="1" applyBorder="1" applyAlignment="1">
      <alignment vertical="center"/>
    </xf>
    <xf numFmtId="3" fontId="11" fillId="0" borderId="19" xfId="1" applyNumberFormat="1" applyFont="1" applyFill="1" applyBorder="1" applyAlignment="1">
      <alignment vertical="center"/>
    </xf>
    <xf numFmtId="3" fontId="11" fillId="0" borderId="7" xfId="1" applyNumberFormat="1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11" fillId="0" borderId="17" xfId="0" applyFont="1" applyBorder="1" applyAlignment="1">
      <alignment vertical="center" wrapText="1"/>
    </xf>
    <xf numFmtId="3" fontId="11" fillId="0" borderId="7" xfId="1" applyNumberFormat="1" applyFont="1" applyFill="1" applyBorder="1" applyAlignment="1">
      <alignment vertical="center"/>
    </xf>
    <xf numFmtId="10" fontId="0" fillId="0" borderId="0" xfId="2" applyNumberFormat="1" applyFont="1"/>
    <xf numFmtId="166" fontId="0" fillId="0" borderId="0" xfId="1" quotePrefix="1" applyNumberFormat="1" applyFont="1" applyAlignment="1">
      <alignment horizontal="center"/>
    </xf>
    <xf numFmtId="0" fontId="12" fillId="0" borderId="18" xfId="0" applyFont="1" applyBorder="1" applyAlignment="1">
      <alignment wrapText="1"/>
    </xf>
    <xf numFmtId="3" fontId="11" fillId="0" borderId="7" xfId="1" applyNumberFormat="1" applyFont="1" applyFill="1" applyBorder="1"/>
    <xf numFmtId="3" fontId="11" fillId="0" borderId="7" xfId="0" applyNumberFormat="1" applyFont="1" applyBorder="1"/>
    <xf numFmtId="3" fontId="13" fillId="0" borderId="0" xfId="1" applyNumberFormat="1" applyFont="1" applyFill="1" applyBorder="1"/>
    <xf numFmtId="3" fontId="13" fillId="0" borderId="19" xfId="1" applyNumberFormat="1" applyFont="1" applyFill="1" applyBorder="1"/>
    <xf numFmtId="0" fontId="11" fillId="0" borderId="17" xfId="0" applyFont="1" applyBorder="1" applyAlignment="1">
      <alignment wrapText="1"/>
    </xf>
    <xf numFmtId="0" fontId="11" fillId="0" borderId="18" xfId="0" applyFont="1" applyBorder="1" applyAlignment="1">
      <alignment wrapText="1"/>
    </xf>
    <xf numFmtId="0" fontId="10" fillId="0" borderId="0" xfId="0" applyFont="1"/>
    <xf numFmtId="0" fontId="11" fillId="0" borderId="0" xfId="0" applyFont="1"/>
    <xf numFmtId="166" fontId="11" fillId="0" borderId="0" xfId="0" applyNumberFormat="1" applyFont="1"/>
    <xf numFmtId="166" fontId="11" fillId="0" borderId="0" xfId="1" applyNumberFormat="1" applyFont="1"/>
    <xf numFmtId="3" fontId="11" fillId="0" borderId="19" xfId="3" applyNumberFormat="1" applyFont="1" applyFill="1" applyBorder="1"/>
    <xf numFmtId="0" fontId="11" fillId="0" borderId="14" xfId="0" applyFont="1" applyBorder="1"/>
    <xf numFmtId="167" fontId="11" fillId="0" borderId="0" xfId="2" applyNumberFormat="1" applyFont="1" applyAlignment="1">
      <alignment vertical="center"/>
    </xf>
    <xf numFmtId="165" fontId="11" fillId="0" borderId="0" xfId="1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3" fontId="11" fillId="0" borderId="0" xfId="1" applyNumberFormat="1" applyFont="1" applyAlignment="1">
      <alignment vertical="center"/>
    </xf>
    <xf numFmtId="0" fontId="14" fillId="0" borderId="0" xfId="22" applyFont="1"/>
    <xf numFmtId="0" fontId="14" fillId="0" borderId="14" xfId="22" applyFont="1" applyBorder="1"/>
    <xf numFmtId="0" fontId="14" fillId="0" borderId="15" xfId="22" applyFont="1" applyBorder="1"/>
    <xf numFmtId="10" fontId="14" fillId="0" borderId="14" xfId="2" applyNumberFormat="1" applyFont="1" applyBorder="1"/>
    <xf numFmtId="10" fontId="14" fillId="0" borderId="14" xfId="2" applyNumberFormat="1" applyFont="1" applyBorder="1" applyAlignment="1">
      <alignment horizontal="right"/>
    </xf>
    <xf numFmtId="10" fontId="14" fillId="0" borderId="14" xfId="22" applyNumberFormat="1" applyFont="1" applyBorder="1"/>
    <xf numFmtId="10" fontId="14" fillId="0" borderId="15" xfId="22" applyNumberFormat="1" applyFont="1" applyBorder="1"/>
    <xf numFmtId="166" fontId="0" fillId="0" borderId="0" xfId="1" applyNumberFormat="1" applyFont="1" applyBorder="1" applyAlignment="1">
      <alignment vertical="center"/>
    </xf>
    <xf numFmtId="0" fontId="0" fillId="0" borderId="0" xfId="0" applyAlignment="1">
      <alignment horizontal="left" vertical="center"/>
    </xf>
    <xf numFmtId="167" fontId="11" fillId="0" borderId="0" xfId="2" applyNumberFormat="1" applyFont="1" applyBorder="1" applyAlignment="1">
      <alignment vertical="center"/>
    </xf>
    <xf numFmtId="167" fontId="11" fillId="0" borderId="19" xfId="2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8" fontId="11" fillId="0" borderId="19" xfId="3" applyNumberFormat="1" applyFont="1" applyBorder="1" applyAlignment="1">
      <alignment vertical="center"/>
    </xf>
    <xf numFmtId="168" fontId="11" fillId="0" borderId="19" xfId="3" applyNumberFormat="1" applyFont="1" applyFill="1" applyBorder="1" applyAlignment="1">
      <alignment vertical="center"/>
    </xf>
    <xf numFmtId="178" fontId="11" fillId="0" borderId="7" xfId="3" applyNumberFormat="1" applyFont="1" applyFill="1" applyBorder="1" applyAlignment="1">
      <alignment vertical="center" wrapText="1"/>
    </xf>
    <xf numFmtId="178" fontId="11" fillId="0" borderId="7" xfId="3" applyNumberFormat="1" applyFont="1" applyBorder="1" applyAlignment="1">
      <alignment vertical="center" wrapText="1"/>
    </xf>
    <xf numFmtId="178" fontId="11" fillId="0" borderId="0" xfId="3" applyNumberFormat="1" applyFont="1" applyBorder="1" applyAlignment="1">
      <alignment vertical="center" wrapText="1"/>
    </xf>
    <xf numFmtId="167" fontId="11" fillId="0" borderId="16" xfId="2" applyNumberFormat="1" applyFont="1" applyBorder="1" applyAlignment="1">
      <alignment vertical="center"/>
    </xf>
    <xf numFmtId="43" fontId="11" fillId="0" borderId="14" xfId="3" applyFont="1" applyBorder="1" applyAlignment="1">
      <alignment vertical="center"/>
    </xf>
    <xf numFmtId="3" fontId="11" fillId="0" borderId="14" xfId="1" applyNumberFormat="1" applyFont="1" applyBorder="1" applyAlignment="1">
      <alignment vertical="center"/>
    </xf>
    <xf numFmtId="3" fontId="11" fillId="0" borderId="14" xfId="1" applyNumberFormat="1" applyFont="1" applyFill="1" applyBorder="1" applyAlignment="1">
      <alignment vertical="center"/>
    </xf>
    <xf numFmtId="3" fontId="11" fillId="0" borderId="16" xfId="1" applyNumberFormat="1" applyFont="1" applyBorder="1" applyAlignment="1">
      <alignment vertical="center"/>
    </xf>
    <xf numFmtId="0" fontId="0" fillId="2" borderId="0" xfId="0" applyFill="1"/>
    <xf numFmtId="0" fontId="18" fillId="17" borderId="0" xfId="0" applyFont="1" applyFill="1"/>
    <xf numFmtId="0" fontId="0" fillId="17" borderId="0" xfId="0" applyFill="1"/>
    <xf numFmtId="0" fontId="19" fillId="17" borderId="0" xfId="0" applyFont="1" applyFill="1"/>
    <xf numFmtId="0" fontId="20" fillId="17" borderId="0" xfId="0" applyFont="1" applyFill="1"/>
    <xf numFmtId="0" fontId="21" fillId="17" borderId="0" xfId="25" applyFont="1" applyFill="1"/>
    <xf numFmtId="0" fontId="22" fillId="17" borderId="0" xfId="25" applyFont="1" applyFill="1"/>
    <xf numFmtId="4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7" fontId="0" fillId="0" borderId="0" xfId="2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14" borderId="10" xfId="0" applyFont="1" applyFill="1" applyBorder="1" applyAlignment="1">
      <alignment horizontal="center" vertical="center"/>
    </xf>
    <xf numFmtId="0" fontId="10" fillId="14" borderId="10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vertical="center"/>
    </xf>
    <xf numFmtId="10" fontId="12" fillId="0" borderId="10" xfId="2" applyNumberFormat="1" applyFont="1" applyBorder="1" applyAlignment="1">
      <alignment horizontal="center" vertical="center"/>
    </xf>
    <xf numFmtId="10" fontId="12" fillId="19" borderId="10" xfId="2" applyNumberFormat="1" applyFont="1" applyFill="1" applyBorder="1" applyAlignment="1">
      <alignment horizontal="center" vertical="center"/>
    </xf>
    <xf numFmtId="2" fontId="12" fillId="0" borderId="10" xfId="2" applyNumberFormat="1" applyFont="1" applyBorder="1" applyAlignment="1">
      <alignment horizontal="center" vertical="center"/>
    </xf>
    <xf numFmtId="4" fontId="12" fillId="19" borderId="10" xfId="0" applyNumberFormat="1" applyFont="1" applyFill="1" applyBorder="1" applyAlignment="1">
      <alignment horizontal="center" vertical="center"/>
    </xf>
    <xf numFmtId="10" fontId="11" fillId="0" borderId="10" xfId="0" applyNumberFormat="1" applyFont="1" applyBorder="1" applyAlignment="1">
      <alignment horizontal="center" vertical="center"/>
    </xf>
    <xf numFmtId="10" fontId="12" fillId="15" borderId="10" xfId="2" applyNumberFormat="1" applyFont="1" applyFill="1" applyBorder="1" applyAlignment="1">
      <alignment horizontal="center" vertical="center"/>
    </xf>
    <xf numFmtId="0" fontId="12" fillId="0" borderId="10" xfId="22" applyFont="1" applyBorder="1" applyAlignment="1">
      <alignment vertical="center"/>
    </xf>
    <xf numFmtId="4" fontId="11" fillId="0" borderId="10" xfId="0" applyNumberFormat="1" applyFont="1" applyBorder="1" applyAlignment="1">
      <alignment horizontal="center" vertical="center"/>
    </xf>
    <xf numFmtId="0" fontId="11" fillId="19" borderId="0" xfId="0" applyFont="1" applyFill="1" applyAlignment="1">
      <alignment vertical="center"/>
    </xf>
    <xf numFmtId="0" fontId="11" fillId="15" borderId="0" xfId="0" applyFont="1" applyFill="1" applyAlignment="1">
      <alignment vertical="center"/>
    </xf>
    <xf numFmtId="0" fontId="23" fillId="16" borderId="0" xfId="0" applyFont="1" applyFill="1" applyAlignment="1">
      <alignment vertical="center"/>
    </xf>
    <xf numFmtId="10" fontId="23" fillId="16" borderId="10" xfId="2" applyNumberFormat="1" applyFont="1" applyFill="1" applyBorder="1" applyAlignment="1">
      <alignment horizontal="center" vertical="center"/>
    </xf>
    <xf numFmtId="2" fontId="23" fillId="16" borderId="10" xfId="2" applyNumberFormat="1" applyFont="1" applyFill="1" applyBorder="1" applyAlignment="1">
      <alignment horizontal="center" vertical="center"/>
    </xf>
    <xf numFmtId="0" fontId="20" fillId="0" borderId="0" xfId="0" applyFont="1"/>
    <xf numFmtId="0" fontId="24" fillId="0" borderId="0" xfId="0" applyFont="1"/>
    <xf numFmtId="0" fontId="11" fillId="0" borderId="5" xfId="0" applyFont="1" applyBorder="1" applyAlignment="1">
      <alignment vertical="center"/>
    </xf>
    <xf numFmtId="10" fontId="11" fillId="0" borderId="14" xfId="1" applyNumberFormat="1" applyFont="1" applyBorder="1" applyAlignment="1">
      <alignment vertical="center"/>
    </xf>
    <xf numFmtId="10" fontId="11" fillId="0" borderId="14" xfId="2" applyNumberFormat="1" applyFont="1" applyBorder="1" applyAlignment="1">
      <alignment vertical="center"/>
    </xf>
    <xf numFmtId="0" fontId="11" fillId="0" borderId="14" xfId="1" applyNumberFormat="1" applyFont="1" applyBorder="1" applyAlignment="1">
      <alignment vertical="center"/>
    </xf>
    <xf numFmtId="0" fontId="11" fillId="0" borderId="14" xfId="2" applyNumberFormat="1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10" fontId="12" fillId="0" borderId="14" xfId="0" applyNumberFormat="1" applyFont="1" applyBorder="1" applyAlignment="1">
      <alignment vertical="center" wrapText="1"/>
    </xf>
    <xf numFmtId="0" fontId="12" fillId="0" borderId="14" xfId="0" applyFont="1" applyBorder="1" applyAlignment="1">
      <alignment horizontal="left" vertical="center" wrapText="1"/>
    </xf>
    <xf numFmtId="10" fontId="11" fillId="0" borderId="14" xfId="0" applyNumberFormat="1" applyFont="1" applyBorder="1" applyAlignment="1">
      <alignment vertical="center"/>
    </xf>
    <xf numFmtId="10" fontId="11" fillId="0" borderId="15" xfId="0" applyNumberFormat="1" applyFont="1" applyBorder="1" applyAlignment="1">
      <alignment vertical="center"/>
    </xf>
    <xf numFmtId="0" fontId="25" fillId="20" borderId="16" xfId="0" applyFont="1" applyFill="1" applyBorder="1" applyAlignment="1">
      <alignment horizontal="center" vertical="center"/>
    </xf>
    <xf numFmtId="0" fontId="14" fillId="20" borderId="7" xfId="0" applyFont="1" applyFill="1" applyBorder="1" applyAlignment="1">
      <alignment horizontal="center" vertical="center" wrapText="1"/>
    </xf>
    <xf numFmtId="3" fontId="11" fillId="0" borderId="6" xfId="1" applyNumberFormat="1" applyFont="1" applyBorder="1" applyAlignment="1">
      <alignment vertical="center"/>
    </xf>
    <xf numFmtId="3" fontId="11" fillId="0" borderId="20" xfId="1" applyNumberFormat="1" applyFont="1" applyBorder="1" applyAlignment="1">
      <alignment vertical="center"/>
    </xf>
    <xf numFmtId="0" fontId="12" fillId="20" borderId="10" xfId="0" applyFont="1" applyFill="1" applyBorder="1" applyAlignment="1">
      <alignment horizontal="center" vertical="center" wrapText="1"/>
    </xf>
    <xf numFmtId="3" fontId="11" fillId="0" borderId="15" xfId="1" applyNumberFormat="1" applyFont="1" applyFill="1" applyBorder="1" applyAlignment="1">
      <alignment vertical="center"/>
    </xf>
    <xf numFmtId="3" fontId="11" fillId="0" borderId="16" xfId="1" applyNumberFormat="1" applyFont="1" applyFill="1" applyBorder="1" applyAlignment="1">
      <alignment vertical="center"/>
    </xf>
    <xf numFmtId="3" fontId="11" fillId="0" borderId="20" xfId="1" applyNumberFormat="1" applyFont="1" applyFill="1" applyBorder="1" applyAlignment="1">
      <alignment vertical="center"/>
    </xf>
    <xf numFmtId="0" fontId="25" fillId="20" borderId="10" xfId="0" applyFont="1" applyFill="1" applyBorder="1" applyAlignment="1">
      <alignment horizontal="center" vertical="center"/>
    </xf>
    <xf numFmtId="0" fontId="11" fillId="0" borderId="16" xfId="0" applyFont="1" applyBorder="1"/>
    <xf numFmtId="0" fontId="11" fillId="0" borderId="15" xfId="0" applyFont="1" applyBorder="1"/>
    <xf numFmtId="3" fontId="11" fillId="0" borderId="20" xfId="1" applyNumberFormat="1" applyFont="1" applyFill="1" applyBorder="1"/>
    <xf numFmtId="0" fontId="11" fillId="0" borderId="10" xfId="0" applyFont="1" applyBorder="1"/>
    <xf numFmtId="3" fontId="11" fillId="0" borderId="10" xfId="0" applyNumberFormat="1" applyFont="1" applyBorder="1"/>
    <xf numFmtId="0" fontId="25" fillId="20" borderId="16" xfId="0" applyFont="1" applyFill="1" applyBorder="1" applyAlignment="1">
      <alignment horizontal="left" vertical="center"/>
    </xf>
    <xf numFmtId="0" fontId="12" fillId="20" borderId="17" xfId="0" applyFont="1" applyFill="1" applyBorder="1" applyAlignment="1">
      <alignment horizontal="center" vertical="center" wrapText="1"/>
    </xf>
    <xf numFmtId="0" fontId="14" fillId="20" borderId="7" xfId="0" applyFont="1" applyFill="1" applyBorder="1" applyAlignment="1">
      <alignment horizontal="center" vertical="center"/>
    </xf>
    <xf numFmtId="0" fontId="11" fillId="0" borderId="18" xfId="0" applyFont="1" applyBorder="1" applyAlignment="1">
      <alignment horizontal="left" wrapText="1"/>
    </xf>
    <xf numFmtId="0" fontId="11" fillId="0" borderId="5" xfId="0" applyFont="1" applyBorder="1" applyAlignment="1">
      <alignment wrapText="1"/>
    </xf>
    <xf numFmtId="3" fontId="11" fillId="0" borderId="6" xfId="1" applyNumberFormat="1" applyFont="1" applyFill="1" applyBorder="1"/>
    <xf numFmtId="3" fontId="11" fillId="0" borderId="6" xfId="1" applyNumberFormat="1" applyFont="1" applyFill="1" applyBorder="1" applyAlignment="1">
      <alignment vertical="center"/>
    </xf>
    <xf numFmtId="0" fontId="11" fillId="0" borderId="5" xfId="0" applyFont="1" applyBorder="1" applyAlignment="1">
      <alignment vertical="center" wrapText="1"/>
    </xf>
    <xf numFmtId="3" fontId="11" fillId="0" borderId="1" xfId="1" applyNumberFormat="1" applyFont="1" applyFill="1" applyBorder="1" applyAlignment="1">
      <alignment vertical="center"/>
    </xf>
    <xf numFmtId="0" fontId="25" fillId="14" borderId="10" xfId="0" applyFont="1" applyFill="1" applyBorder="1" applyAlignment="1">
      <alignment horizontal="center" vertical="center"/>
    </xf>
    <xf numFmtId="0" fontId="25" fillId="14" borderId="10" xfId="0" applyFont="1" applyFill="1" applyBorder="1" applyAlignment="1">
      <alignment horizontal="center" vertical="center" wrapText="1"/>
    </xf>
    <xf numFmtId="2" fontId="11" fillId="0" borderId="10" xfId="0" applyNumberFormat="1" applyFont="1" applyBorder="1" applyAlignment="1">
      <alignment horizontal="center" vertical="center"/>
    </xf>
    <xf numFmtId="3" fontId="11" fillId="0" borderId="10" xfId="0" applyNumberFormat="1" applyFont="1" applyBorder="1" applyAlignment="1">
      <alignment horizontal="center" vertical="center"/>
    </xf>
    <xf numFmtId="167" fontId="11" fillId="0" borderId="10" xfId="2" applyNumberFormat="1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3" fontId="11" fillId="0" borderId="10" xfId="1" applyNumberFormat="1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/>
    </xf>
    <xf numFmtId="178" fontId="11" fillId="0" borderId="6" xfId="3" applyNumberFormat="1" applyFont="1" applyFill="1" applyBorder="1" applyAlignment="1">
      <alignment vertical="center" wrapText="1"/>
    </xf>
    <xf numFmtId="168" fontId="11" fillId="0" borderId="20" xfId="3" applyNumberFormat="1" applyFont="1" applyFill="1" applyBorder="1" applyAlignment="1">
      <alignment vertical="center"/>
    </xf>
    <xf numFmtId="0" fontId="11" fillId="20" borderId="16" xfId="0" applyFont="1" applyFill="1" applyBorder="1" applyAlignment="1">
      <alignment horizontal="left" vertical="center"/>
    </xf>
    <xf numFmtId="0" fontId="12" fillId="20" borderId="7" xfId="0" applyFont="1" applyFill="1" applyBorder="1" applyAlignment="1">
      <alignment horizontal="center" vertical="center" wrapText="1"/>
    </xf>
    <xf numFmtId="8" fontId="12" fillId="20" borderId="16" xfId="0" applyNumberFormat="1" applyFont="1" applyFill="1" applyBorder="1" applyAlignment="1">
      <alignment horizontal="center" vertical="center" wrapText="1"/>
    </xf>
    <xf numFmtId="174" fontId="14" fillId="0" borderId="14" xfId="2" applyNumberFormat="1" applyFont="1" applyBorder="1"/>
    <xf numFmtId="0" fontId="15" fillId="0" borderId="0" xfId="22" applyFont="1"/>
    <xf numFmtId="0" fontId="10" fillId="0" borderId="0" xfId="0" applyFont="1" applyAlignment="1">
      <alignment vertical="center"/>
    </xf>
    <xf numFmtId="9" fontId="11" fillId="0" borderId="7" xfId="2" applyFont="1" applyBorder="1" applyAlignment="1">
      <alignment vertical="center"/>
    </xf>
    <xf numFmtId="9" fontId="11" fillId="0" borderId="0" xfId="2" applyFont="1" applyBorder="1" applyAlignment="1">
      <alignment vertical="center"/>
    </xf>
    <xf numFmtId="9" fontId="11" fillId="0" borderId="6" xfId="2" applyFont="1" applyFill="1" applyBorder="1" applyAlignment="1">
      <alignment vertical="center"/>
    </xf>
    <xf numFmtId="9" fontId="11" fillId="0" borderId="6" xfId="2" applyFont="1" applyFill="1" applyBorder="1" applyAlignment="1">
      <alignment vertical="center" wrapText="1"/>
    </xf>
    <xf numFmtId="9" fontId="11" fillId="0" borderId="7" xfId="2" applyFont="1" applyFill="1" applyBorder="1" applyAlignment="1">
      <alignment vertical="center"/>
    </xf>
    <xf numFmtId="9" fontId="11" fillId="0" borderId="7" xfId="2" applyFont="1" applyFill="1" applyBorder="1" applyAlignment="1">
      <alignment vertical="center" wrapText="1"/>
    </xf>
    <xf numFmtId="0" fontId="14" fillId="20" borderId="22" xfId="0" applyFont="1" applyFill="1" applyBorder="1" applyAlignment="1">
      <alignment horizontal="center" vertical="center"/>
    </xf>
    <xf numFmtId="167" fontId="11" fillId="0" borderId="22" xfId="2" applyNumberFormat="1" applyFont="1" applyBorder="1" applyAlignment="1">
      <alignment vertical="center"/>
    </xf>
    <xf numFmtId="3" fontId="11" fillId="0" borderId="22" xfId="1" applyNumberFormat="1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3" fontId="11" fillId="0" borderId="23" xfId="1" applyNumberFormat="1" applyFont="1" applyFill="1" applyBorder="1" applyAlignment="1">
      <alignment vertical="center"/>
    </xf>
    <xf numFmtId="3" fontId="11" fillId="0" borderId="22" xfId="1" applyNumberFormat="1" applyFont="1" applyFill="1" applyBorder="1" applyAlignment="1">
      <alignment vertical="center"/>
    </xf>
    <xf numFmtId="3" fontId="11" fillId="0" borderId="22" xfId="0" applyNumberFormat="1" applyFont="1" applyBorder="1"/>
    <xf numFmtId="3" fontId="11" fillId="0" borderId="22" xfId="1" applyNumberFormat="1" applyFont="1" applyFill="1" applyBorder="1"/>
    <xf numFmtId="3" fontId="11" fillId="0" borderId="22" xfId="2" applyNumberFormat="1" applyFont="1" applyBorder="1"/>
    <xf numFmtId="0" fontId="14" fillId="20" borderId="22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168" fontId="12" fillId="0" borderId="22" xfId="3" applyNumberFormat="1" applyFont="1" applyFill="1" applyBorder="1" applyAlignment="1">
      <alignment horizontal="center" vertical="center" wrapText="1"/>
    </xf>
    <xf numFmtId="168" fontId="11" fillId="0" borderId="22" xfId="3" applyNumberFormat="1" applyFont="1" applyBorder="1" applyAlignment="1">
      <alignment vertical="center"/>
    </xf>
    <xf numFmtId="168" fontId="11" fillId="0" borderId="22" xfId="3" applyNumberFormat="1" applyFont="1" applyFill="1" applyBorder="1" applyAlignment="1">
      <alignment vertical="center"/>
    </xf>
    <xf numFmtId="0" fontId="15" fillId="0" borderId="25" xfId="22" applyFont="1" applyBorder="1" applyAlignment="1">
      <alignment horizontal="center"/>
    </xf>
    <xf numFmtId="0" fontId="15" fillId="0" borderId="26" xfId="22" applyFont="1" applyBorder="1" applyAlignment="1">
      <alignment horizontal="center"/>
    </xf>
    <xf numFmtId="0" fontId="14" fillId="0" borderId="25" xfId="22" applyFont="1" applyBorder="1"/>
    <xf numFmtId="10" fontId="14" fillId="0" borderId="25" xfId="22" applyNumberFormat="1" applyFont="1" applyBorder="1"/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justify" vertical="center"/>
    </xf>
    <xf numFmtId="0" fontId="27" fillId="0" borderId="0" xfId="0" applyFont="1" applyAlignment="1">
      <alignment horizontal="left" vertical="center"/>
    </xf>
    <xf numFmtId="0" fontId="27" fillId="17" borderId="0" xfId="0" applyFont="1" applyFill="1"/>
    <xf numFmtId="0" fontId="28" fillId="17" borderId="0" xfId="25" applyFont="1" applyFill="1"/>
    <xf numFmtId="0" fontId="29" fillId="17" borderId="0" xfId="0" applyFont="1" applyFill="1"/>
    <xf numFmtId="0" fontId="30" fillId="17" borderId="0" xfId="25" applyFont="1" applyFill="1"/>
    <xf numFmtId="0" fontId="27" fillId="0" borderId="0" xfId="0" applyFont="1" applyAlignment="1">
      <alignment horizontal="justify" vertical="center"/>
    </xf>
    <xf numFmtId="0" fontId="32" fillId="0" borderId="0" xfId="22" applyFont="1"/>
    <xf numFmtId="0" fontId="33" fillId="13" borderId="10" xfId="22" applyFont="1" applyFill="1" applyBorder="1" applyAlignment="1">
      <alignment horizontal="center" vertical="center"/>
    </xf>
    <xf numFmtId="0" fontId="33" fillId="13" borderId="10" xfId="22" applyFont="1" applyFill="1" applyBorder="1" applyAlignment="1">
      <alignment horizontal="center" vertical="center" wrapText="1"/>
    </xf>
    <xf numFmtId="0" fontId="35" fillId="0" borderId="0" xfId="22" applyFont="1"/>
    <xf numFmtId="0" fontId="36" fillId="0" borderId="0" xfId="22" applyFont="1"/>
    <xf numFmtId="0" fontId="14" fillId="14" borderId="9" xfId="22" applyFont="1" applyFill="1" applyBorder="1" applyAlignment="1">
      <alignment horizontal="center" vertical="center" wrapText="1"/>
    </xf>
    <xf numFmtId="0" fontId="36" fillId="11" borderId="9" xfId="22" applyFont="1" applyFill="1" applyBorder="1" applyAlignment="1">
      <alignment horizontal="center" vertical="center" wrapText="1"/>
    </xf>
    <xf numFmtId="0" fontId="14" fillId="14" borderId="10" xfId="22" applyFont="1" applyFill="1" applyBorder="1" applyAlignment="1">
      <alignment horizontal="center" vertical="center" wrapText="1"/>
    </xf>
    <xf numFmtId="0" fontId="14" fillId="12" borderId="10" xfId="22" applyFont="1" applyFill="1" applyBorder="1" applyAlignment="1">
      <alignment horizontal="center" vertical="center" wrapText="1"/>
    </xf>
    <xf numFmtId="0" fontId="14" fillId="0" borderId="9" xfId="22" applyFont="1" applyBorder="1" applyAlignment="1">
      <alignment horizontal="center" vertical="center" wrapText="1"/>
    </xf>
    <xf numFmtId="10" fontId="14" fillId="0" borderId="9" xfId="22" applyNumberFormat="1" applyFont="1" applyBorder="1" applyAlignment="1">
      <alignment horizontal="center" vertical="center" wrapText="1"/>
    </xf>
    <xf numFmtId="169" fontId="14" fillId="0" borderId="9" xfId="22" applyNumberFormat="1" applyFont="1" applyBorder="1" applyAlignment="1">
      <alignment horizontal="center" vertical="center" wrapText="1"/>
    </xf>
    <xf numFmtId="170" fontId="14" fillId="0" borderId="9" xfId="22" applyNumberFormat="1" applyFont="1" applyBorder="1" applyAlignment="1">
      <alignment horizontal="center" vertical="center" wrapText="1"/>
    </xf>
    <xf numFmtId="169" fontId="36" fillId="0" borderId="9" xfId="22" applyNumberFormat="1" applyFont="1" applyBorder="1" applyAlignment="1">
      <alignment horizontal="center" vertical="center" wrapText="1"/>
    </xf>
    <xf numFmtId="169" fontId="36" fillId="0" borderId="11" xfId="22" applyNumberFormat="1" applyFont="1" applyBorder="1" applyAlignment="1">
      <alignment horizontal="center" vertical="center" wrapText="1"/>
    </xf>
    <xf numFmtId="0" fontId="14" fillId="0" borderId="10" xfId="22" applyFont="1" applyBorder="1"/>
    <xf numFmtId="2" fontId="14" fillId="0" borderId="9" xfId="22" applyNumberFormat="1" applyFont="1" applyBorder="1" applyAlignment="1">
      <alignment horizontal="center" vertical="center" wrapText="1"/>
    </xf>
    <xf numFmtId="2" fontId="36" fillId="0" borderId="9" xfId="22" applyNumberFormat="1" applyFont="1" applyBorder="1" applyAlignment="1">
      <alignment horizontal="center" vertical="center" wrapText="1"/>
    </xf>
    <xf numFmtId="2" fontId="36" fillId="0" borderId="11" xfId="22" applyNumberFormat="1" applyFont="1" applyBorder="1" applyAlignment="1">
      <alignment horizontal="center" vertical="center" wrapText="1"/>
    </xf>
    <xf numFmtId="2" fontId="14" fillId="0" borderId="10" xfId="22" applyNumberFormat="1" applyFont="1" applyBorder="1" applyAlignment="1">
      <alignment horizontal="center" vertical="center"/>
    </xf>
    <xf numFmtId="167" fontId="29" fillId="0" borderId="10" xfId="23" applyNumberFormat="1" applyFont="1" applyBorder="1" applyAlignment="1">
      <alignment horizontal="center"/>
    </xf>
    <xf numFmtId="173" fontId="14" fillId="0" borderId="10" xfId="22" applyNumberFormat="1" applyFont="1" applyBorder="1" applyAlignment="1">
      <alignment horizontal="center" vertical="center"/>
    </xf>
    <xf numFmtId="0" fontId="14" fillId="0" borderId="0" xfId="22" applyFont="1" applyAlignment="1">
      <alignment horizontal="center"/>
    </xf>
    <xf numFmtId="167" fontId="15" fillId="0" borderId="10" xfId="22" applyNumberFormat="1" applyFont="1" applyBorder="1" applyAlignment="1">
      <alignment horizontal="center"/>
    </xf>
    <xf numFmtId="173" fontId="15" fillId="8" borderId="10" xfId="22" applyNumberFormat="1" applyFont="1" applyFill="1" applyBorder="1" applyAlignment="1">
      <alignment horizontal="center"/>
    </xf>
    <xf numFmtId="167" fontId="15" fillId="0" borderId="0" xfId="22" applyNumberFormat="1" applyFont="1" applyAlignment="1">
      <alignment horizontal="center"/>
    </xf>
    <xf numFmtId="173" fontId="15" fillId="0" borderId="0" xfId="22" applyNumberFormat="1" applyFont="1" applyAlignment="1">
      <alignment horizontal="center"/>
    </xf>
    <xf numFmtId="0" fontId="14" fillId="0" borderId="0" xfId="22" applyFont="1" applyAlignment="1">
      <alignment vertical="center"/>
    </xf>
    <xf numFmtId="0" fontId="14" fillId="0" borderId="10" xfId="22" applyFont="1" applyBorder="1" applyAlignment="1">
      <alignment vertical="center"/>
    </xf>
    <xf numFmtId="0" fontId="14" fillId="0" borderId="10" xfId="22" applyFont="1" applyBorder="1" applyAlignment="1">
      <alignment horizontal="center" vertical="center"/>
    </xf>
    <xf numFmtId="10" fontId="14" fillId="0" borderId="10" xfId="22" applyNumberFormat="1" applyFont="1" applyBorder="1" applyAlignment="1">
      <alignment horizontal="center" vertical="center"/>
    </xf>
    <xf numFmtId="10" fontId="34" fillId="0" borderId="10" xfId="22" applyNumberFormat="1" applyFont="1" applyBorder="1" applyAlignment="1">
      <alignment horizontal="center" vertical="center"/>
    </xf>
    <xf numFmtId="9" fontId="14" fillId="0" borderId="10" xfId="22" applyNumberFormat="1" applyFont="1" applyBorder="1" applyAlignment="1">
      <alignment horizontal="center" vertical="center"/>
    </xf>
    <xf numFmtId="174" fontId="14" fillId="0" borderId="10" xfId="23" applyNumberFormat="1" applyFont="1" applyFill="1" applyBorder="1" applyAlignment="1">
      <alignment horizontal="center" vertical="center"/>
    </xf>
    <xf numFmtId="173" fontId="34" fillId="0" borderId="10" xfId="22" applyNumberFormat="1" applyFont="1" applyBorder="1" applyAlignment="1">
      <alignment horizontal="center" vertical="center"/>
    </xf>
    <xf numFmtId="175" fontId="14" fillId="0" borderId="10" xfId="22" applyNumberFormat="1" applyFont="1" applyBorder="1" applyAlignment="1">
      <alignment horizontal="center" vertical="center"/>
    </xf>
    <xf numFmtId="174" fontId="14" fillId="0" borderId="10" xfId="22" applyNumberFormat="1" applyFont="1" applyBorder="1" applyAlignment="1">
      <alignment horizontal="center" vertical="center"/>
    </xf>
    <xf numFmtId="2" fontId="34" fillId="0" borderId="10" xfId="22" applyNumberFormat="1" applyFont="1" applyBorder="1" applyAlignment="1">
      <alignment horizontal="center" vertical="center"/>
    </xf>
    <xf numFmtId="176" fontId="14" fillId="0" borderId="10" xfId="22" applyNumberFormat="1" applyFont="1" applyBorder="1" applyAlignment="1">
      <alignment horizontal="center" vertical="center"/>
    </xf>
    <xf numFmtId="0" fontId="14" fillId="12" borderId="10" xfId="22" applyFont="1" applyFill="1" applyBorder="1" applyAlignment="1">
      <alignment vertical="center"/>
    </xf>
    <xf numFmtId="10" fontId="14" fillId="12" borderId="10" xfId="22" applyNumberFormat="1" applyFont="1" applyFill="1" applyBorder="1" applyAlignment="1">
      <alignment horizontal="center" vertical="center"/>
    </xf>
    <xf numFmtId="0" fontId="33" fillId="8" borderId="10" xfId="22" applyFont="1" applyFill="1" applyBorder="1" applyAlignment="1">
      <alignment vertical="center"/>
    </xf>
    <xf numFmtId="10" fontId="14" fillId="0" borderId="0" xfId="22" applyNumberFormat="1" applyFont="1"/>
    <xf numFmtId="0" fontId="37" fillId="0" borderId="0" xfId="22" applyFont="1"/>
    <xf numFmtId="0" fontId="38" fillId="0" borderId="0" xfId="22" applyFont="1"/>
    <xf numFmtId="0" fontId="39" fillId="0" borderId="0" xfId="22" applyFont="1"/>
    <xf numFmtId="0" fontId="37" fillId="14" borderId="9" xfId="22" applyFont="1" applyFill="1" applyBorder="1" applyAlignment="1">
      <alignment horizontal="center" vertical="center" wrapText="1"/>
    </xf>
    <xf numFmtId="0" fontId="39" fillId="11" borderId="9" xfId="22" applyFont="1" applyFill="1" applyBorder="1" applyAlignment="1">
      <alignment horizontal="center" vertical="center" wrapText="1"/>
    </xf>
    <xf numFmtId="0" fontId="37" fillId="14" borderId="10" xfId="22" applyFont="1" applyFill="1" applyBorder="1" applyAlignment="1">
      <alignment horizontal="center" vertical="center" wrapText="1"/>
    </xf>
    <xf numFmtId="0" fontId="37" fillId="12" borderId="10" xfId="22" applyFont="1" applyFill="1" applyBorder="1" applyAlignment="1">
      <alignment horizontal="center" vertical="center" wrapText="1"/>
    </xf>
    <xf numFmtId="0" fontId="37" fillId="0" borderId="9" xfId="22" applyFont="1" applyBorder="1" applyAlignment="1">
      <alignment horizontal="center" vertical="center" wrapText="1"/>
    </xf>
    <xf numFmtId="10" fontId="37" fillId="0" borderId="9" xfId="22" applyNumberFormat="1" applyFont="1" applyBorder="1" applyAlignment="1">
      <alignment horizontal="center" vertical="center" wrapText="1"/>
    </xf>
    <xf numFmtId="169" fontId="37" fillId="0" borderId="9" xfId="22" applyNumberFormat="1" applyFont="1" applyBorder="1" applyAlignment="1">
      <alignment horizontal="center" vertical="center" wrapText="1"/>
    </xf>
    <xf numFmtId="170" fontId="37" fillId="0" borderId="9" xfId="22" applyNumberFormat="1" applyFont="1" applyBorder="1" applyAlignment="1">
      <alignment horizontal="center" vertical="center" wrapText="1"/>
    </xf>
    <xf numFmtId="169" fontId="39" fillId="0" borderId="9" xfId="22" applyNumberFormat="1" applyFont="1" applyBorder="1" applyAlignment="1">
      <alignment horizontal="center" vertical="center" wrapText="1"/>
    </xf>
    <xf numFmtId="169" fontId="39" fillId="0" borderId="11" xfId="22" applyNumberFormat="1" applyFont="1" applyBorder="1" applyAlignment="1">
      <alignment horizontal="center" vertical="center" wrapText="1"/>
    </xf>
    <xf numFmtId="0" fontId="37" fillId="0" borderId="10" xfId="22" applyFont="1" applyBorder="1"/>
    <xf numFmtId="2" fontId="37" fillId="0" borderId="9" xfId="22" applyNumberFormat="1" applyFont="1" applyBorder="1" applyAlignment="1">
      <alignment horizontal="center" vertical="center" wrapText="1"/>
    </xf>
    <xf numFmtId="2" fontId="39" fillId="0" borderId="9" xfId="22" applyNumberFormat="1" applyFont="1" applyBorder="1" applyAlignment="1">
      <alignment horizontal="center" vertical="center" wrapText="1"/>
    </xf>
    <xf numFmtId="2" fontId="39" fillId="0" borderId="11" xfId="22" applyNumberFormat="1" applyFont="1" applyBorder="1" applyAlignment="1">
      <alignment horizontal="center" vertical="center" wrapText="1"/>
    </xf>
    <xf numFmtId="2" fontId="37" fillId="0" borderId="10" xfId="22" applyNumberFormat="1" applyFont="1" applyBorder="1" applyAlignment="1">
      <alignment horizontal="center" vertical="center"/>
    </xf>
    <xf numFmtId="167" fontId="20" fillId="0" borderId="10" xfId="23" applyNumberFormat="1" applyFont="1" applyBorder="1" applyAlignment="1">
      <alignment horizontal="center"/>
    </xf>
    <xf numFmtId="173" fontId="37" fillId="0" borderId="10" xfId="22" applyNumberFormat="1" applyFont="1" applyBorder="1" applyAlignment="1">
      <alignment horizontal="center" vertical="center"/>
    </xf>
    <xf numFmtId="0" fontId="37" fillId="0" borderId="0" xfId="22" applyFont="1" applyAlignment="1">
      <alignment horizontal="center"/>
    </xf>
    <xf numFmtId="167" fontId="32" fillId="0" borderId="10" xfId="22" applyNumberFormat="1" applyFont="1" applyBorder="1" applyAlignment="1">
      <alignment horizontal="center"/>
    </xf>
    <xf numFmtId="167" fontId="32" fillId="0" borderId="10" xfId="23" applyNumberFormat="1" applyFont="1" applyFill="1" applyBorder="1" applyAlignment="1">
      <alignment horizontal="center"/>
    </xf>
    <xf numFmtId="173" fontId="32" fillId="8" borderId="10" xfId="22" applyNumberFormat="1" applyFont="1" applyFill="1" applyBorder="1" applyAlignment="1">
      <alignment horizontal="center"/>
    </xf>
    <xf numFmtId="167" fontId="32" fillId="0" borderId="0" xfId="22" applyNumberFormat="1" applyFont="1" applyAlignment="1">
      <alignment horizontal="center"/>
    </xf>
    <xf numFmtId="167" fontId="32" fillId="0" borderId="0" xfId="23" applyNumberFormat="1" applyFont="1" applyFill="1" applyBorder="1" applyAlignment="1">
      <alignment horizontal="center"/>
    </xf>
    <xf numFmtId="173" fontId="32" fillId="0" borderId="0" xfId="22" applyNumberFormat="1" applyFont="1" applyAlignment="1">
      <alignment horizontal="center"/>
    </xf>
    <xf numFmtId="0" fontId="32" fillId="0" borderId="25" xfId="22" applyFont="1" applyBorder="1" applyAlignment="1">
      <alignment horizontal="center"/>
    </xf>
    <xf numFmtId="0" fontId="32" fillId="0" borderId="26" xfId="22" applyFont="1" applyBorder="1" applyAlignment="1">
      <alignment horizontal="center"/>
    </xf>
    <xf numFmtId="0" fontId="37" fillId="0" borderId="26" xfId="22" applyFont="1" applyBorder="1"/>
    <xf numFmtId="10" fontId="37" fillId="0" borderId="26" xfId="22" applyNumberFormat="1" applyFont="1" applyBorder="1"/>
    <xf numFmtId="0" fontId="37" fillId="0" borderId="18" xfId="22" applyFont="1" applyBorder="1"/>
    <xf numFmtId="10" fontId="37" fillId="0" borderId="18" xfId="2" applyNumberFormat="1" applyFont="1" applyBorder="1"/>
    <xf numFmtId="10" fontId="37" fillId="0" borderId="18" xfId="2" applyNumberFormat="1" applyFont="1" applyBorder="1" applyAlignment="1">
      <alignment horizontal="right"/>
    </xf>
    <xf numFmtId="10" fontId="37" fillId="0" borderId="18" xfId="22" applyNumberFormat="1" applyFont="1" applyBorder="1"/>
    <xf numFmtId="0" fontId="37" fillId="0" borderId="0" xfId="22" applyFont="1" applyAlignment="1">
      <alignment vertical="center"/>
    </xf>
    <xf numFmtId="0" fontId="37" fillId="0" borderId="5" xfId="22" applyFont="1" applyBorder="1"/>
    <xf numFmtId="10" fontId="37" fillId="0" borderId="5" xfId="22" applyNumberFormat="1" applyFont="1" applyBorder="1"/>
    <xf numFmtId="0" fontId="19" fillId="13" borderId="10" xfId="22" applyFont="1" applyFill="1" applyBorder="1" applyAlignment="1">
      <alignment horizontal="center" vertical="center"/>
    </xf>
    <xf numFmtId="0" fontId="19" fillId="13" borderId="10" xfId="22" applyFont="1" applyFill="1" applyBorder="1" applyAlignment="1">
      <alignment horizontal="center" vertical="center" wrapText="1"/>
    </xf>
    <xf numFmtId="0" fontId="37" fillId="0" borderId="10" xfId="22" applyFont="1" applyBorder="1" applyAlignment="1">
      <alignment vertical="center"/>
    </xf>
    <xf numFmtId="10" fontId="20" fillId="0" borderId="10" xfId="23" applyNumberFormat="1" applyFont="1" applyBorder="1" applyAlignment="1">
      <alignment horizontal="center" vertical="center"/>
    </xf>
    <xf numFmtId="0" fontId="37" fillId="0" borderId="10" xfId="22" applyFont="1" applyBorder="1" applyAlignment="1">
      <alignment horizontal="center" vertical="center"/>
    </xf>
    <xf numFmtId="10" fontId="37" fillId="0" borderId="10" xfId="22" applyNumberFormat="1" applyFont="1" applyBorder="1" applyAlignment="1">
      <alignment horizontal="center" vertical="center"/>
    </xf>
    <xf numFmtId="9" fontId="37" fillId="0" borderId="10" xfId="22" applyNumberFormat="1" applyFont="1" applyBorder="1" applyAlignment="1">
      <alignment horizontal="center" vertical="center"/>
    </xf>
    <xf numFmtId="174" fontId="37" fillId="0" borderId="10" xfId="23" applyNumberFormat="1" applyFont="1" applyFill="1" applyBorder="1" applyAlignment="1">
      <alignment horizontal="center" vertical="center"/>
    </xf>
    <xf numFmtId="175" fontId="37" fillId="0" borderId="10" xfId="22" applyNumberFormat="1" applyFont="1" applyBorder="1" applyAlignment="1">
      <alignment horizontal="center" vertical="center"/>
    </xf>
    <xf numFmtId="174" fontId="37" fillId="0" borderId="10" xfId="22" applyNumberFormat="1" applyFont="1" applyBorder="1" applyAlignment="1">
      <alignment horizontal="center" vertical="center"/>
    </xf>
    <xf numFmtId="0" fontId="37" fillId="0" borderId="10" xfId="22" quotePrefix="1" applyFont="1" applyBorder="1" applyAlignment="1">
      <alignment vertical="center"/>
    </xf>
    <xf numFmtId="2" fontId="20" fillId="0" borderId="10" xfId="23" applyNumberFormat="1" applyFont="1" applyFill="1" applyBorder="1" applyAlignment="1">
      <alignment horizontal="center" vertical="center"/>
    </xf>
    <xf numFmtId="176" fontId="37" fillId="0" borderId="10" xfId="22" applyNumberFormat="1" applyFont="1" applyBorder="1" applyAlignment="1">
      <alignment horizontal="center" vertical="center"/>
    </xf>
    <xf numFmtId="167" fontId="20" fillId="0" borderId="10" xfId="23" applyNumberFormat="1" applyFont="1" applyFill="1" applyBorder="1" applyAlignment="1">
      <alignment horizontal="center" vertical="center"/>
    </xf>
    <xf numFmtId="0" fontId="37" fillId="12" borderId="10" xfId="22" applyFont="1" applyFill="1" applyBorder="1" applyAlignment="1">
      <alignment vertical="center"/>
    </xf>
    <xf numFmtId="10" fontId="37" fillId="12" borderId="10" xfId="22" applyNumberFormat="1" applyFont="1" applyFill="1" applyBorder="1" applyAlignment="1">
      <alignment horizontal="center" vertical="center"/>
    </xf>
    <xf numFmtId="10" fontId="37" fillId="0" borderId="10" xfId="22" applyNumberFormat="1" applyFont="1" applyBorder="1" applyAlignment="1">
      <alignment horizontal="center"/>
    </xf>
    <xf numFmtId="0" fontId="19" fillId="8" borderId="10" xfId="22" applyFont="1" applyFill="1" applyBorder="1" applyAlignment="1">
      <alignment vertical="center"/>
    </xf>
    <xf numFmtId="10" fontId="19" fillId="8" borderId="10" xfId="22" applyNumberFormat="1" applyFont="1" applyFill="1" applyBorder="1" applyAlignment="1">
      <alignment horizontal="center" vertical="center"/>
    </xf>
    <xf numFmtId="10" fontId="37" fillId="0" borderId="0" xfId="22" applyNumberFormat="1" applyFont="1"/>
    <xf numFmtId="0" fontId="33" fillId="0" borderId="0" xfId="0" applyFont="1"/>
    <xf numFmtId="0" fontId="29" fillId="0" borderId="0" xfId="0" applyFont="1"/>
    <xf numFmtId="0" fontId="41" fillId="0" borderId="0" xfId="0" applyFont="1"/>
    <xf numFmtId="0" fontId="29" fillId="0" borderId="0" xfId="0" applyFont="1" applyAlignment="1">
      <alignment horizontal="center"/>
    </xf>
    <xf numFmtId="0" fontId="20" fillId="2" borderId="0" xfId="0" applyFont="1" applyFill="1"/>
    <xf numFmtId="0" fontId="40" fillId="2" borderId="0" xfId="0" applyFont="1" applyFill="1" applyAlignment="1">
      <alignment horizontal="center" vertical="center"/>
    </xf>
    <xf numFmtId="0" fontId="40" fillId="2" borderId="0" xfId="0" applyFont="1" applyFill="1" applyAlignment="1">
      <alignment horizontal="center" vertical="center" wrapText="1"/>
    </xf>
    <xf numFmtId="0" fontId="32" fillId="2" borderId="0" xfId="0" applyFont="1" applyFill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167" fontId="29" fillId="0" borderId="0" xfId="2" applyNumberFormat="1" applyFont="1"/>
    <xf numFmtId="43" fontId="29" fillId="0" borderId="0" xfId="3" applyFont="1"/>
    <xf numFmtId="0" fontId="29" fillId="0" borderId="2" xfId="0" applyFont="1" applyBorder="1"/>
    <xf numFmtId="166" fontId="29" fillId="0" borderId="2" xfId="1" applyNumberFormat="1" applyFont="1" applyBorder="1"/>
    <xf numFmtId="166" fontId="29" fillId="0" borderId="0" xfId="0" applyNumberFormat="1" applyFont="1"/>
    <xf numFmtId="167" fontId="29" fillId="0" borderId="2" xfId="2" applyNumberFormat="1" applyFont="1" applyBorder="1" applyAlignment="1">
      <alignment horizontal="center"/>
    </xf>
    <xf numFmtId="167" fontId="29" fillId="0" borderId="2" xfId="2" applyNumberFormat="1" applyFont="1" applyFill="1" applyBorder="1" applyAlignment="1">
      <alignment horizontal="center"/>
    </xf>
    <xf numFmtId="166" fontId="29" fillId="0" borderId="0" xfId="1" applyNumberFormat="1" applyFont="1"/>
    <xf numFmtId="0" fontId="19" fillId="4" borderId="4" xfId="0" applyFont="1" applyFill="1" applyBorder="1"/>
    <xf numFmtId="166" fontId="19" fillId="4" borderId="1" xfId="1" applyNumberFormat="1" applyFont="1" applyFill="1" applyBorder="1"/>
    <xf numFmtId="4" fontId="29" fillId="0" borderId="0" xfId="0" applyNumberFormat="1" applyFont="1"/>
    <xf numFmtId="167" fontId="33" fillId="4" borderId="6" xfId="2" applyNumberFormat="1" applyFont="1" applyFill="1" applyBorder="1" applyAlignment="1">
      <alignment horizontal="center"/>
    </xf>
    <xf numFmtId="167" fontId="33" fillId="4" borderId="8" xfId="2" applyNumberFormat="1" applyFont="1" applyFill="1" applyBorder="1" applyAlignment="1">
      <alignment horizontal="center"/>
    </xf>
    <xf numFmtId="166" fontId="29" fillId="0" borderId="2" xfId="1" applyNumberFormat="1" applyFont="1" applyFill="1" applyBorder="1"/>
    <xf numFmtId="167" fontId="33" fillId="4" borderId="1" xfId="2" applyNumberFormat="1" applyFont="1" applyFill="1" applyBorder="1" applyAlignment="1">
      <alignment horizontal="center"/>
    </xf>
    <xf numFmtId="0" fontId="19" fillId="4" borderId="5" xfId="0" applyFont="1" applyFill="1" applyBorder="1"/>
    <xf numFmtId="166" fontId="19" fillId="4" borderId="6" xfId="1" applyNumberFormat="1" applyFont="1" applyFill="1" applyBorder="1"/>
    <xf numFmtId="4" fontId="29" fillId="0" borderId="0" xfId="2" applyNumberFormat="1" applyFont="1"/>
    <xf numFmtId="166" fontId="34" fillId="0" borderId="2" xfId="1" applyNumberFormat="1" applyFont="1" applyFill="1" applyBorder="1"/>
    <xf numFmtId="167" fontId="33" fillId="4" borderId="2" xfId="2" applyNumberFormat="1" applyFont="1" applyFill="1" applyBorder="1" applyAlignment="1">
      <alignment horizontal="center"/>
    </xf>
    <xf numFmtId="0" fontId="33" fillId="4" borderId="4" xfId="0" applyFont="1" applyFill="1" applyBorder="1"/>
    <xf numFmtId="166" fontId="33" fillId="4" borderId="1" xfId="1" applyNumberFormat="1" applyFont="1" applyFill="1" applyBorder="1"/>
    <xf numFmtId="167" fontId="29" fillId="0" borderId="0" xfId="0" applyNumberFormat="1" applyFont="1"/>
    <xf numFmtId="44" fontId="29" fillId="0" borderId="0" xfId="0" applyNumberFormat="1" applyFont="1"/>
    <xf numFmtId="166" fontId="29" fillId="0" borderId="0" xfId="0" applyNumberFormat="1" applyFont="1" applyAlignment="1">
      <alignment horizontal="right"/>
    </xf>
    <xf numFmtId="167" fontId="42" fillId="0" borderId="0" xfId="2" applyNumberFormat="1" applyFont="1"/>
    <xf numFmtId="9" fontId="29" fillId="0" borderId="0" xfId="2" applyFont="1"/>
    <xf numFmtId="9" fontId="29" fillId="0" borderId="0" xfId="2" applyFont="1" applyAlignment="1">
      <alignment horizontal="right"/>
    </xf>
    <xf numFmtId="166" fontId="33" fillId="0" borderId="0" xfId="1" applyNumberFormat="1" applyFont="1"/>
    <xf numFmtId="167" fontId="33" fillId="0" borderId="0" xfId="0" applyNumberFormat="1" applyFont="1"/>
    <xf numFmtId="0" fontId="43" fillId="17" borderId="0" xfId="0" applyFont="1" applyFill="1"/>
    <xf numFmtId="0" fontId="29" fillId="2" borderId="0" xfId="0" applyFont="1" applyFill="1"/>
    <xf numFmtId="0" fontId="14" fillId="9" borderId="9" xfId="22" applyFont="1" applyFill="1" applyBorder="1" applyAlignment="1">
      <alignment horizontal="center" vertical="center" wrapText="1"/>
    </xf>
    <xf numFmtId="172" fontId="14" fillId="0" borderId="9" xfId="22" applyNumberFormat="1" applyFont="1" applyBorder="1" applyAlignment="1">
      <alignment horizontal="center" vertical="center" wrapText="1"/>
    </xf>
    <xf numFmtId="177" fontId="14" fillId="0" borderId="9" xfId="22" applyNumberFormat="1" applyFont="1" applyBorder="1" applyAlignment="1">
      <alignment horizontal="right" vertical="center" wrapText="1"/>
    </xf>
    <xf numFmtId="44" fontId="14" fillId="0" borderId="9" xfId="22" applyNumberFormat="1" applyFont="1" applyBorder="1" applyAlignment="1">
      <alignment horizontal="center" vertical="center" wrapText="1"/>
    </xf>
    <xf numFmtId="0" fontId="14" fillId="10" borderId="9" xfId="22" applyFont="1" applyFill="1" applyBorder="1" applyAlignment="1">
      <alignment horizontal="center" vertical="center" wrapText="1"/>
    </xf>
    <xf numFmtId="171" fontId="14" fillId="0" borderId="9" xfId="22" applyNumberFormat="1" applyFont="1" applyBorder="1" applyAlignment="1">
      <alignment horizontal="center" vertical="center" wrapText="1"/>
    </xf>
    <xf numFmtId="9" fontId="14" fillId="0" borderId="9" xfId="22" applyNumberFormat="1" applyFont="1" applyBorder="1" applyAlignment="1">
      <alignment horizontal="center" vertical="center" wrapText="1"/>
    </xf>
    <xf numFmtId="0" fontId="32" fillId="2" borderId="0" xfId="0" applyFont="1" applyFill="1" applyAlignment="1">
      <alignment horizontal="center" vertical="center"/>
    </xf>
    <xf numFmtId="0" fontId="40" fillId="2" borderId="0" xfId="0" applyFont="1" applyFill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4" fontId="42" fillId="0" borderId="0" xfId="0" applyNumberFormat="1" applyFont="1"/>
    <xf numFmtId="10" fontId="20" fillId="0" borderId="0" xfId="0" applyNumberFormat="1" applyFont="1" applyAlignment="1">
      <alignment vertical="center"/>
    </xf>
    <xf numFmtId="10" fontId="20" fillId="0" borderId="0" xfId="2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19" fillId="2" borderId="0" xfId="0" applyFont="1" applyFill="1" applyAlignment="1">
      <alignment horizontal="left" vertical="center"/>
    </xf>
    <xf numFmtId="0" fontId="19" fillId="2" borderId="0" xfId="0" applyFont="1" applyFill="1" applyAlignment="1">
      <alignment vertical="center"/>
    </xf>
    <xf numFmtId="3" fontId="20" fillId="0" borderId="0" xfId="0" applyNumberFormat="1" applyFont="1" applyAlignment="1">
      <alignment vertical="center"/>
    </xf>
    <xf numFmtId="168" fontId="20" fillId="0" borderId="0" xfId="3" applyNumberFormat="1" applyFont="1" applyAlignment="1">
      <alignment vertical="center"/>
    </xf>
    <xf numFmtId="168" fontId="19" fillId="0" borderId="0" xfId="3" applyNumberFormat="1" applyFont="1" applyAlignment="1">
      <alignment vertical="center"/>
    </xf>
    <xf numFmtId="10" fontId="19" fillId="0" borderId="0" xfId="0" applyNumberFormat="1" applyFont="1" applyAlignment="1">
      <alignment vertical="center"/>
    </xf>
    <xf numFmtId="0" fontId="25" fillId="0" borderId="0" xfId="0" applyFont="1" applyAlignment="1">
      <alignment horizontal="left" vertical="center"/>
    </xf>
    <xf numFmtId="168" fontId="19" fillId="0" borderId="0" xfId="3" applyNumberFormat="1" applyFont="1" applyFill="1" applyAlignment="1">
      <alignment vertical="center"/>
    </xf>
    <xf numFmtId="0" fontId="29" fillId="0" borderId="0" xfId="0" applyFont="1" applyAlignment="1">
      <alignment horizontal="left"/>
    </xf>
    <xf numFmtId="9" fontId="29" fillId="0" borderId="0" xfId="0" applyNumberFormat="1" applyFont="1"/>
    <xf numFmtId="0" fontId="44" fillId="2" borderId="0" xfId="0" applyFont="1" applyFill="1" applyAlignment="1">
      <alignment horizontal="center" vertical="center"/>
    </xf>
    <xf numFmtId="0" fontId="29" fillId="0" borderId="0" xfId="0" applyFont="1" applyAlignment="1">
      <alignment wrapText="1"/>
    </xf>
    <xf numFmtId="0" fontId="32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center" vertical="center" wrapText="1"/>
    </xf>
    <xf numFmtId="0" fontId="19" fillId="0" borderId="0" xfId="0" applyFont="1" applyAlignment="1">
      <alignment vertical="center"/>
    </xf>
    <xf numFmtId="43" fontId="20" fillId="0" borderId="0" xfId="3" applyFont="1" applyAlignment="1">
      <alignment vertical="center"/>
    </xf>
    <xf numFmtId="43" fontId="20" fillId="0" borderId="0" xfId="3" applyFont="1" applyFill="1" applyAlignment="1">
      <alignment vertical="center"/>
    </xf>
    <xf numFmtId="10" fontId="20" fillId="0" borderId="0" xfId="2" applyNumberFormat="1" applyFont="1" applyFill="1" applyAlignment="1">
      <alignment vertical="center"/>
    </xf>
    <xf numFmtId="164" fontId="20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20" fillId="2" borderId="0" xfId="0" applyFont="1" applyFill="1" applyAlignment="1">
      <alignment vertical="center"/>
    </xf>
    <xf numFmtId="0" fontId="33" fillId="0" borderId="0" xfId="0" applyFont="1" applyAlignment="1">
      <alignment vertical="center"/>
    </xf>
    <xf numFmtId="167" fontId="29" fillId="0" borderId="0" xfId="2" applyNumberFormat="1" applyFont="1" applyAlignment="1">
      <alignment vertical="center"/>
    </xf>
    <xf numFmtId="0" fontId="29" fillId="0" borderId="2" xfId="0" applyFont="1" applyBorder="1" applyAlignment="1">
      <alignment vertical="center"/>
    </xf>
    <xf numFmtId="166" fontId="29" fillId="15" borderId="2" xfId="1" applyNumberFormat="1" applyFont="1" applyFill="1" applyBorder="1" applyAlignment="1">
      <alignment vertical="center"/>
    </xf>
    <xf numFmtId="9" fontId="29" fillId="15" borderId="0" xfId="2" applyFont="1" applyFill="1" applyBorder="1" applyAlignment="1">
      <alignment vertical="center"/>
    </xf>
    <xf numFmtId="166" fontId="29" fillId="15" borderId="0" xfId="1" applyNumberFormat="1" applyFont="1" applyFill="1" applyBorder="1" applyAlignment="1">
      <alignment vertical="center"/>
    </xf>
    <xf numFmtId="166" fontId="29" fillId="0" borderId="2" xfId="1" applyNumberFormat="1" applyFont="1" applyBorder="1" applyAlignment="1">
      <alignment vertical="center"/>
    </xf>
    <xf numFmtId="9" fontId="29" fillId="0" borderId="0" xfId="2" applyFont="1" applyBorder="1" applyAlignment="1">
      <alignment vertical="center"/>
    </xf>
    <xf numFmtId="166" fontId="29" fillId="0" borderId="0" xfId="1" applyNumberFormat="1" applyFont="1" applyBorder="1" applyAlignment="1">
      <alignment vertical="center"/>
    </xf>
    <xf numFmtId="0" fontId="33" fillId="3" borderId="1" xfId="0" applyFont="1" applyFill="1" applyBorder="1" applyAlignment="1">
      <alignment vertical="center"/>
    </xf>
    <xf numFmtId="166" fontId="33" fillId="3" borderId="1" xfId="1" applyNumberFormat="1" applyFont="1" applyFill="1" applyBorder="1" applyAlignment="1">
      <alignment vertical="center"/>
    </xf>
    <xf numFmtId="9" fontId="29" fillId="0" borderId="0" xfId="2" applyFont="1" applyAlignment="1">
      <alignment vertical="center"/>
    </xf>
    <xf numFmtId="167" fontId="29" fillId="0" borderId="0" xfId="0" applyNumberFormat="1" applyFont="1" applyAlignment="1">
      <alignment vertical="center"/>
    </xf>
    <xf numFmtId="4" fontId="29" fillId="0" borderId="0" xfId="0" applyNumberFormat="1" applyFont="1" applyAlignment="1">
      <alignment vertical="center"/>
    </xf>
    <xf numFmtId="167" fontId="42" fillId="0" borderId="0" xfId="0" applyNumberFormat="1" applyFont="1" applyAlignment="1">
      <alignment vertical="center"/>
    </xf>
    <xf numFmtId="166" fontId="33" fillId="15" borderId="1" xfId="1" applyNumberFormat="1" applyFont="1" applyFill="1" applyBorder="1" applyAlignment="1">
      <alignment vertical="center"/>
    </xf>
    <xf numFmtId="4" fontId="42" fillId="0" borderId="0" xfId="0" applyNumberFormat="1" applyFont="1" applyAlignment="1">
      <alignment vertical="center"/>
    </xf>
    <xf numFmtId="179" fontId="29" fillId="0" borderId="0" xfId="0" applyNumberFormat="1" applyFont="1" applyAlignment="1">
      <alignment vertical="center"/>
    </xf>
    <xf numFmtId="10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 wrapText="1"/>
    </xf>
    <xf numFmtId="0" fontId="33" fillId="6" borderId="1" xfId="0" applyFont="1" applyFill="1" applyBorder="1" applyAlignment="1">
      <alignment vertical="center"/>
    </xf>
    <xf numFmtId="166" fontId="29" fillId="0" borderId="0" xfId="1" applyNumberFormat="1" applyFont="1" applyAlignment="1">
      <alignment vertical="center"/>
    </xf>
    <xf numFmtId="165" fontId="29" fillId="0" borderId="0" xfId="1" applyFont="1" applyAlignment="1">
      <alignment vertical="center"/>
    </xf>
    <xf numFmtId="4" fontId="29" fillId="0" borderId="0" xfId="1" applyNumberFormat="1" applyFont="1" applyAlignment="1">
      <alignment vertical="center"/>
    </xf>
    <xf numFmtId="0" fontId="29" fillId="0" borderId="0" xfId="0" applyFont="1" applyAlignment="1">
      <alignment horizontal="center" vertical="center"/>
    </xf>
    <xf numFmtId="0" fontId="40" fillId="2" borderId="18" xfId="0" applyFont="1" applyFill="1" applyBorder="1" applyAlignment="1">
      <alignment horizontal="center" vertical="center" wrapText="1"/>
    </xf>
    <xf numFmtId="0" fontId="29" fillId="0" borderId="18" xfId="0" applyFont="1" applyBorder="1"/>
    <xf numFmtId="43" fontId="29" fillId="0" borderId="18" xfId="3" applyFont="1" applyBorder="1"/>
    <xf numFmtId="166" fontId="29" fillId="0" borderId="21" xfId="1" applyNumberFormat="1" applyFont="1" applyBorder="1"/>
    <xf numFmtId="166" fontId="19" fillId="4" borderId="4" xfId="1" applyNumberFormat="1" applyFont="1" applyFill="1" applyBorder="1"/>
    <xf numFmtId="166" fontId="29" fillId="0" borderId="21" xfId="1" applyNumberFormat="1" applyFont="1" applyFill="1" applyBorder="1"/>
    <xf numFmtId="166" fontId="19" fillId="4" borderId="5" xfId="1" applyNumberFormat="1" applyFont="1" applyFill="1" applyBorder="1"/>
    <xf numFmtId="166" fontId="29" fillId="0" borderId="18" xfId="1" applyNumberFormat="1" applyFont="1" applyBorder="1"/>
    <xf numFmtId="166" fontId="34" fillId="0" borderId="21" xfId="1" applyNumberFormat="1" applyFont="1" applyFill="1" applyBorder="1"/>
    <xf numFmtId="166" fontId="33" fillId="4" borderId="4" xfId="1" applyNumberFormat="1" applyFont="1" applyFill="1" applyBorder="1"/>
    <xf numFmtId="166" fontId="29" fillId="0" borderId="2" xfId="1" applyNumberFormat="1" applyFont="1" applyFill="1" applyBorder="1" applyAlignment="1">
      <alignment vertical="center"/>
    </xf>
    <xf numFmtId="166" fontId="29" fillId="0" borderId="0" xfId="1" applyNumberFormat="1" applyFont="1" applyFill="1" applyAlignment="1">
      <alignment vertical="center"/>
    </xf>
    <xf numFmtId="166" fontId="33" fillId="6" borderId="1" xfId="1" applyNumberFormat="1" applyFont="1" applyFill="1" applyBorder="1" applyAlignment="1">
      <alignment vertical="center"/>
    </xf>
    <xf numFmtId="0" fontId="33" fillId="0" borderId="2" xfId="0" applyFont="1" applyBorder="1"/>
    <xf numFmtId="0" fontId="45" fillId="0" borderId="0" xfId="0" applyFont="1"/>
    <xf numFmtId="166" fontId="29" fillId="0" borderId="0" xfId="1" applyNumberFormat="1" applyFont="1" applyFill="1"/>
    <xf numFmtId="166" fontId="33" fillId="0" borderId="0" xfId="1" applyNumberFormat="1" applyFont="1" applyFill="1" applyBorder="1"/>
    <xf numFmtId="0" fontId="31" fillId="0" borderId="2" xfId="0" applyFont="1" applyBorder="1"/>
    <xf numFmtId="166" fontId="42" fillId="0" borderId="2" xfId="1" applyNumberFormat="1" applyFont="1" applyFill="1" applyBorder="1"/>
    <xf numFmtId="0" fontId="42" fillId="0" borderId="0" xfId="0" applyFont="1"/>
    <xf numFmtId="0" fontId="33" fillId="0" borderId="2" xfId="0" applyFont="1" applyBorder="1" applyAlignment="1">
      <alignment horizontal="left"/>
    </xf>
    <xf numFmtId="0" fontId="33" fillId="3" borderId="1" xfId="0" applyFont="1" applyFill="1" applyBorder="1"/>
    <xf numFmtId="166" fontId="33" fillId="3" borderId="1" xfId="1" applyNumberFormat="1" applyFont="1" applyFill="1" applyBorder="1"/>
    <xf numFmtId="0" fontId="33" fillId="6" borderId="1" xfId="0" applyFont="1" applyFill="1" applyBorder="1"/>
    <xf numFmtId="166" fontId="33" fillId="6" borderId="1" xfId="1" applyNumberFormat="1" applyFont="1" applyFill="1" applyBorder="1"/>
    <xf numFmtId="0" fontId="33" fillId="7" borderId="7" xfId="0" applyFont="1" applyFill="1" applyBorder="1"/>
    <xf numFmtId="166" fontId="33" fillId="7" borderId="7" xfId="1" applyNumberFormat="1" applyFont="1" applyFill="1" applyBorder="1"/>
    <xf numFmtId="0" fontId="33" fillId="7" borderId="0" xfId="0" applyFont="1" applyFill="1"/>
    <xf numFmtId="166" fontId="33" fillId="7" borderId="0" xfId="1" applyNumberFormat="1" applyFont="1" applyFill="1" applyBorder="1"/>
    <xf numFmtId="166" fontId="29" fillId="0" borderId="0" xfId="1" quotePrefix="1" applyNumberFormat="1" applyFont="1" applyAlignment="1">
      <alignment horizontal="center"/>
    </xf>
    <xf numFmtId="10" fontId="29" fillId="0" borderId="0" xfId="2" applyNumberFormat="1" applyFont="1"/>
    <xf numFmtId="167" fontId="29" fillId="0" borderId="0" xfId="2" applyNumberFormat="1" applyFont="1" applyAlignment="1">
      <alignment horizontal="center" vertical="center"/>
    </xf>
    <xf numFmtId="167" fontId="29" fillId="0" borderId="0" xfId="2" applyNumberFormat="1" applyFont="1" applyFill="1" applyAlignment="1">
      <alignment horizontal="right" vertical="center"/>
    </xf>
    <xf numFmtId="167" fontId="33" fillId="4" borderId="0" xfId="2" applyNumberFormat="1" applyFont="1" applyFill="1" applyAlignment="1">
      <alignment horizontal="right" vertical="center"/>
    </xf>
    <xf numFmtId="167" fontId="33" fillId="4" borderId="0" xfId="2" applyNumberFormat="1" applyFont="1" applyFill="1" applyAlignment="1">
      <alignment horizontal="center" vertical="center"/>
    </xf>
    <xf numFmtId="9" fontId="29" fillId="0" borderId="0" xfId="1" applyNumberFormat="1" applyFont="1" applyAlignment="1">
      <alignment vertical="center"/>
    </xf>
    <xf numFmtId="0" fontId="46" fillId="0" borderId="0" xfId="0" applyFont="1" applyAlignment="1">
      <alignment vertical="center"/>
    </xf>
    <xf numFmtId="166" fontId="46" fillId="0" borderId="0" xfId="1" applyNumberFormat="1" applyFont="1" applyAlignment="1">
      <alignment vertical="center"/>
    </xf>
    <xf numFmtId="167" fontId="46" fillId="0" borderId="0" xfId="2" applyNumberFormat="1" applyFont="1" applyAlignment="1">
      <alignment vertical="center"/>
    </xf>
    <xf numFmtId="167" fontId="46" fillId="0" borderId="0" xfId="2" applyNumberFormat="1" applyFont="1" applyAlignment="1">
      <alignment horizontal="center" vertical="center"/>
    </xf>
    <xf numFmtId="167" fontId="15" fillId="0" borderId="10" xfId="23" applyNumberFormat="1" applyFont="1" applyBorder="1" applyAlignment="1">
      <alignment horizontal="center"/>
    </xf>
    <xf numFmtId="167" fontId="15" fillId="0" borderId="0" xfId="23" applyNumberFormat="1" applyFont="1" applyBorder="1" applyAlignment="1">
      <alignment horizontal="center"/>
    </xf>
    <xf numFmtId="168" fontId="14" fillId="0" borderId="10" xfId="3" applyNumberFormat="1" applyFont="1" applyBorder="1"/>
    <xf numFmtId="0" fontId="33" fillId="0" borderId="0" xfId="22" applyFont="1" applyAlignment="1">
      <alignment vertical="center"/>
    </xf>
    <xf numFmtId="10" fontId="29" fillId="0" borderId="10" xfId="23" applyNumberFormat="1" applyFont="1" applyFill="1" applyBorder="1" applyAlignment="1">
      <alignment horizontal="center" vertical="center"/>
    </xf>
    <xf numFmtId="0" fontId="47" fillId="0" borderId="0" xfId="24" applyFont="1" applyFill="1" applyBorder="1" applyAlignment="1">
      <alignment vertical="center"/>
    </xf>
    <xf numFmtId="0" fontId="14" fillId="0" borderId="0" xfId="22" applyFont="1" applyAlignment="1">
      <alignment vertical="center" wrapText="1"/>
    </xf>
    <xf numFmtId="0" fontId="34" fillId="0" borderId="0" xfId="22" applyFont="1" applyAlignment="1">
      <alignment vertical="center"/>
    </xf>
    <xf numFmtId="0" fontId="47" fillId="0" borderId="0" xfId="24" applyFont="1" applyFill="1" applyBorder="1" applyAlignment="1">
      <alignment vertical="center" wrapText="1"/>
    </xf>
    <xf numFmtId="0" fontId="15" fillId="0" borderId="10" xfId="22" quotePrefix="1" applyFont="1" applyBorder="1" applyAlignment="1">
      <alignment vertical="center"/>
    </xf>
    <xf numFmtId="2" fontId="33" fillId="0" borderId="10" xfId="23" applyNumberFormat="1" applyFont="1" applyFill="1" applyBorder="1" applyAlignment="1">
      <alignment horizontal="center" vertical="center"/>
    </xf>
    <xf numFmtId="0" fontId="15" fillId="0" borderId="0" xfId="22" applyFont="1" applyAlignment="1">
      <alignment vertical="center"/>
    </xf>
    <xf numFmtId="0" fontId="15" fillId="0" borderId="10" xfId="22" applyFont="1" applyBorder="1" applyAlignment="1">
      <alignment vertical="center"/>
    </xf>
    <xf numFmtId="167" fontId="33" fillId="0" borderId="10" xfId="23" applyNumberFormat="1" applyFont="1" applyFill="1" applyBorder="1" applyAlignment="1">
      <alignment horizontal="center" vertical="center"/>
    </xf>
    <xf numFmtId="167" fontId="33" fillId="0" borderId="10" xfId="23" applyNumberFormat="1" applyFont="1" applyBorder="1" applyAlignment="1">
      <alignment horizontal="center" vertical="center"/>
    </xf>
    <xf numFmtId="10" fontId="14" fillId="0" borderId="0" xfId="22" applyNumberFormat="1" applyFont="1" applyAlignment="1">
      <alignment horizontal="center"/>
    </xf>
    <xf numFmtId="10" fontId="31" fillId="8" borderId="10" xfId="22" applyNumberFormat="1" applyFont="1" applyFill="1" applyBorder="1" applyAlignment="1">
      <alignment horizontal="center" vertical="center"/>
    </xf>
    <xf numFmtId="0" fontId="29" fillId="0" borderId="10" xfId="0" applyFont="1" applyBorder="1"/>
    <xf numFmtId="3" fontId="14" fillId="0" borderId="10" xfId="22" applyNumberFormat="1" applyFont="1" applyBorder="1" applyAlignment="1">
      <alignment horizontal="center"/>
    </xf>
    <xf numFmtId="0" fontId="33" fillId="0" borderId="10" xfId="0" applyFont="1" applyBorder="1"/>
    <xf numFmtId="10" fontId="15" fillId="0" borderId="10" xfId="2" applyNumberFormat="1" applyFont="1" applyBorder="1" applyAlignment="1">
      <alignment horizontal="center"/>
    </xf>
    <xf numFmtId="0" fontId="15" fillId="0" borderId="10" xfId="22" applyFont="1" applyBorder="1"/>
    <xf numFmtId="2" fontId="15" fillId="0" borderId="10" xfId="22" applyNumberFormat="1" applyFont="1" applyBorder="1" applyAlignment="1">
      <alignment horizontal="center"/>
    </xf>
    <xf numFmtId="0" fontId="15" fillId="0" borderId="25" xfId="22" applyFont="1" applyBorder="1"/>
    <xf numFmtId="2" fontId="15" fillId="0" borderId="25" xfId="22" applyNumberFormat="1" applyFont="1" applyBorder="1" applyAlignment="1">
      <alignment horizontal="center"/>
    </xf>
    <xf numFmtId="3" fontId="14" fillId="0" borderId="25" xfId="22" applyNumberFormat="1" applyFont="1" applyBorder="1" applyAlignment="1">
      <alignment horizontal="center"/>
    </xf>
    <xf numFmtId="3" fontId="14" fillId="0" borderId="13" xfId="22" applyNumberFormat="1" applyFont="1" applyBorder="1" applyAlignment="1">
      <alignment horizontal="center"/>
    </xf>
    <xf numFmtId="0" fontId="15" fillId="14" borderId="10" xfId="22" applyFont="1" applyFill="1" applyBorder="1" applyAlignment="1">
      <alignment horizontal="center"/>
    </xf>
    <xf numFmtId="10" fontId="14" fillId="0" borderId="10" xfId="2" applyNumberFormat="1" applyFont="1" applyBorder="1"/>
    <xf numFmtId="10" fontId="14" fillId="0" borderId="0" xfId="2" applyNumberFormat="1" applyFont="1" applyBorder="1"/>
    <xf numFmtId="10" fontId="14" fillId="0" borderId="10" xfId="22" applyNumberFormat="1" applyFont="1" applyBorder="1"/>
    <xf numFmtId="0" fontId="24" fillId="0" borderId="0" xfId="0" applyFont="1" applyAlignment="1">
      <alignment horizontal="left" vertical="center"/>
    </xf>
    <xf numFmtId="0" fontId="11" fillId="20" borderId="4" xfId="0" applyFont="1" applyFill="1" applyBorder="1" applyAlignment="1">
      <alignment horizontal="center" vertical="center"/>
    </xf>
    <xf numFmtId="0" fontId="11" fillId="20" borderId="23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center"/>
    </xf>
    <xf numFmtId="0" fontId="33" fillId="4" borderId="0" xfId="0" applyFont="1" applyFill="1" applyAlignment="1">
      <alignment horizontal="center"/>
    </xf>
    <xf numFmtId="0" fontId="33" fillId="5" borderId="0" xfId="0" applyFont="1" applyFill="1" applyAlignment="1">
      <alignment horizontal="center"/>
    </xf>
    <xf numFmtId="0" fontId="33" fillId="4" borderId="3" xfId="0" applyFont="1" applyFill="1" applyBorder="1" applyAlignment="1">
      <alignment horizontal="center"/>
    </xf>
    <xf numFmtId="167" fontId="33" fillId="4" borderId="24" xfId="2" applyNumberFormat="1" applyFont="1" applyFill="1" applyBorder="1" applyAlignment="1">
      <alignment horizontal="center"/>
    </xf>
    <xf numFmtId="166" fontId="33" fillId="4" borderId="3" xfId="1" applyNumberFormat="1" applyFont="1" applyFill="1" applyBorder="1" applyAlignment="1">
      <alignment horizontal="center"/>
    </xf>
    <xf numFmtId="167" fontId="33" fillId="4" borderId="3" xfId="2" applyNumberFormat="1" applyFont="1" applyFill="1" applyBorder="1" applyAlignment="1">
      <alignment horizontal="center"/>
    </xf>
    <xf numFmtId="167" fontId="33" fillId="4" borderId="2" xfId="2" applyNumberFormat="1" applyFont="1" applyFill="1" applyBorder="1" applyAlignment="1">
      <alignment horizontal="center"/>
    </xf>
    <xf numFmtId="0" fontId="33" fillId="4" borderId="0" xfId="0" applyFont="1" applyFill="1" applyAlignment="1">
      <alignment horizontal="center" vertical="center"/>
    </xf>
    <xf numFmtId="0" fontId="19" fillId="18" borderId="0" xfId="0" applyFont="1" applyFill="1" applyAlignment="1">
      <alignment horizontal="center" vertical="center" wrapText="1"/>
    </xf>
    <xf numFmtId="0" fontId="32" fillId="18" borderId="0" xfId="0" applyFont="1" applyFill="1" applyAlignment="1">
      <alignment horizontal="center" vertical="center" wrapText="1"/>
    </xf>
    <xf numFmtId="0" fontId="37" fillId="0" borderId="18" xfId="22" applyFont="1" applyBorder="1" applyAlignment="1">
      <alignment horizontal="left"/>
    </xf>
    <xf numFmtId="0" fontId="37" fillId="0" borderId="0" xfId="22" applyFont="1" applyAlignment="1">
      <alignment horizontal="left"/>
    </xf>
    <xf numFmtId="0" fontId="37" fillId="0" borderId="19" xfId="22" applyFont="1" applyBorder="1" applyAlignment="1">
      <alignment horizontal="left"/>
    </xf>
    <xf numFmtId="0" fontId="37" fillId="0" borderId="18" xfId="22" applyFont="1" applyBorder="1" applyAlignment="1">
      <alignment horizontal="left" vertical="center"/>
    </xf>
    <xf numFmtId="0" fontId="37" fillId="0" borderId="0" xfId="22" applyFont="1" applyAlignment="1">
      <alignment horizontal="left" vertical="center"/>
    </xf>
    <xf numFmtId="0" fontId="37" fillId="0" borderId="19" xfId="22" applyFont="1" applyBorder="1" applyAlignment="1">
      <alignment horizontal="left" vertical="center"/>
    </xf>
    <xf numFmtId="0" fontId="37" fillId="0" borderId="18" xfId="22" applyFont="1" applyBorder="1" applyAlignment="1"/>
    <xf numFmtId="0" fontId="37" fillId="0" borderId="0" xfId="22" applyFont="1" applyAlignment="1"/>
    <xf numFmtId="0" fontId="37" fillId="0" borderId="19" xfId="22" applyFont="1" applyBorder="1" applyAlignment="1"/>
    <xf numFmtId="0" fontId="32" fillId="0" borderId="12" xfId="22" applyFont="1" applyBorder="1" applyAlignment="1">
      <alignment horizontal="center"/>
    </xf>
    <xf numFmtId="0" fontId="32" fillId="0" borderId="10" xfId="22" applyFont="1" applyBorder="1" applyAlignment="1">
      <alignment horizontal="center"/>
    </xf>
    <xf numFmtId="0" fontId="19" fillId="13" borderId="26" xfId="22" applyFont="1" applyFill="1" applyBorder="1" applyAlignment="1">
      <alignment horizontal="center" vertical="center"/>
    </xf>
    <xf numFmtId="0" fontId="19" fillId="13" borderId="7" xfId="22" applyFont="1" applyFill="1" applyBorder="1" applyAlignment="1">
      <alignment horizontal="center" vertical="center"/>
    </xf>
    <xf numFmtId="0" fontId="19" fillId="13" borderId="27" xfId="22" applyFont="1" applyFill="1" applyBorder="1" applyAlignment="1">
      <alignment horizontal="center" vertical="center"/>
    </xf>
    <xf numFmtId="0" fontId="37" fillId="0" borderId="10" xfId="22" applyFont="1" applyBorder="1" applyAlignment="1">
      <alignment horizontal="left" vertical="center"/>
    </xf>
    <xf numFmtId="0" fontId="37" fillId="0" borderId="10" xfId="22" applyFont="1" applyBorder="1" applyAlignment="1">
      <alignment horizontal="left" vertical="center" wrapText="1"/>
    </xf>
    <xf numFmtId="0" fontId="37" fillId="0" borderId="5" xfId="22" applyFont="1" applyBorder="1" applyAlignment="1">
      <alignment horizontal="left" vertical="center"/>
    </xf>
    <xf numFmtId="0" fontId="37" fillId="0" borderId="6" xfId="22" applyFont="1" applyBorder="1" applyAlignment="1">
      <alignment horizontal="left" vertical="center"/>
    </xf>
    <xf numFmtId="0" fontId="37" fillId="0" borderId="20" xfId="22" applyFont="1" applyBorder="1" applyAlignment="1">
      <alignment horizontal="left" vertical="center"/>
    </xf>
    <xf numFmtId="0" fontId="14" fillId="9" borderId="9" xfId="22" applyFont="1" applyFill="1" applyBorder="1" applyAlignment="1">
      <alignment horizontal="center" vertical="center" wrapText="1"/>
    </xf>
    <xf numFmtId="0" fontId="14" fillId="0" borderId="9" xfId="22" applyFont="1" applyBorder="1" applyAlignment="1">
      <alignment horizontal="center" vertical="center" wrapText="1"/>
    </xf>
    <xf numFmtId="0" fontId="14" fillId="0" borderId="0" xfId="22" applyFont="1" applyAlignment="1"/>
    <xf numFmtId="0" fontId="14" fillId="10" borderId="9" xfId="22" applyFont="1" applyFill="1" applyBorder="1" applyAlignment="1">
      <alignment horizontal="center" vertical="center" wrapText="1"/>
    </xf>
    <xf numFmtId="10" fontId="14" fillId="0" borderId="10" xfId="2" applyNumberFormat="1" applyFont="1" applyBorder="1" applyAlignment="1">
      <alignment horizontal="center"/>
    </xf>
    <xf numFmtId="10" fontId="14" fillId="0" borderId="25" xfId="22" applyNumberFormat="1" applyFont="1" applyBorder="1" applyAlignment="1">
      <alignment horizontal="center"/>
    </xf>
    <xf numFmtId="0" fontId="14" fillId="0" borderId="25" xfId="22" applyFont="1" applyBorder="1" applyAlignment="1">
      <alignment horizontal="center"/>
    </xf>
    <xf numFmtId="10" fontId="14" fillId="0" borderId="10" xfId="22" applyNumberFormat="1" applyFont="1" applyBorder="1" applyAlignment="1">
      <alignment horizontal="center"/>
    </xf>
    <xf numFmtId="0" fontId="14" fillId="0" borderId="10" xfId="22" applyFont="1" applyBorder="1" applyAlignment="1">
      <alignment horizontal="center"/>
    </xf>
    <xf numFmtId="0" fontId="14" fillId="0" borderId="18" xfId="22" applyFont="1" applyBorder="1" applyAlignment="1">
      <alignment horizontal="left"/>
    </xf>
    <xf numFmtId="0" fontId="14" fillId="0" borderId="0" xfId="22" applyFont="1" applyAlignment="1">
      <alignment horizontal="left"/>
    </xf>
    <xf numFmtId="0" fontId="14" fillId="0" borderId="19" xfId="22" applyFont="1" applyBorder="1" applyAlignment="1">
      <alignment horizontal="left"/>
    </xf>
    <xf numFmtId="0" fontId="14" fillId="0" borderId="18" xfId="22" applyFont="1" applyBorder="1" applyAlignment="1">
      <alignment horizontal="left" vertical="center"/>
    </xf>
    <xf numFmtId="0" fontId="14" fillId="0" borderId="0" xfId="22" applyFont="1" applyAlignment="1">
      <alignment horizontal="left" vertical="center"/>
    </xf>
    <xf numFmtId="0" fontId="14" fillId="0" borderId="19" xfId="22" applyFont="1" applyBorder="1" applyAlignment="1">
      <alignment horizontal="left" vertical="center"/>
    </xf>
    <xf numFmtId="0" fontId="14" fillId="0" borderId="5" xfId="22" applyFont="1" applyBorder="1" applyAlignment="1">
      <alignment horizontal="left" vertical="center"/>
    </xf>
    <xf numFmtId="0" fontId="14" fillId="0" borderId="6" xfId="22" applyFont="1" applyBorder="1" applyAlignment="1">
      <alignment horizontal="left" vertical="center"/>
    </xf>
    <xf numFmtId="0" fontId="14" fillId="0" borderId="20" xfId="22" applyFont="1" applyBorder="1" applyAlignment="1">
      <alignment horizontal="left" vertical="center"/>
    </xf>
    <xf numFmtId="0" fontId="15" fillId="0" borderId="12" xfId="22" applyFont="1" applyBorder="1" applyAlignment="1">
      <alignment horizontal="center"/>
    </xf>
    <xf numFmtId="0" fontId="15" fillId="0" borderId="10" xfId="22" applyFont="1" applyBorder="1" applyAlignment="1">
      <alignment horizontal="center"/>
    </xf>
    <xf numFmtId="0" fontId="14" fillId="0" borderId="26" xfId="22" applyFont="1" applyBorder="1" applyAlignment="1">
      <alignment horizontal="left"/>
    </xf>
    <xf numFmtId="0" fontId="14" fillId="0" borderId="7" xfId="22" applyFont="1" applyBorder="1" applyAlignment="1">
      <alignment horizontal="left"/>
    </xf>
    <xf numFmtId="0" fontId="14" fillId="0" borderId="27" xfId="22" applyFont="1" applyBorder="1" applyAlignment="1">
      <alignment horizontal="left"/>
    </xf>
    <xf numFmtId="0" fontId="14" fillId="0" borderId="18" xfId="22" applyFont="1" applyBorder="1" applyAlignment="1"/>
    <xf numFmtId="0" fontId="14" fillId="0" borderId="19" xfId="22" applyFont="1" applyBorder="1" applyAlignment="1"/>
  </cellXfs>
  <cellStyles count="26">
    <cellStyle name="Comma" xfId="3" builtinId="3"/>
    <cellStyle name="Currency" xfId="1" builtinId="4"/>
    <cellStyle name="Followed Hyperlink" xfId="9" builtinId="9" hidden="1"/>
    <cellStyle name="Followed Hyperlink" xfId="11" builtinId="9" hidden="1"/>
    <cellStyle name="Followed Hyperlink" xfId="7" builtinId="9" hidden="1"/>
    <cellStyle name="Followed Hyperlink" xfId="5" builtinId="9" hidden="1"/>
    <cellStyle name="Followed Hyperlink" xfId="13" builtinId="9" hidden="1"/>
    <cellStyle name="Followed Hyperlink" xfId="21" builtinId="9" hidden="1"/>
    <cellStyle name="Followed Hyperlink" xfId="15" builtinId="9" hidden="1"/>
    <cellStyle name="Followed Hyperlink" xfId="19" builtinId="9" hidden="1"/>
    <cellStyle name="Followed Hyperlink" xfId="17" builtinId="9" hidden="1"/>
    <cellStyle name="Hipervínculo 2" xfId="24" xr:uid="{2E206BA9-EF67-470B-9D70-05BF3ECACD54}"/>
    <cellStyle name="Hyperlink" xfId="6" builtinId="8" hidden="1"/>
    <cellStyle name="Hyperlink" xfId="4" builtinId="8" hidden="1"/>
    <cellStyle name="Hyperlink" xfId="10" builtinId="8" hidden="1"/>
    <cellStyle name="Hyperlink" xfId="20" builtinId="8" hidden="1"/>
    <cellStyle name="Hyperlink" xfId="16" builtinId="8" hidden="1"/>
    <cellStyle name="Hyperlink" xfId="8" builtinId="8" hidden="1"/>
    <cellStyle name="Hyperlink" xfId="14" builtinId="8" hidden="1"/>
    <cellStyle name="Hyperlink" xfId="18" builtinId="8" hidden="1"/>
    <cellStyle name="Hyperlink" xfId="12" builtinId="8" hidden="1"/>
    <cellStyle name="Hyperlink" xfId="25" builtinId="8"/>
    <cellStyle name="Normal" xfId="0" builtinId="0"/>
    <cellStyle name="Normal 2" xfId="22" xr:uid="{F863190E-B499-4F0F-8ED7-419BA5E7F728}"/>
    <cellStyle name="Percent" xfId="2" builtinId="5"/>
    <cellStyle name="Porcentaje 2" xfId="23" xr:uid="{E90A3BA8-6CEC-497F-B9B8-EEE871A5F019}"/>
  </cellStyles>
  <dxfs count="0"/>
  <tableStyles count="0" defaultTableStyle="TableStyleMedium2" defaultPivotStyle="PivotStyleLight16"/>
  <colors>
    <mruColors>
      <color rgb="FFBAD405"/>
      <color rgb="FF98AC04"/>
      <color rgb="FFA5BB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E123E-48E3-41A7-93B5-C705EA04A7FC}">
  <sheetPr>
    <tabColor theme="1"/>
  </sheetPr>
  <dimension ref="B19:P48"/>
  <sheetViews>
    <sheetView showGridLines="0" tabSelected="1" topLeftCell="A13" zoomScale="85" zoomScaleNormal="85" workbookViewId="0">
      <selection activeCell="K36" sqref="K36"/>
    </sheetView>
  </sheetViews>
  <sheetFormatPr defaultColWidth="11.453125" defaultRowHeight="14.5" x14ac:dyDescent="0.35"/>
  <cols>
    <col min="1" max="16384" width="11.453125" style="75"/>
  </cols>
  <sheetData>
    <row r="19" spans="2:16" ht="21" x14ac:dyDescent="0.5">
      <c r="B19" s="463" t="s">
        <v>480</v>
      </c>
      <c r="C19" s="183"/>
      <c r="D19" s="76"/>
      <c r="E19" s="76"/>
      <c r="F19" s="76"/>
      <c r="G19" s="76"/>
      <c r="H19" s="76"/>
      <c r="I19" s="77"/>
      <c r="J19" s="77"/>
      <c r="K19" s="77"/>
      <c r="L19" s="77"/>
      <c r="M19" s="77"/>
      <c r="N19" s="77"/>
      <c r="O19" s="77"/>
      <c r="P19" s="77"/>
    </row>
    <row r="20" spans="2:16" ht="18" x14ac:dyDescent="0.4">
      <c r="B20" s="183"/>
      <c r="C20" s="183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</row>
    <row r="21" spans="2:16" ht="18" x14ac:dyDescent="0.4">
      <c r="B21" s="183"/>
      <c r="C21" s="184" t="s">
        <v>0</v>
      </c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</row>
    <row r="22" spans="2:16" ht="18" x14ac:dyDescent="0.4">
      <c r="B22" s="183"/>
      <c r="C22" s="184" t="s">
        <v>39</v>
      </c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</row>
    <row r="23" spans="2:16" ht="18" x14ac:dyDescent="0.4">
      <c r="B23" s="183"/>
      <c r="C23" s="184" t="s">
        <v>60</v>
      </c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</row>
    <row r="24" spans="2:16" ht="18" x14ac:dyDescent="0.4">
      <c r="B24" s="183"/>
      <c r="C24" s="184" t="s">
        <v>129</v>
      </c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</row>
    <row r="25" spans="2:16" ht="18" x14ac:dyDescent="0.4">
      <c r="B25" s="183"/>
      <c r="C25" s="184" t="s">
        <v>134</v>
      </c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</row>
    <row r="26" spans="2:16" ht="18" x14ac:dyDescent="0.4">
      <c r="B26" s="183"/>
      <c r="C26" s="184" t="s">
        <v>137</v>
      </c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</row>
    <row r="27" spans="2:16" ht="18" x14ac:dyDescent="0.4">
      <c r="B27" s="183"/>
      <c r="C27" s="184" t="s">
        <v>145</v>
      </c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</row>
    <row r="28" spans="2:16" ht="15.5" x14ac:dyDescent="0.35">
      <c r="B28" s="79"/>
      <c r="C28" s="80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</row>
    <row r="29" spans="2:16" ht="15.5" x14ac:dyDescent="0.35">
      <c r="B29" s="79"/>
      <c r="C29" s="81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</row>
    <row r="30" spans="2:16" ht="18" x14ac:dyDescent="0.4">
      <c r="B30" s="463" t="s">
        <v>480</v>
      </c>
      <c r="C30" s="186"/>
      <c r="D30" s="183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</row>
    <row r="31" spans="2:16" ht="18" x14ac:dyDescent="0.4">
      <c r="B31" s="182"/>
      <c r="C31" s="186"/>
      <c r="D31" s="183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</row>
    <row r="32" spans="2:16" ht="18" x14ac:dyDescent="0.4">
      <c r="B32" s="183"/>
      <c r="C32" s="184" t="s">
        <v>166</v>
      </c>
      <c r="D32" s="18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</row>
    <row r="33" spans="2:16" ht="18" x14ac:dyDescent="0.4">
      <c r="B33" s="183"/>
      <c r="C33" s="184" t="s">
        <v>366</v>
      </c>
      <c r="D33" s="18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</row>
    <row r="34" spans="2:16" ht="18" x14ac:dyDescent="0.4">
      <c r="B34" s="183"/>
      <c r="C34" s="184" t="s">
        <v>340</v>
      </c>
      <c r="D34" s="18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</row>
    <row r="35" spans="2:16" ht="18" x14ac:dyDescent="0.4">
      <c r="B35" s="183"/>
      <c r="C35" s="184" t="s">
        <v>341</v>
      </c>
      <c r="D35" s="18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</row>
    <row r="36" spans="2:16" ht="18" x14ac:dyDescent="0.4">
      <c r="B36" s="183"/>
      <c r="C36" s="184" t="s">
        <v>483</v>
      </c>
      <c r="D36" s="18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</row>
    <row r="37" spans="2:16" ht="18" x14ac:dyDescent="0.4">
      <c r="B37" s="183"/>
      <c r="C37" s="184" t="s">
        <v>481</v>
      </c>
      <c r="D37" s="18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</row>
    <row r="38" spans="2:16" ht="18" x14ac:dyDescent="0.4">
      <c r="B38" s="183"/>
      <c r="C38" s="184" t="s">
        <v>482</v>
      </c>
      <c r="D38" s="183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</row>
    <row r="39" spans="2:16" ht="18" x14ac:dyDescent="0.4">
      <c r="B39" s="183"/>
      <c r="C39" s="184"/>
      <c r="D39" s="183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</row>
    <row r="40" spans="2:16" ht="15.5" x14ac:dyDescent="0.35">
      <c r="B40" s="79"/>
      <c r="C40" s="81"/>
      <c r="D40" s="79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</row>
    <row r="41" spans="2:16" ht="17.5" x14ac:dyDescent="0.35">
      <c r="B41" s="463" t="s">
        <v>484</v>
      </c>
      <c r="C41" s="81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</row>
    <row r="42" spans="2:16" ht="15.5" x14ac:dyDescent="0.35">
      <c r="B42" s="79"/>
      <c r="C42" s="81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</row>
    <row r="43" spans="2:16" ht="18" x14ac:dyDescent="0.4">
      <c r="B43" s="79"/>
      <c r="C43" s="184" t="s">
        <v>209</v>
      </c>
      <c r="D43" s="181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</row>
    <row r="44" spans="2:16" ht="18" x14ac:dyDescent="0.4">
      <c r="B44" s="79"/>
      <c r="C44" s="184" t="s">
        <v>217</v>
      </c>
      <c r="D44" s="181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</row>
    <row r="45" spans="2:16" ht="15.5" x14ac:dyDescent="0.35">
      <c r="B45" s="79"/>
      <c r="C45" s="81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</row>
    <row r="46" spans="2:16" ht="15.5" x14ac:dyDescent="0.35">
      <c r="B46" s="79"/>
      <c r="C46" s="80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</row>
    <row r="47" spans="2:16" ht="15.5" x14ac:dyDescent="0.35">
      <c r="B47" s="79"/>
      <c r="C47" s="80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</row>
    <row r="48" spans="2:16" ht="15.5" x14ac:dyDescent="0.35">
      <c r="B48" s="79"/>
      <c r="C48" s="79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</row>
  </sheetData>
  <hyperlinks>
    <hyperlink ref="C21" location="'Tabla A1.'!A1" display="Tabla A1. ARGOS. Estados consolidados de la situación financiera 2005-2011 (COP millones)" xr:uid="{DB99FEC3-412D-4B95-BB0C-77BD3D7F0BF3}"/>
    <hyperlink ref="C22" location="'Tabla A2.'!A1" display="Tabla A2. ARGOS. Estados de resultados consolidado 2005-2011 (COP millones)" xr:uid="{588CF781-58ED-483F-93BF-B7B907ED531A}"/>
    <hyperlink ref="C23" location="'Tabla A3.'!A1" display="Tabla A3. ARGOS. Estados de flujo de efectivo 2005-2011 (COP millones)" xr:uid="{9A78E3A1-F9FB-462F-8F1D-01FBE27C9108}"/>
    <hyperlink ref="C24" location="'Tabla A4.'!A1" display="Tabla A4. ARGOS. Partidas a escindir del balance general (COP millones)" xr:uid="{0150E10C-C915-4AA2-B0DE-41280E41E796}"/>
    <hyperlink ref="C25" location="'Tabla A5.'!A1" display="Tabla A5. ARGOS. Partidas a escindir del estado de resultados (COP millones)" xr:uid="{4F9014DC-A33B-4913-B345-32C14313390F}"/>
    <hyperlink ref="C26" location="'Tabla A6.'!A1" display="Tabla A6. ARGOS. Estado de resultados primer semestre 2012 (COP millones)" xr:uid="{415B375C-1E69-4581-A4C1-A0FC15B480D9}"/>
    <hyperlink ref="C27" location="'Tabla A7.'!A1" display="Tabla A7. ARGOS. Variables para el cálculo del costo de capital" xr:uid="{20B60AB0-CC7C-4989-8242-B906F8733C92}"/>
    <hyperlink ref="C32" location="'Tabla TN1.'!A1" display="Tabla TN1. ARGOS. Indicadores tradicionales y estratégicos 2011, 2012 y 2012 estimado" xr:uid="{91C5CF6F-EAEE-4A52-A199-AC56D260A234}"/>
    <hyperlink ref="C33" location="'Calculo WACC'!A13" display="Tabla TN2. Variables del cálculo del Kd" xr:uid="{6A8EB8E3-6B71-401E-9D92-8262CD9198FD}"/>
    <hyperlink ref="C34" location="'Calculo WACC'!G1" display="Tabla TN3. Estructura de capital comparables" xr:uid="{0F3CBE38-A920-4A4F-9F9A-4734C8C114DD}"/>
    <hyperlink ref="C35" location="'Calculo WACC'!L1" display="Tabla TN4. Beta histórico y beta ajustado" xr:uid="{1B459C3F-F67D-4436-AB05-E26FF4A69C35}"/>
    <hyperlink ref="C36" location="'Calculo WACC'!O1" display="Tabla TN5. Beta desapalancado comparables " xr:uid="{1703E3CA-F5ED-4601-9728-8A1B5DFBF156}"/>
    <hyperlink ref="C37" location="'Calculo WACC'!A27" display="Tabla TN6. ARGOS. Rango del WACC" xr:uid="{18F55D6B-DD93-431F-A015-544FDF69D2E0}"/>
    <hyperlink ref="C38" location="'TN7. Analisis de Opc. de Fin. '!B1" display="Tabla TN7. ARGOS. Análisis de variación de los indicadores con opciones de financiación" xr:uid="{CC3F0ACB-2680-4407-BD65-F23DD1979585}"/>
    <hyperlink ref="C43" location="'TN Tabla A1. Formulado'!A1" display="Tabla TNA1. Estado de la situación financiera real y estimado 2012 (COP millones)" xr:uid="{85DDDDA2-86B5-4509-966E-1BC5C985C7DD}"/>
    <hyperlink ref="C44" location="'TNA2. Formulado '!A1" display="Tabla TNA2. Estado de resultados real y estimado 2012 (COP millones)" xr:uid="{25B8932B-3766-46CE-AB6E-51E07ED8FE1D}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206FC-8D5E-4EDA-BB88-E17D3E0DA257}">
  <sheetPr>
    <tabColor theme="0" tint="-0.499984740745262"/>
  </sheetPr>
  <dimension ref="B1:AA34"/>
  <sheetViews>
    <sheetView showGridLines="0" zoomScale="130" zoomScaleNormal="130" workbookViewId="0"/>
  </sheetViews>
  <sheetFormatPr defaultColWidth="11.453125" defaultRowHeight="14.5" x14ac:dyDescent="0.35"/>
  <cols>
    <col min="1" max="1" width="1.453125" style="5" customWidth="1"/>
    <col min="2" max="2" width="29.26953125" style="5" bestFit="1" customWidth="1"/>
    <col min="3" max="3" width="35.7265625" style="5" bestFit="1" customWidth="1"/>
    <col min="4" max="4" width="31.26953125" style="5" bestFit="1" customWidth="1"/>
    <col min="5" max="5" width="8.7265625" style="5" bestFit="1" customWidth="1"/>
    <col min="6" max="7" width="8.26953125" style="5" bestFit="1" customWidth="1"/>
    <col min="8" max="8" width="11.453125" style="5" customWidth="1"/>
    <col min="28" max="16384" width="11.453125" style="5"/>
  </cols>
  <sheetData>
    <row r="1" spans="2:8" x14ac:dyDescent="0.35">
      <c r="F1" s="2"/>
      <c r="G1" s="63"/>
      <c r="H1" s="63"/>
    </row>
    <row r="2" spans="2:8" ht="17.5" x14ac:dyDescent="0.35">
      <c r="B2" s="105" t="s">
        <v>166</v>
      </c>
      <c r="F2" s="2"/>
      <c r="G2" s="63"/>
      <c r="H2" s="63"/>
    </row>
    <row r="3" spans="2:8" x14ac:dyDescent="0.35">
      <c r="F3" s="2"/>
      <c r="G3" s="63"/>
      <c r="H3" s="63"/>
    </row>
    <row r="4" spans="2:8" ht="26" x14ac:dyDescent="0.35">
      <c r="B4" s="139" t="s">
        <v>167</v>
      </c>
      <c r="C4" s="139" t="s">
        <v>168</v>
      </c>
      <c r="D4" s="139" t="s">
        <v>169</v>
      </c>
      <c r="E4" s="140" t="s">
        <v>170</v>
      </c>
      <c r="F4" s="140" t="s">
        <v>171</v>
      </c>
      <c r="G4" s="140" t="s">
        <v>172</v>
      </c>
      <c r="H4" s="85"/>
    </row>
    <row r="5" spans="2:8" x14ac:dyDescent="0.35">
      <c r="B5" s="466" t="s">
        <v>173</v>
      </c>
      <c r="C5" s="466" t="s">
        <v>174</v>
      </c>
      <c r="D5" s="90" t="s">
        <v>175</v>
      </c>
      <c r="E5" s="98">
        <f>'Indicadores Tradicionales'!G4</f>
        <v>0.5493871143998218</v>
      </c>
      <c r="F5" s="98">
        <f>'Indicadores Tradicionales'!H4</f>
        <v>0.75362552241201219</v>
      </c>
      <c r="G5" s="98">
        <f>+'Indicadores Tradicionales'!I4</f>
        <v>0.83754680422833749</v>
      </c>
      <c r="H5" s="82"/>
    </row>
    <row r="6" spans="2:8" x14ac:dyDescent="0.35">
      <c r="B6" s="466"/>
      <c r="C6" s="466"/>
      <c r="D6" s="90" t="s">
        <v>176</v>
      </c>
      <c r="E6" s="98">
        <f>'Indicadores Tradicionales'!G5</f>
        <v>0.41453366341384118</v>
      </c>
      <c r="F6" s="98">
        <f>'Indicadores Tradicionales'!H5</f>
        <v>0.55280966685427158</v>
      </c>
      <c r="G6" s="98">
        <f>'Indicadores Tradicionales'!I5</f>
        <v>0.64356311730098181</v>
      </c>
      <c r="H6" s="82"/>
    </row>
    <row r="7" spans="2:8" x14ac:dyDescent="0.35">
      <c r="B7" s="466"/>
      <c r="C7" s="466"/>
      <c r="D7" s="90" t="s">
        <v>177</v>
      </c>
      <c r="E7" s="98">
        <f>'Indicadores Tradicionales'!G6</f>
        <v>3.3018242305447743</v>
      </c>
      <c r="F7" s="98">
        <f>'Indicadores Tradicionales'!H6</f>
        <v>2.296611291757114</v>
      </c>
      <c r="G7" s="98">
        <f>'Indicadores Tradicionales'!I6</f>
        <v>2.1635783207148607</v>
      </c>
      <c r="H7" s="82"/>
    </row>
    <row r="8" spans="2:8" x14ac:dyDescent="0.35">
      <c r="B8" s="466"/>
      <c r="C8" s="466" t="s">
        <v>178</v>
      </c>
      <c r="D8" s="90" t="s">
        <v>179</v>
      </c>
      <c r="E8" s="95">
        <f>'Indicadores Tradicionales'!G10</f>
        <v>0.30286288129729066</v>
      </c>
      <c r="F8" s="95">
        <f>'Indicadores Tradicionales'!H10</f>
        <v>0.43542414146841113</v>
      </c>
      <c r="G8" s="95">
        <f>'Indicadores Tradicionales'!I10</f>
        <v>0.46219727311262454</v>
      </c>
      <c r="H8" s="83"/>
    </row>
    <row r="9" spans="2:8" x14ac:dyDescent="0.35">
      <c r="B9" s="466"/>
      <c r="C9" s="466"/>
      <c r="D9" s="90" t="s">
        <v>180</v>
      </c>
      <c r="E9" s="98">
        <f>'Indicadores Tradicionales'!G13</f>
        <v>1.4344380368970786</v>
      </c>
      <c r="F9" s="98">
        <f>'Indicadores Tradicionales'!H13</f>
        <v>1.7712411625266979</v>
      </c>
      <c r="G9" s="98">
        <f>'Indicadores Tradicionales'!I13</f>
        <v>1.8594178683095746</v>
      </c>
      <c r="H9" s="82"/>
    </row>
    <row r="10" spans="2:8" x14ac:dyDescent="0.35">
      <c r="B10" s="466"/>
      <c r="C10" s="466"/>
      <c r="D10" s="90" t="s">
        <v>181</v>
      </c>
      <c r="E10" s="95">
        <f>'Indicadores Tradicionales'!G14</f>
        <v>0.39138101536254205</v>
      </c>
      <c r="F10" s="95">
        <f>'Indicadores Tradicionales'!H14</f>
        <v>0.22884540360810812</v>
      </c>
      <c r="G10" s="95">
        <f>'Indicadores Tradicionales'!I14</f>
        <v>0.19597167787846403</v>
      </c>
      <c r="H10" s="83"/>
    </row>
    <row r="11" spans="2:8" x14ac:dyDescent="0.35">
      <c r="B11" s="466"/>
      <c r="C11" s="466"/>
      <c r="D11" s="90" t="s">
        <v>182</v>
      </c>
      <c r="E11" s="98">
        <f>'Indicadores Tradicionales'!G15</f>
        <v>1.3922679281292898</v>
      </c>
      <c r="F11" s="98">
        <f>'Indicadores Tradicionales'!H15</f>
        <v>1.8512248707254557</v>
      </c>
      <c r="G11" s="98">
        <f>'Indicadores Tradicionales'!I15</f>
        <v>1.9421527543553132</v>
      </c>
      <c r="H11" s="82"/>
    </row>
    <row r="12" spans="2:8" x14ac:dyDescent="0.35">
      <c r="B12" s="466"/>
      <c r="C12" s="466" t="s">
        <v>183</v>
      </c>
      <c r="D12" s="90" t="s">
        <v>184</v>
      </c>
      <c r="E12" s="95">
        <f>'Indicadores Tradicionales'!G19</f>
        <v>0.20832004492164607</v>
      </c>
      <c r="F12" s="95">
        <f>'Indicadores Tradicionales'!H19</f>
        <v>0.20818588651748826</v>
      </c>
      <c r="G12" s="95">
        <f>'Indicadores Tradicionales'!I19</f>
        <v>0.20832004492164602</v>
      </c>
      <c r="H12" s="83"/>
    </row>
    <row r="13" spans="2:8" x14ac:dyDescent="0.35">
      <c r="B13" s="466"/>
      <c r="C13" s="466"/>
      <c r="D13" s="90" t="s">
        <v>185</v>
      </c>
      <c r="E13" s="95">
        <f>'Indicadores Tradicionales'!G20</f>
        <v>7.4369584120416179E-2</v>
      </c>
      <c r="F13" s="95">
        <f>'Indicadores Tradicionales'!H20</f>
        <v>9.4641508193442914E-2</v>
      </c>
      <c r="G13" s="95">
        <f>'Indicadores Tradicionales'!I20</f>
        <v>9.0824406148113615E-2</v>
      </c>
      <c r="H13" s="83"/>
    </row>
    <row r="14" spans="2:8" x14ac:dyDescent="0.35">
      <c r="B14" s="466"/>
      <c r="C14" s="466"/>
      <c r="D14" s="90" t="s">
        <v>186</v>
      </c>
      <c r="E14" s="95">
        <f>'Indicadores Tradicionales'!G21</f>
        <v>0.10084855026835778</v>
      </c>
      <c r="F14" s="95">
        <f>'Indicadores Tradicionales'!H21</f>
        <v>8.848954876879768E-2</v>
      </c>
      <c r="G14" s="95">
        <f>'Indicadores Tradicionales'!I21</f>
        <v>9.9556139050137729E-2</v>
      </c>
      <c r="H14" s="83"/>
    </row>
    <row r="15" spans="2:8" x14ac:dyDescent="0.35">
      <c r="B15" s="466"/>
      <c r="C15" s="466" t="s">
        <v>187</v>
      </c>
      <c r="D15" s="90" t="s">
        <v>188</v>
      </c>
      <c r="E15" s="141">
        <f>'Indicadores Tradicionales'!G30</f>
        <v>0.21861602832621002</v>
      </c>
      <c r="F15" s="141">
        <f>'Indicadores Tradicionales'!H30</f>
        <v>0.42665960566163513</v>
      </c>
      <c r="G15" s="141">
        <f>'Indicadores Tradicionales'!I30</f>
        <v>0.39321037221931177</v>
      </c>
      <c r="H15" s="84"/>
    </row>
    <row r="16" spans="2:8" x14ac:dyDescent="0.35">
      <c r="B16" s="466"/>
      <c r="C16" s="466"/>
      <c r="D16" s="90" t="s">
        <v>189</v>
      </c>
      <c r="E16" s="141">
        <f>'Indicadores Tradicionales'!G32</f>
        <v>79.34702789339832</v>
      </c>
      <c r="F16" s="141">
        <f>'Indicadores Tradicionales'!H32</f>
        <v>70.979343634235562</v>
      </c>
      <c r="G16" s="141">
        <f>'Indicadores Tradicionales'!I32</f>
        <v>70.11096413600373</v>
      </c>
      <c r="H16" s="84"/>
    </row>
    <row r="17" spans="2:8" x14ac:dyDescent="0.35">
      <c r="B17" s="466"/>
      <c r="C17" s="466"/>
      <c r="D17" s="90" t="s">
        <v>190</v>
      </c>
      <c r="E17" s="141">
        <f>'Indicadores Tradicionales'!G34</f>
        <v>41.282063377020449</v>
      </c>
      <c r="F17" s="141">
        <f>'Indicadores Tradicionales'!H34</f>
        <v>37.988333140644386</v>
      </c>
      <c r="G17" s="141">
        <f>'Indicadores Tradicionales'!I34</f>
        <v>36.872566185911523</v>
      </c>
      <c r="H17" s="84"/>
    </row>
    <row r="18" spans="2:8" x14ac:dyDescent="0.35">
      <c r="B18" s="466"/>
      <c r="C18" s="466"/>
      <c r="D18" s="90" t="s">
        <v>191</v>
      </c>
      <c r="E18" s="141">
        <f>'Indicadores Tradicionales'!G36</f>
        <v>84.724970862821991</v>
      </c>
      <c r="F18" s="141">
        <f>'Indicadores Tradicionales'!H36</f>
        <v>70.895761429361812</v>
      </c>
      <c r="G18" s="141">
        <f>'Indicadores Tradicionales'!I36</f>
        <v>71.898046468516313</v>
      </c>
      <c r="H18" s="84"/>
    </row>
    <row r="19" spans="2:8" x14ac:dyDescent="0.35">
      <c r="B19" s="466"/>
      <c r="C19" s="466"/>
      <c r="D19" s="90" t="s">
        <v>192</v>
      </c>
      <c r="E19" s="141">
        <f>'Indicadores Tradicionales'!G37</f>
        <v>120.62909127041877</v>
      </c>
      <c r="F19" s="141">
        <f>'Indicadores Tradicionales'!H37</f>
        <v>108.96767677487995</v>
      </c>
      <c r="G19" s="141">
        <f>'Indicadores Tradicionales'!I37</f>
        <v>106.98353032191525</v>
      </c>
      <c r="H19" s="84"/>
    </row>
    <row r="20" spans="2:8" x14ac:dyDescent="0.35">
      <c r="B20" s="466"/>
      <c r="C20" s="466"/>
      <c r="D20" s="90" t="s">
        <v>193</v>
      </c>
      <c r="E20" s="141">
        <f>'Indicadores Tradicionales'!G38</f>
        <v>35.904120407596778</v>
      </c>
      <c r="F20" s="141">
        <f>'Indicadores Tradicionales'!H38</f>
        <v>38.071915345518136</v>
      </c>
      <c r="G20" s="141">
        <f>'Indicadores Tradicionales'!I38</f>
        <v>35.085483853398941</v>
      </c>
      <c r="H20" s="84"/>
    </row>
    <row r="21" spans="2:8" x14ac:dyDescent="0.35">
      <c r="B21" s="467" t="s">
        <v>194</v>
      </c>
      <c r="C21" s="466" t="s">
        <v>195</v>
      </c>
      <c r="D21" s="90" t="s">
        <v>196</v>
      </c>
      <c r="E21" s="142">
        <f>'Indicadores Estratégicos'!G5</f>
        <v>681544</v>
      </c>
      <c r="F21" s="142">
        <f>'Indicadores Estratégicos'!H5</f>
        <v>791190</v>
      </c>
      <c r="G21" s="142">
        <f>'Indicadores Estratégicos'!I5</f>
        <v>798710.99999999988</v>
      </c>
      <c r="H21" s="64"/>
    </row>
    <row r="22" spans="2:8" x14ac:dyDescent="0.35">
      <c r="B22" s="467"/>
      <c r="C22" s="466"/>
      <c r="D22" s="90" t="s">
        <v>197</v>
      </c>
      <c r="E22" s="143">
        <f>'Indicadores Estratégicos'!G6</f>
        <v>0.18577717446117195</v>
      </c>
      <c r="F22" s="143">
        <f>'Indicadores Estratégicos'!H6</f>
        <v>0.18062077991632258</v>
      </c>
      <c r="G22" s="143">
        <f>'Indicadores Estratégicos'!I6</f>
        <v>0.18600628784350254</v>
      </c>
      <c r="H22" s="86"/>
    </row>
    <row r="23" spans="2:8" x14ac:dyDescent="0.35">
      <c r="B23" s="467"/>
      <c r="C23" s="466"/>
      <c r="D23" s="90" t="s">
        <v>198</v>
      </c>
      <c r="E23" s="98">
        <f>'Indicadores Estratégicos'!G10</f>
        <v>0.28752802460296034</v>
      </c>
      <c r="F23" s="98">
        <f>'Indicadores Estratégicos'!H10</f>
        <v>0.28304452786309231</v>
      </c>
      <c r="G23" s="98">
        <f>'Indicadores Estratégicos'!I10</f>
        <v>0.25141521486104274</v>
      </c>
      <c r="H23" s="82"/>
    </row>
    <row r="24" spans="2:8" x14ac:dyDescent="0.35">
      <c r="B24" s="467"/>
      <c r="C24" s="466"/>
      <c r="D24" s="90" t="s">
        <v>199</v>
      </c>
      <c r="E24" s="98">
        <f>'Indicadores Estratégicos'!G11</f>
        <v>2.9185789912316737</v>
      </c>
      <c r="F24" s="98">
        <f>'Indicadores Estratégicos'!H11</f>
        <v>1.2930206397957507</v>
      </c>
      <c r="G24" s="98">
        <f>'Indicadores Estratégicos'!I11</f>
        <v>1.2384204048773588</v>
      </c>
      <c r="H24" s="82"/>
    </row>
    <row r="25" spans="2:8" x14ac:dyDescent="0.35">
      <c r="B25" s="467"/>
      <c r="C25" s="466" t="s">
        <v>200</v>
      </c>
      <c r="D25" s="90" t="s">
        <v>201</v>
      </c>
      <c r="E25" s="142">
        <f>'Indicadores Estratégicos'!G18</f>
        <v>255966.0433175716</v>
      </c>
      <c r="F25" s="142">
        <f>'Indicadores Estratégicos'!H18</f>
        <v>397575.11425178149</v>
      </c>
      <c r="G25" s="142">
        <f>'Indicadores Estratégicos'!I18</f>
        <v>365624.80400477402</v>
      </c>
      <c r="H25" s="64"/>
    </row>
    <row r="26" spans="2:8" x14ac:dyDescent="0.35">
      <c r="B26" s="467"/>
      <c r="C26" s="466"/>
      <c r="D26" s="90" t="s">
        <v>202</v>
      </c>
      <c r="E26" s="142">
        <f>'Indicadores Estratégicos'!G21</f>
        <v>4331571</v>
      </c>
      <c r="F26" s="142">
        <f>'Indicadores Estratégicos'!H21</f>
        <v>3928156</v>
      </c>
      <c r="G26" s="142">
        <f>'Indicadores Estratégicos'!I21</f>
        <v>4211517</v>
      </c>
      <c r="H26" s="64"/>
    </row>
    <row r="27" spans="2:8" x14ac:dyDescent="0.35">
      <c r="B27" s="467"/>
      <c r="C27" s="466"/>
      <c r="D27" s="90" t="s">
        <v>203</v>
      </c>
      <c r="E27" s="142">
        <f>'Indicadores Estratégicos'!G22</f>
        <v>391140.92977400636</v>
      </c>
      <c r="F27" s="142">
        <f>'Indicadores Estratégicos'!H22</f>
        <v>354712.5488967725</v>
      </c>
      <c r="G27" s="142">
        <f>'Indicadores Estratégicos'!I22</f>
        <v>380300.051676178</v>
      </c>
      <c r="H27" s="64"/>
    </row>
    <row r="28" spans="2:8" x14ac:dyDescent="0.35">
      <c r="B28" s="467"/>
      <c r="C28" s="466"/>
      <c r="D28" s="90" t="s">
        <v>204</v>
      </c>
      <c r="E28" s="142">
        <f>'Indicadores Estratégicos'!G23</f>
        <v>-135174.88645643476</v>
      </c>
      <c r="F28" s="142">
        <f>'Indicadores Estratégicos'!H23</f>
        <v>42862.565355008992</v>
      </c>
      <c r="G28" s="142">
        <f>'Indicadores Estratégicos'!I23</f>
        <v>-14675.24767140398</v>
      </c>
      <c r="H28" s="64"/>
    </row>
    <row r="29" spans="2:8" x14ac:dyDescent="0.35">
      <c r="B29" s="467"/>
      <c r="C29" s="466"/>
      <c r="D29" s="90" t="s">
        <v>205</v>
      </c>
      <c r="E29" s="95">
        <f>'Indicadores Estratégicos'!G24</f>
        <v>5.9093119636633364E-2</v>
      </c>
      <c r="F29" s="95">
        <f>'Indicadores Estratégicos'!H24</f>
        <v>0.10121164084414709</v>
      </c>
      <c r="G29" s="95">
        <f>'Indicadores Estratégicos'!I24</f>
        <v>8.6815464357563793E-2</v>
      </c>
      <c r="H29" s="83"/>
    </row>
    <row r="30" spans="2:8" ht="21" customHeight="1" x14ac:dyDescent="0.35">
      <c r="B30" s="467"/>
      <c r="C30" s="466" t="s">
        <v>206</v>
      </c>
      <c r="D30" s="90" t="s">
        <v>207</v>
      </c>
      <c r="E30" s="142">
        <f>'Indicadores Estratégicos'!G16</f>
        <v>11840431</v>
      </c>
      <c r="F30" s="142">
        <f>'Indicadores Estratégicos'!H16</f>
        <v>6762195</v>
      </c>
      <c r="G30" s="142">
        <f>'Indicadores Estratégicos'!I16</f>
        <v>7273038</v>
      </c>
      <c r="H30" s="64"/>
    </row>
    <row r="31" spans="2:8" x14ac:dyDescent="0.35">
      <c r="B31" s="467"/>
      <c r="C31" s="466"/>
      <c r="D31" s="90" t="s">
        <v>208</v>
      </c>
      <c r="E31" s="95">
        <f>'Indicadores Estratégicos'!G20</f>
        <v>1.5438467569297096E-2</v>
      </c>
      <c r="F31" s="95">
        <f>'Indicadores Estratégicos'!H20</f>
        <v>4.1075403770521254E-2</v>
      </c>
      <c r="G31" s="95">
        <f>'Indicadores Estratégicos'!I20</f>
        <v>3.5927215009738694E-2</v>
      </c>
      <c r="H31" s="83"/>
    </row>
    <row r="32" spans="2:8" x14ac:dyDescent="0.35">
      <c r="B32" s="60"/>
      <c r="E32" s="64"/>
      <c r="F32" s="64"/>
      <c r="G32" s="64"/>
      <c r="H32" s="64"/>
    </row>
    <row r="33" spans="2:8" x14ac:dyDescent="0.35">
      <c r="B33" s="60"/>
      <c r="E33" s="64"/>
      <c r="F33" s="64"/>
      <c r="G33" s="64"/>
      <c r="H33" s="64"/>
    </row>
    <row r="34" spans="2:8" x14ac:dyDescent="0.35">
      <c r="B34" s="60"/>
      <c r="E34" s="64"/>
      <c r="F34" s="64"/>
      <c r="G34" s="64"/>
      <c r="H34" s="64"/>
    </row>
  </sheetData>
  <mergeCells count="9">
    <mergeCell ref="C21:C24"/>
    <mergeCell ref="C25:C29"/>
    <mergeCell ref="B21:B31"/>
    <mergeCell ref="C30:C31"/>
    <mergeCell ref="B5:B20"/>
    <mergeCell ref="C5:C7"/>
    <mergeCell ref="C8:C11"/>
    <mergeCell ref="C12:C14"/>
    <mergeCell ref="C15:C2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37600-7E0D-4B25-B3C3-53F296E18BB6}">
  <sheetPr>
    <tabColor theme="0" tint="-0.499984740745262"/>
  </sheetPr>
  <dimension ref="B2:I163"/>
  <sheetViews>
    <sheetView showGridLines="0" zoomScale="120" zoomScaleNormal="120" workbookViewId="0">
      <selection activeCell="E41" sqref="E41"/>
    </sheetView>
  </sheetViews>
  <sheetFormatPr defaultColWidth="11.453125" defaultRowHeight="14.5" x14ac:dyDescent="0.35"/>
  <cols>
    <col min="1" max="1" width="2.453125" style="5" customWidth="1"/>
    <col min="2" max="2" width="30.54296875" style="5" customWidth="1"/>
    <col min="3" max="5" width="10.54296875" style="5" customWidth="1"/>
    <col min="6" max="6" width="9.26953125" style="5" bestFit="1" customWidth="1"/>
    <col min="7" max="7" width="11.54296875" style="5" customWidth="1"/>
    <col min="8" max="8" width="11.7265625" style="5" customWidth="1"/>
    <col min="9" max="9" width="7.81640625" style="5" customWidth="1"/>
    <col min="10" max="16384" width="11.453125" style="5"/>
  </cols>
  <sheetData>
    <row r="2" spans="2:9" ht="17.5" x14ac:dyDescent="0.35">
      <c r="B2" s="105" t="s">
        <v>209</v>
      </c>
      <c r="H2" s="144"/>
    </row>
    <row r="3" spans="2:9" x14ac:dyDescent="0.35">
      <c r="H3" s="144"/>
    </row>
    <row r="4" spans="2:9" ht="46.5" customHeight="1" x14ac:dyDescent="0.35">
      <c r="B4" s="149" t="s">
        <v>1</v>
      </c>
      <c r="C4" s="150" t="s">
        <v>210</v>
      </c>
      <c r="D4" s="150" t="s">
        <v>211</v>
      </c>
      <c r="E4" s="150" t="s">
        <v>212</v>
      </c>
      <c r="F4" s="150" t="s">
        <v>213</v>
      </c>
      <c r="G4" s="150" t="s">
        <v>214</v>
      </c>
      <c r="H4" s="151" t="s">
        <v>215</v>
      </c>
    </row>
    <row r="5" spans="2:9" x14ac:dyDescent="0.35">
      <c r="B5" s="28" t="s">
        <v>4</v>
      </c>
      <c r="C5" s="15"/>
      <c r="D5" s="16"/>
      <c r="E5" s="16"/>
      <c r="F5" s="16"/>
      <c r="G5" s="16"/>
      <c r="H5" s="70"/>
    </row>
    <row r="6" spans="2:9" x14ac:dyDescent="0.35">
      <c r="B6" s="20" t="s">
        <v>5</v>
      </c>
      <c r="C6" s="18"/>
      <c r="D6" s="18"/>
      <c r="E6" s="18"/>
      <c r="F6" s="18"/>
      <c r="G6" s="18"/>
      <c r="H6" s="71"/>
    </row>
    <row r="7" spans="2:9" x14ac:dyDescent="0.35">
      <c r="B7" s="20" t="s">
        <v>6</v>
      </c>
      <c r="C7" s="21">
        <v>262952</v>
      </c>
      <c r="D7" s="21">
        <v>0</v>
      </c>
      <c r="E7" s="21">
        <f t="shared" ref="E7:E13" si="0">+C7-D7</f>
        <v>262952</v>
      </c>
      <c r="F7" s="21">
        <v>0</v>
      </c>
      <c r="G7" s="21">
        <f>+E7+F7</f>
        <v>262952</v>
      </c>
      <c r="H7" s="72">
        <v>155106</v>
      </c>
      <c r="I7" s="8"/>
    </row>
    <row r="8" spans="2:9" x14ac:dyDescent="0.35">
      <c r="B8" s="20" t="s">
        <v>7</v>
      </c>
      <c r="C8" s="21">
        <v>27983</v>
      </c>
      <c r="D8" s="21">
        <v>0</v>
      </c>
      <c r="E8" s="21">
        <f t="shared" si="0"/>
        <v>27983</v>
      </c>
      <c r="F8" s="21">
        <v>0</v>
      </c>
      <c r="G8" s="21">
        <f t="shared" ref="G8:G13" si="1">+E8+F8</f>
        <v>27983</v>
      </c>
      <c r="H8" s="72">
        <v>1759</v>
      </c>
    </row>
    <row r="9" spans="2:9" x14ac:dyDescent="0.35">
      <c r="B9" s="20" t="s">
        <v>8</v>
      </c>
      <c r="C9" s="21">
        <v>837267</v>
      </c>
      <c r="D9" s="21">
        <v>26442</v>
      </c>
      <c r="E9" s="21">
        <f t="shared" si="0"/>
        <v>810825</v>
      </c>
      <c r="F9" s="21">
        <v>0</v>
      </c>
      <c r="G9" s="21">
        <f t="shared" si="1"/>
        <v>810825</v>
      </c>
      <c r="H9" s="72">
        <v>796519</v>
      </c>
      <c r="I9" s="8"/>
    </row>
    <row r="10" spans="2:9" x14ac:dyDescent="0.35">
      <c r="B10" s="20" t="s">
        <v>9</v>
      </c>
      <c r="C10" s="21">
        <v>376626</v>
      </c>
      <c r="D10" s="21">
        <v>35631</v>
      </c>
      <c r="E10" s="21">
        <f t="shared" si="0"/>
        <v>340995</v>
      </c>
      <c r="F10" s="21">
        <v>0</v>
      </c>
      <c r="G10" s="21">
        <f t="shared" si="1"/>
        <v>340995</v>
      </c>
      <c r="H10" s="72">
        <v>355379</v>
      </c>
      <c r="I10" s="8"/>
    </row>
    <row r="11" spans="2:9" x14ac:dyDescent="0.35">
      <c r="B11" s="20" t="s">
        <v>10</v>
      </c>
      <c r="C11" s="21">
        <v>29530</v>
      </c>
      <c r="D11" s="21">
        <v>0</v>
      </c>
      <c r="E11" s="21">
        <f t="shared" si="0"/>
        <v>29530</v>
      </c>
      <c r="F11" s="21">
        <v>0</v>
      </c>
      <c r="G11" s="21">
        <f t="shared" si="1"/>
        <v>29530</v>
      </c>
      <c r="H11" s="72">
        <v>24910</v>
      </c>
    </row>
    <row r="12" spans="2:9" x14ac:dyDescent="0.35">
      <c r="B12" s="20" t="s">
        <v>216</v>
      </c>
      <c r="C12" s="21">
        <v>0</v>
      </c>
      <c r="D12" s="21">
        <v>0</v>
      </c>
      <c r="E12" s="21">
        <f t="shared" si="0"/>
        <v>0</v>
      </c>
      <c r="F12" s="21">
        <v>0</v>
      </c>
      <c r="G12" s="21">
        <f t="shared" si="1"/>
        <v>0</v>
      </c>
      <c r="H12" s="72">
        <v>0</v>
      </c>
    </row>
    <row r="13" spans="2:9" x14ac:dyDescent="0.35">
      <c r="B13" s="20" t="s">
        <v>12</v>
      </c>
      <c r="C13" s="21">
        <v>0</v>
      </c>
      <c r="D13" s="21">
        <v>0</v>
      </c>
      <c r="E13" s="21">
        <f t="shared" si="0"/>
        <v>0</v>
      </c>
      <c r="F13" s="21">
        <v>0</v>
      </c>
      <c r="G13" s="21">
        <f t="shared" si="1"/>
        <v>0</v>
      </c>
      <c r="H13" s="72">
        <v>0</v>
      </c>
    </row>
    <row r="14" spans="2:9" x14ac:dyDescent="0.35">
      <c r="B14" s="20" t="s">
        <v>13</v>
      </c>
      <c r="C14" s="25">
        <f>SUM(C7:C13)</f>
        <v>1534358</v>
      </c>
      <c r="D14" s="25">
        <f>SUM(D7:D13)</f>
        <v>62073</v>
      </c>
      <c r="E14" s="25">
        <f>SUM(E7:E13)</f>
        <v>1472285</v>
      </c>
      <c r="F14" s="25">
        <f t="shared" ref="F14:G14" si="2">SUM(F7:F13)</f>
        <v>0</v>
      </c>
      <c r="G14" s="25">
        <f t="shared" si="2"/>
        <v>1472285</v>
      </c>
      <c r="H14" s="73">
        <v>1333673</v>
      </c>
    </row>
    <row r="15" spans="2:9" x14ac:dyDescent="0.35">
      <c r="B15" s="20" t="s">
        <v>14</v>
      </c>
      <c r="C15" s="21"/>
      <c r="D15" s="21"/>
      <c r="E15" s="21"/>
      <c r="F15" s="21"/>
      <c r="G15" s="21"/>
      <c r="H15" s="72"/>
    </row>
    <row r="16" spans="2:9" x14ac:dyDescent="0.35">
      <c r="B16" s="20" t="s">
        <v>15</v>
      </c>
      <c r="C16" s="21">
        <v>53815</v>
      </c>
      <c r="D16" s="21">
        <v>28341</v>
      </c>
      <c r="E16" s="21">
        <f t="shared" ref="E16:E22" si="3">+C16-D16</f>
        <v>25474</v>
      </c>
      <c r="F16" s="21">
        <v>0</v>
      </c>
      <c r="G16" s="21">
        <f t="shared" ref="G16:G22" si="4">+E16+F16</f>
        <v>25474</v>
      </c>
      <c r="H16" s="72">
        <v>39718</v>
      </c>
    </row>
    <row r="17" spans="2:9" x14ac:dyDescent="0.35">
      <c r="B17" s="20" t="s">
        <v>16</v>
      </c>
      <c r="C17" s="21">
        <v>299457</v>
      </c>
      <c r="D17" s="21">
        <v>215472</v>
      </c>
      <c r="E17" s="21">
        <f t="shared" si="3"/>
        <v>83985</v>
      </c>
      <c r="F17" s="21">
        <v>0</v>
      </c>
      <c r="G17" s="21">
        <f t="shared" si="4"/>
        <v>83985</v>
      </c>
      <c r="H17" s="72">
        <v>145095</v>
      </c>
    </row>
    <row r="18" spans="2:9" x14ac:dyDescent="0.35">
      <c r="B18" s="20" t="s">
        <v>11</v>
      </c>
      <c r="C18" s="25">
        <v>4177137</v>
      </c>
      <c r="D18" s="25">
        <v>38777</v>
      </c>
      <c r="E18" s="25">
        <f t="shared" si="3"/>
        <v>4138360</v>
      </c>
      <c r="F18" s="25">
        <v>0</v>
      </c>
      <c r="G18" s="25">
        <f t="shared" si="4"/>
        <v>4138360</v>
      </c>
      <c r="H18" s="73">
        <v>3779319</v>
      </c>
      <c r="I18" s="8"/>
    </row>
    <row r="19" spans="2:9" x14ac:dyDescent="0.35">
      <c r="B19" s="20" t="s">
        <v>17</v>
      </c>
      <c r="C19" s="21">
        <v>1466387</v>
      </c>
      <c r="D19" s="21">
        <v>6107</v>
      </c>
      <c r="E19" s="21">
        <f t="shared" si="3"/>
        <v>1460280</v>
      </c>
      <c r="F19" s="21">
        <v>0</v>
      </c>
      <c r="G19" s="21">
        <f t="shared" si="4"/>
        <v>1460280</v>
      </c>
      <c r="H19" s="72">
        <v>1375489</v>
      </c>
      <c r="I19" s="8"/>
    </row>
    <row r="20" spans="2:9" x14ac:dyDescent="0.35">
      <c r="B20" s="20" t="s">
        <v>18</v>
      </c>
      <c r="C20" s="21">
        <v>26933</v>
      </c>
      <c r="D20" s="21">
        <v>8390</v>
      </c>
      <c r="E20" s="21">
        <f t="shared" si="3"/>
        <v>18543</v>
      </c>
      <c r="F20" s="21">
        <v>0</v>
      </c>
      <c r="G20" s="21">
        <f t="shared" si="4"/>
        <v>18543</v>
      </c>
      <c r="H20" s="72">
        <v>19437</v>
      </c>
      <c r="I20" s="8"/>
    </row>
    <row r="21" spans="2:9" x14ac:dyDescent="0.35">
      <c r="B21" s="20" t="s">
        <v>19</v>
      </c>
      <c r="C21" s="21">
        <v>9184742</v>
      </c>
      <c r="D21" s="21">
        <v>5501543</v>
      </c>
      <c r="E21" s="21">
        <f t="shared" si="3"/>
        <v>3683199</v>
      </c>
      <c r="F21" s="21">
        <v>0</v>
      </c>
      <c r="G21" s="21">
        <f t="shared" si="4"/>
        <v>3683199</v>
      </c>
      <c r="H21" s="72">
        <v>3573985</v>
      </c>
    </row>
    <row r="22" spans="2:9" x14ac:dyDescent="0.35">
      <c r="B22" s="20" t="s">
        <v>20</v>
      </c>
      <c r="C22" s="21">
        <v>38237</v>
      </c>
      <c r="D22" s="21">
        <v>0</v>
      </c>
      <c r="E22" s="21">
        <f t="shared" si="3"/>
        <v>38237</v>
      </c>
      <c r="F22" s="21">
        <v>0</v>
      </c>
      <c r="G22" s="21">
        <f t="shared" si="4"/>
        <v>38237</v>
      </c>
      <c r="H22" s="72">
        <v>0</v>
      </c>
    </row>
    <row r="23" spans="2:9" x14ac:dyDescent="0.35">
      <c r="B23" s="20" t="s">
        <v>21</v>
      </c>
      <c r="C23" s="25">
        <f t="shared" ref="C23" si="5">SUM(C16:C22)</f>
        <v>15246708</v>
      </c>
      <c r="D23" s="25">
        <f>SUM(D16:D22)</f>
        <v>5798630</v>
      </c>
      <c r="E23" s="25">
        <f>SUM(E16:E22)</f>
        <v>9448078</v>
      </c>
      <c r="F23" s="25">
        <f t="shared" ref="F23:G23" si="6">SUM(F16:F22)</f>
        <v>0</v>
      </c>
      <c r="G23" s="25">
        <f t="shared" si="6"/>
        <v>9448078</v>
      </c>
      <c r="H23" s="73">
        <v>8933043</v>
      </c>
    </row>
    <row r="24" spans="2:9" x14ac:dyDescent="0.35">
      <c r="B24" s="106" t="s">
        <v>22</v>
      </c>
      <c r="C24" s="136">
        <f t="shared" ref="C24:D24" si="7">C14+C23</f>
        <v>16781066</v>
      </c>
      <c r="D24" s="136">
        <f t="shared" si="7"/>
        <v>5860703</v>
      </c>
      <c r="E24" s="136">
        <f>E14+E23</f>
        <v>10920363</v>
      </c>
      <c r="F24" s="136">
        <f t="shared" ref="F24:G24" si="8">F14+F23</f>
        <v>0</v>
      </c>
      <c r="G24" s="136">
        <f t="shared" si="8"/>
        <v>10920363</v>
      </c>
      <c r="H24" s="121">
        <v>10266716</v>
      </c>
    </row>
    <row r="25" spans="2:9" x14ac:dyDescent="0.35">
      <c r="B25" s="28" t="s">
        <v>23</v>
      </c>
      <c r="C25" s="27"/>
      <c r="D25" s="27"/>
      <c r="E25" s="27"/>
      <c r="F25" s="27"/>
      <c r="G25" s="27"/>
      <c r="H25" s="74"/>
    </row>
    <row r="26" spans="2:9" x14ac:dyDescent="0.35">
      <c r="B26" s="20" t="s">
        <v>24</v>
      </c>
      <c r="C26" s="21"/>
      <c r="D26" s="21"/>
      <c r="E26" s="21"/>
      <c r="F26" s="21"/>
      <c r="G26" s="21"/>
      <c r="H26" s="72"/>
    </row>
    <row r="27" spans="2:9" x14ac:dyDescent="0.35">
      <c r="B27" s="20" t="s">
        <v>25</v>
      </c>
      <c r="C27" s="21">
        <v>1269423</v>
      </c>
      <c r="D27" s="25">
        <v>0</v>
      </c>
      <c r="E27" s="25">
        <v>1269423</v>
      </c>
      <c r="F27" s="25">
        <v>-1000000</v>
      </c>
      <c r="G27" s="25">
        <v>269423</v>
      </c>
      <c r="H27" s="73">
        <v>653308</v>
      </c>
      <c r="I27" s="8"/>
    </row>
    <row r="28" spans="2:9" x14ac:dyDescent="0.35">
      <c r="B28" s="20" t="s">
        <v>26</v>
      </c>
      <c r="C28" s="21">
        <v>199030</v>
      </c>
      <c r="D28" s="25">
        <v>0</v>
      </c>
      <c r="E28" s="25">
        <v>199030</v>
      </c>
      <c r="F28" s="25">
        <v>0</v>
      </c>
      <c r="G28" s="25">
        <v>199030</v>
      </c>
      <c r="H28" s="73">
        <v>0</v>
      </c>
    </row>
    <row r="29" spans="2:9" x14ac:dyDescent="0.35">
      <c r="B29" s="20" t="s">
        <v>27</v>
      </c>
      <c r="C29" s="21">
        <v>224002</v>
      </c>
      <c r="D29" s="25">
        <v>0</v>
      </c>
      <c r="E29" s="25">
        <v>224002</v>
      </c>
      <c r="F29" s="25">
        <v>0</v>
      </c>
      <c r="G29" s="25">
        <v>224002</v>
      </c>
      <c r="H29" s="73">
        <v>77200</v>
      </c>
    </row>
    <row r="30" spans="2:9" x14ac:dyDescent="0.35">
      <c r="B30" s="20" t="s">
        <v>28</v>
      </c>
      <c r="C30" s="21">
        <v>618347</v>
      </c>
      <c r="D30" s="25">
        <v>8241</v>
      </c>
      <c r="E30" s="25">
        <v>610106</v>
      </c>
      <c r="F30" s="25">
        <v>0</v>
      </c>
      <c r="G30" s="25">
        <v>610106</v>
      </c>
      <c r="H30" s="73">
        <v>560779</v>
      </c>
      <c r="I30" s="8"/>
    </row>
    <row r="31" spans="2:9" x14ac:dyDescent="0.35">
      <c r="B31" s="20" t="s">
        <v>29</v>
      </c>
      <c r="C31" s="21">
        <v>121499</v>
      </c>
      <c r="D31" s="25">
        <v>896</v>
      </c>
      <c r="E31" s="25">
        <v>120603</v>
      </c>
      <c r="F31" s="25">
        <v>0</v>
      </c>
      <c r="G31" s="25">
        <v>120603</v>
      </c>
      <c r="H31" s="73">
        <v>124320</v>
      </c>
      <c r="I31" s="8"/>
    </row>
    <row r="32" spans="2:9" x14ac:dyDescent="0.35">
      <c r="B32" s="20" t="s">
        <v>30</v>
      </c>
      <c r="C32" s="21">
        <v>38470</v>
      </c>
      <c r="D32" s="25">
        <v>0</v>
      </c>
      <c r="E32" s="25">
        <v>38470</v>
      </c>
      <c r="F32" s="25">
        <v>0</v>
      </c>
      <c r="G32" s="25">
        <v>38470</v>
      </c>
      <c r="H32" s="73">
        <v>51106</v>
      </c>
      <c r="I32" s="8"/>
    </row>
    <row r="33" spans="2:9" x14ac:dyDescent="0.35">
      <c r="B33" s="20" t="s">
        <v>31</v>
      </c>
      <c r="C33" s="21">
        <v>322083</v>
      </c>
      <c r="D33" s="25">
        <v>25863</v>
      </c>
      <c r="E33" s="25">
        <v>296220</v>
      </c>
      <c r="F33" s="25">
        <v>0</v>
      </c>
      <c r="G33" s="25">
        <v>296220</v>
      </c>
      <c r="H33" s="73">
        <v>302963</v>
      </c>
    </row>
    <row r="34" spans="2:9" x14ac:dyDescent="0.35">
      <c r="B34" s="20" t="s">
        <v>32</v>
      </c>
      <c r="C34" s="25">
        <v>2792854</v>
      </c>
      <c r="D34" s="25">
        <v>35000</v>
      </c>
      <c r="E34" s="25">
        <v>2757854</v>
      </c>
      <c r="F34" s="25">
        <v>-1000000</v>
      </c>
      <c r="G34" s="25">
        <v>1757854</v>
      </c>
      <c r="H34" s="73">
        <v>1769676</v>
      </c>
    </row>
    <row r="35" spans="2:9" x14ac:dyDescent="0.35">
      <c r="B35" s="20" t="s">
        <v>33</v>
      </c>
      <c r="C35" s="21"/>
      <c r="D35" s="21"/>
      <c r="E35" s="21"/>
      <c r="F35" s="21"/>
      <c r="G35" s="21"/>
      <c r="H35" s="72"/>
    </row>
    <row r="36" spans="2:9" x14ac:dyDescent="0.35">
      <c r="B36" s="20" t="s">
        <v>25</v>
      </c>
      <c r="C36" s="21">
        <v>719717</v>
      </c>
      <c r="D36" s="25">
        <v>0</v>
      </c>
      <c r="E36" s="25">
        <v>719717</v>
      </c>
      <c r="F36" s="25">
        <v>0</v>
      </c>
      <c r="G36" s="25">
        <v>719717</v>
      </c>
      <c r="H36" s="73">
        <v>369717</v>
      </c>
      <c r="I36" s="8"/>
    </row>
    <row r="37" spans="2:9" x14ac:dyDescent="0.35">
      <c r="B37" s="20" t="s">
        <v>29</v>
      </c>
      <c r="C37" s="21">
        <v>63481</v>
      </c>
      <c r="D37" s="25">
        <v>0</v>
      </c>
      <c r="E37" s="25">
        <v>63481</v>
      </c>
      <c r="F37" s="25">
        <v>0</v>
      </c>
      <c r="G37" s="25">
        <v>63481</v>
      </c>
      <c r="H37" s="73">
        <v>30745</v>
      </c>
    </row>
    <row r="38" spans="2:9" x14ac:dyDescent="0.35">
      <c r="B38" s="20" t="s">
        <v>28</v>
      </c>
      <c r="C38" s="21">
        <v>111122</v>
      </c>
      <c r="D38" s="25">
        <v>0</v>
      </c>
      <c r="E38" s="25">
        <v>111122</v>
      </c>
      <c r="F38" s="25">
        <v>0</v>
      </c>
      <c r="G38" s="25">
        <v>111122</v>
      </c>
      <c r="H38" s="73">
        <v>75857</v>
      </c>
    </row>
    <row r="39" spans="2:9" x14ac:dyDescent="0.35">
      <c r="B39" s="20" t="s">
        <v>27</v>
      </c>
      <c r="C39" s="21">
        <v>1006146</v>
      </c>
      <c r="D39" s="25">
        <v>0</v>
      </c>
      <c r="E39" s="25">
        <v>1006146</v>
      </c>
      <c r="F39" s="25">
        <v>1000000</v>
      </c>
      <c r="G39" s="25">
        <v>2006146</v>
      </c>
      <c r="H39" s="73">
        <v>1930588</v>
      </c>
      <c r="I39" s="8"/>
    </row>
    <row r="40" spans="2:9" x14ac:dyDescent="0.35">
      <c r="B40" s="20" t="s">
        <v>30</v>
      </c>
      <c r="C40" s="21">
        <v>253366</v>
      </c>
      <c r="D40" s="25">
        <v>0</v>
      </c>
      <c r="E40" s="25">
        <v>253366</v>
      </c>
      <c r="F40" s="25">
        <v>0</v>
      </c>
      <c r="G40" s="25">
        <v>253366</v>
      </c>
      <c r="H40" s="73">
        <v>255627</v>
      </c>
    </row>
    <row r="41" spans="2:9" x14ac:dyDescent="0.35">
      <c r="B41" s="20" t="s">
        <v>34</v>
      </c>
      <c r="C41" s="21">
        <v>135676</v>
      </c>
      <c r="D41" s="25">
        <v>0</v>
      </c>
      <c r="E41" s="25">
        <v>135676</v>
      </c>
      <c r="F41" s="25">
        <v>0</v>
      </c>
      <c r="G41" s="25">
        <v>135676</v>
      </c>
      <c r="H41" s="73">
        <v>38166</v>
      </c>
    </row>
    <row r="42" spans="2:9" x14ac:dyDescent="0.35">
      <c r="B42" s="20" t="s">
        <v>31</v>
      </c>
      <c r="C42" s="21"/>
      <c r="D42" s="25"/>
      <c r="E42" s="25"/>
      <c r="F42" s="25"/>
      <c r="G42" s="25"/>
      <c r="H42" s="73"/>
    </row>
    <row r="43" spans="2:9" x14ac:dyDescent="0.35">
      <c r="B43" s="20" t="s">
        <v>35</v>
      </c>
      <c r="C43" s="25">
        <v>2289508</v>
      </c>
      <c r="D43" s="25">
        <v>0</v>
      </c>
      <c r="E43" s="25">
        <v>2289508</v>
      </c>
      <c r="F43" s="25">
        <v>1000000</v>
      </c>
      <c r="G43" s="25">
        <v>3289508</v>
      </c>
      <c r="H43" s="73">
        <v>2700700</v>
      </c>
    </row>
    <row r="44" spans="2:9" x14ac:dyDescent="0.35">
      <c r="B44" s="106" t="s">
        <v>36</v>
      </c>
      <c r="C44" s="136">
        <v>5082362</v>
      </c>
      <c r="D44" s="136">
        <v>35000</v>
      </c>
      <c r="E44" s="136">
        <v>5047362</v>
      </c>
      <c r="F44" s="136">
        <v>0</v>
      </c>
      <c r="G44" s="136">
        <v>5047362</v>
      </c>
      <c r="H44" s="121">
        <v>4470376</v>
      </c>
    </row>
    <row r="45" spans="2:9" x14ac:dyDescent="0.35">
      <c r="B45" s="164" t="s">
        <v>37</v>
      </c>
      <c r="C45" s="138">
        <v>11698704</v>
      </c>
      <c r="D45" s="138">
        <v>5825703</v>
      </c>
      <c r="E45" s="138">
        <v>5873001</v>
      </c>
      <c r="F45" s="138">
        <v>0</v>
      </c>
      <c r="G45" s="138">
        <v>5873001</v>
      </c>
      <c r="H45" s="145">
        <v>5796340</v>
      </c>
    </row>
    <row r="46" spans="2:9" x14ac:dyDescent="0.35">
      <c r="B46" s="90" t="s">
        <v>38</v>
      </c>
      <c r="C46" s="145">
        <v>16781066</v>
      </c>
      <c r="D46" s="145">
        <v>5860703</v>
      </c>
      <c r="E46" s="145">
        <v>10920363</v>
      </c>
      <c r="F46" s="145">
        <v>0</v>
      </c>
      <c r="G46" s="145">
        <v>10920363</v>
      </c>
      <c r="H46" s="145">
        <v>10266716</v>
      </c>
    </row>
    <row r="47" spans="2:9" x14ac:dyDescent="0.35">
      <c r="C47" s="59"/>
      <c r="D47" s="59"/>
      <c r="E47" s="59"/>
      <c r="F47" s="59"/>
      <c r="G47" s="59"/>
    </row>
    <row r="48" spans="2:9" x14ac:dyDescent="0.35">
      <c r="C48" s="59"/>
      <c r="D48" s="59"/>
      <c r="E48" s="59"/>
      <c r="F48" s="59"/>
      <c r="G48" s="59"/>
    </row>
    <row r="49" spans="3:7" x14ac:dyDescent="0.35">
      <c r="C49" s="59"/>
      <c r="D49" s="59"/>
      <c r="E49" s="59"/>
      <c r="F49" s="59"/>
      <c r="G49" s="59"/>
    </row>
    <row r="50" spans="3:7" x14ac:dyDescent="0.35">
      <c r="C50" s="59"/>
      <c r="D50" s="59"/>
      <c r="E50" s="59"/>
      <c r="F50" s="59"/>
      <c r="G50" s="59"/>
    </row>
    <row r="51" spans="3:7" x14ac:dyDescent="0.35">
      <c r="C51" s="59"/>
      <c r="D51" s="59"/>
      <c r="E51" s="59"/>
      <c r="F51" s="59"/>
      <c r="G51" s="59"/>
    </row>
    <row r="52" spans="3:7" x14ac:dyDescent="0.35">
      <c r="C52" s="59"/>
      <c r="D52" s="59"/>
      <c r="E52" s="59"/>
      <c r="F52" s="59"/>
      <c r="G52" s="59"/>
    </row>
    <row r="53" spans="3:7" x14ac:dyDescent="0.35">
      <c r="C53" s="59"/>
      <c r="D53" s="59"/>
      <c r="E53" s="59"/>
      <c r="F53" s="59"/>
      <c r="G53" s="59"/>
    </row>
    <row r="54" spans="3:7" x14ac:dyDescent="0.35">
      <c r="C54" s="59"/>
      <c r="D54" s="59"/>
      <c r="E54" s="59"/>
      <c r="F54" s="59"/>
      <c r="G54" s="59"/>
    </row>
    <row r="55" spans="3:7" x14ac:dyDescent="0.35">
      <c r="C55" s="59"/>
      <c r="D55" s="59"/>
      <c r="E55" s="59"/>
      <c r="F55" s="59"/>
      <c r="G55" s="59"/>
    </row>
    <row r="56" spans="3:7" x14ac:dyDescent="0.35">
      <c r="C56" s="59"/>
      <c r="D56" s="59"/>
      <c r="E56" s="59"/>
      <c r="F56" s="59"/>
      <c r="G56" s="59"/>
    </row>
    <row r="57" spans="3:7" x14ac:dyDescent="0.35">
      <c r="C57" s="59"/>
      <c r="D57" s="59"/>
      <c r="E57" s="59"/>
      <c r="F57" s="59"/>
      <c r="G57" s="59"/>
    </row>
    <row r="58" spans="3:7" x14ac:dyDescent="0.35">
      <c r="C58" s="59"/>
      <c r="D58" s="59"/>
      <c r="E58" s="59"/>
      <c r="F58" s="59"/>
      <c r="G58" s="59"/>
    </row>
    <row r="59" spans="3:7" x14ac:dyDescent="0.35">
      <c r="C59" s="59"/>
      <c r="D59" s="59"/>
      <c r="E59" s="59"/>
      <c r="F59" s="59"/>
      <c r="G59" s="59"/>
    </row>
    <row r="60" spans="3:7" x14ac:dyDescent="0.35">
      <c r="C60" s="59"/>
      <c r="D60" s="59"/>
      <c r="E60" s="59"/>
      <c r="F60" s="59"/>
      <c r="G60" s="59"/>
    </row>
    <row r="61" spans="3:7" x14ac:dyDescent="0.35">
      <c r="C61" s="59"/>
      <c r="D61" s="59"/>
      <c r="E61" s="59"/>
      <c r="F61" s="59"/>
      <c r="G61" s="59"/>
    </row>
    <row r="62" spans="3:7" x14ac:dyDescent="0.35">
      <c r="C62" s="59"/>
      <c r="D62" s="59"/>
      <c r="E62" s="59"/>
      <c r="F62" s="59"/>
      <c r="G62" s="59"/>
    </row>
    <row r="63" spans="3:7" x14ac:dyDescent="0.35">
      <c r="C63" s="59"/>
      <c r="D63" s="59"/>
      <c r="E63" s="59"/>
      <c r="F63" s="59"/>
      <c r="G63" s="59"/>
    </row>
    <row r="64" spans="3:7" x14ac:dyDescent="0.35">
      <c r="C64" s="59"/>
      <c r="D64" s="59"/>
      <c r="E64" s="59"/>
      <c r="F64" s="59"/>
      <c r="G64" s="59"/>
    </row>
    <row r="65" spans="3:7" x14ac:dyDescent="0.35">
      <c r="C65" s="59"/>
      <c r="D65" s="59"/>
      <c r="E65" s="59"/>
      <c r="F65" s="59"/>
      <c r="G65" s="59"/>
    </row>
    <row r="66" spans="3:7" x14ac:dyDescent="0.35">
      <c r="C66" s="59"/>
      <c r="D66" s="59"/>
      <c r="E66" s="59"/>
      <c r="F66" s="59"/>
      <c r="G66" s="59"/>
    </row>
    <row r="67" spans="3:7" x14ac:dyDescent="0.35">
      <c r="C67" s="59"/>
      <c r="D67" s="59"/>
      <c r="E67" s="59"/>
      <c r="F67" s="59"/>
      <c r="G67" s="59"/>
    </row>
    <row r="68" spans="3:7" x14ac:dyDescent="0.35">
      <c r="C68" s="59"/>
      <c r="D68" s="59"/>
      <c r="E68" s="59"/>
      <c r="F68" s="59"/>
      <c r="G68" s="59"/>
    </row>
    <row r="69" spans="3:7" x14ac:dyDescent="0.35">
      <c r="C69" s="59"/>
      <c r="D69" s="59"/>
      <c r="E69" s="59"/>
      <c r="F69" s="59"/>
      <c r="G69" s="59"/>
    </row>
    <row r="70" spans="3:7" x14ac:dyDescent="0.35">
      <c r="C70" s="59"/>
      <c r="D70" s="59"/>
      <c r="E70" s="59"/>
      <c r="F70" s="59"/>
      <c r="G70" s="59"/>
    </row>
    <row r="71" spans="3:7" x14ac:dyDescent="0.35">
      <c r="C71" s="59"/>
      <c r="D71" s="59"/>
      <c r="E71" s="59"/>
      <c r="F71" s="59"/>
      <c r="G71" s="59"/>
    </row>
    <row r="72" spans="3:7" x14ac:dyDescent="0.35">
      <c r="C72" s="59"/>
      <c r="D72" s="59"/>
      <c r="E72" s="59"/>
      <c r="F72" s="59"/>
      <c r="G72" s="59"/>
    </row>
    <row r="73" spans="3:7" x14ac:dyDescent="0.35">
      <c r="C73" s="59"/>
      <c r="D73" s="59"/>
      <c r="E73" s="59"/>
      <c r="F73" s="59"/>
      <c r="G73" s="59"/>
    </row>
    <row r="74" spans="3:7" x14ac:dyDescent="0.35">
      <c r="C74" s="59"/>
      <c r="D74" s="59"/>
      <c r="E74" s="59"/>
      <c r="F74" s="59"/>
      <c r="G74" s="59"/>
    </row>
    <row r="75" spans="3:7" x14ac:dyDescent="0.35">
      <c r="C75" s="59"/>
      <c r="D75" s="59"/>
      <c r="E75" s="59"/>
      <c r="F75" s="59"/>
      <c r="G75" s="59"/>
    </row>
    <row r="76" spans="3:7" x14ac:dyDescent="0.35">
      <c r="C76" s="59"/>
      <c r="D76" s="59"/>
      <c r="E76" s="59"/>
      <c r="F76" s="59"/>
      <c r="G76" s="59"/>
    </row>
    <row r="77" spans="3:7" x14ac:dyDescent="0.35">
      <c r="C77" s="59"/>
      <c r="D77" s="59"/>
      <c r="E77" s="59"/>
      <c r="F77" s="59"/>
      <c r="G77" s="59"/>
    </row>
    <row r="78" spans="3:7" x14ac:dyDescent="0.35">
      <c r="C78" s="59"/>
      <c r="D78" s="59"/>
      <c r="E78" s="59"/>
      <c r="F78" s="59"/>
      <c r="G78" s="59"/>
    </row>
    <row r="79" spans="3:7" x14ac:dyDescent="0.35">
      <c r="C79" s="59"/>
      <c r="D79" s="59"/>
      <c r="E79" s="59"/>
      <c r="F79" s="59"/>
      <c r="G79" s="59"/>
    </row>
    <row r="80" spans="3:7" x14ac:dyDescent="0.35">
      <c r="C80" s="59"/>
      <c r="D80" s="59"/>
      <c r="E80" s="59"/>
      <c r="F80" s="59"/>
      <c r="G80" s="59"/>
    </row>
    <row r="81" spans="3:7" x14ac:dyDescent="0.35">
      <c r="C81" s="59"/>
      <c r="D81" s="59"/>
      <c r="E81" s="59"/>
      <c r="F81" s="59"/>
      <c r="G81" s="59"/>
    </row>
    <row r="82" spans="3:7" x14ac:dyDescent="0.35">
      <c r="C82" s="59"/>
      <c r="D82" s="59"/>
      <c r="E82" s="59"/>
      <c r="F82" s="59"/>
      <c r="G82" s="59"/>
    </row>
    <row r="83" spans="3:7" x14ac:dyDescent="0.35">
      <c r="C83" s="59"/>
      <c r="D83" s="59"/>
      <c r="E83" s="59"/>
      <c r="F83" s="59"/>
      <c r="G83" s="59"/>
    </row>
    <row r="84" spans="3:7" x14ac:dyDescent="0.35">
      <c r="C84" s="59"/>
      <c r="D84" s="59"/>
      <c r="E84" s="59"/>
      <c r="F84" s="59"/>
      <c r="G84" s="59"/>
    </row>
    <row r="85" spans="3:7" x14ac:dyDescent="0.35">
      <c r="C85" s="59"/>
      <c r="D85" s="59"/>
      <c r="E85" s="59"/>
      <c r="F85" s="59"/>
      <c r="G85" s="59"/>
    </row>
    <row r="86" spans="3:7" x14ac:dyDescent="0.35">
      <c r="C86" s="59"/>
      <c r="D86" s="59"/>
      <c r="E86" s="59"/>
      <c r="F86" s="59"/>
      <c r="G86" s="59"/>
    </row>
    <row r="87" spans="3:7" x14ac:dyDescent="0.35">
      <c r="C87" s="59"/>
      <c r="D87" s="59"/>
      <c r="E87" s="59"/>
      <c r="F87" s="59"/>
      <c r="G87" s="59"/>
    </row>
    <row r="88" spans="3:7" x14ac:dyDescent="0.35">
      <c r="C88" s="59"/>
      <c r="D88" s="59"/>
      <c r="E88" s="59"/>
      <c r="F88" s="59"/>
      <c r="G88" s="59"/>
    </row>
    <row r="89" spans="3:7" x14ac:dyDescent="0.35">
      <c r="C89" s="59"/>
      <c r="D89" s="59"/>
      <c r="E89" s="59"/>
      <c r="F89" s="59"/>
      <c r="G89" s="59"/>
    </row>
    <row r="90" spans="3:7" x14ac:dyDescent="0.35">
      <c r="C90" s="59"/>
      <c r="D90" s="59"/>
      <c r="E90" s="59"/>
      <c r="F90" s="59"/>
      <c r="G90" s="59"/>
    </row>
    <row r="91" spans="3:7" x14ac:dyDescent="0.35">
      <c r="C91" s="59"/>
      <c r="D91" s="59"/>
      <c r="E91" s="59"/>
      <c r="F91" s="59"/>
      <c r="G91" s="59"/>
    </row>
    <row r="92" spans="3:7" x14ac:dyDescent="0.35">
      <c r="C92" s="59"/>
      <c r="D92" s="59"/>
      <c r="E92" s="59"/>
      <c r="F92" s="59"/>
      <c r="G92" s="59"/>
    </row>
    <row r="93" spans="3:7" x14ac:dyDescent="0.35">
      <c r="C93" s="59"/>
      <c r="D93" s="59"/>
      <c r="E93" s="59"/>
      <c r="F93" s="59"/>
      <c r="G93" s="59"/>
    </row>
    <row r="94" spans="3:7" x14ac:dyDescent="0.35">
      <c r="C94" s="59"/>
      <c r="D94" s="59"/>
      <c r="E94" s="59"/>
      <c r="F94" s="59"/>
      <c r="G94" s="59"/>
    </row>
    <row r="95" spans="3:7" x14ac:dyDescent="0.35">
      <c r="C95" s="59"/>
      <c r="D95" s="59"/>
      <c r="E95" s="59"/>
      <c r="F95" s="59"/>
      <c r="G95" s="59"/>
    </row>
    <row r="96" spans="3:7" x14ac:dyDescent="0.35">
      <c r="C96" s="59"/>
      <c r="D96" s="59"/>
      <c r="E96" s="59"/>
      <c r="F96" s="59"/>
      <c r="G96" s="59"/>
    </row>
    <row r="97" spans="3:7" x14ac:dyDescent="0.35">
      <c r="C97" s="59"/>
      <c r="D97" s="59"/>
      <c r="E97" s="59"/>
      <c r="F97" s="59"/>
      <c r="G97" s="59"/>
    </row>
    <row r="98" spans="3:7" x14ac:dyDescent="0.35">
      <c r="C98" s="59"/>
      <c r="D98" s="59"/>
      <c r="E98" s="59"/>
      <c r="F98" s="59"/>
      <c r="G98" s="59"/>
    </row>
    <row r="99" spans="3:7" x14ac:dyDescent="0.35">
      <c r="C99" s="59"/>
      <c r="D99" s="59"/>
      <c r="E99" s="59"/>
      <c r="F99" s="59"/>
      <c r="G99" s="59"/>
    </row>
    <row r="100" spans="3:7" x14ac:dyDescent="0.35">
      <c r="C100" s="59"/>
      <c r="D100" s="59"/>
      <c r="E100" s="59"/>
      <c r="F100" s="59"/>
      <c r="G100" s="59"/>
    </row>
    <row r="101" spans="3:7" x14ac:dyDescent="0.35">
      <c r="C101" s="59"/>
      <c r="D101" s="59"/>
      <c r="E101" s="59"/>
      <c r="F101" s="59"/>
      <c r="G101" s="59"/>
    </row>
    <row r="102" spans="3:7" x14ac:dyDescent="0.35">
      <c r="C102" s="59"/>
      <c r="D102" s="59"/>
      <c r="E102" s="59"/>
      <c r="F102" s="59"/>
      <c r="G102" s="59"/>
    </row>
    <row r="103" spans="3:7" x14ac:dyDescent="0.35">
      <c r="C103" s="59"/>
      <c r="D103" s="59"/>
      <c r="E103" s="59"/>
      <c r="F103" s="59"/>
      <c r="G103" s="59"/>
    </row>
    <row r="104" spans="3:7" x14ac:dyDescent="0.35">
      <c r="C104" s="59"/>
      <c r="D104" s="59"/>
      <c r="E104" s="59"/>
      <c r="F104" s="59"/>
      <c r="G104" s="59"/>
    </row>
    <row r="105" spans="3:7" x14ac:dyDescent="0.35">
      <c r="C105" s="59"/>
      <c r="D105" s="59"/>
      <c r="E105" s="59"/>
      <c r="F105" s="59"/>
      <c r="G105" s="59"/>
    </row>
    <row r="106" spans="3:7" x14ac:dyDescent="0.35">
      <c r="C106" s="59"/>
      <c r="D106" s="59"/>
      <c r="E106" s="59"/>
      <c r="F106" s="59"/>
      <c r="G106" s="59"/>
    </row>
    <row r="107" spans="3:7" x14ac:dyDescent="0.35">
      <c r="C107" s="59"/>
      <c r="D107" s="59"/>
      <c r="E107" s="59"/>
      <c r="F107" s="59"/>
      <c r="G107" s="59"/>
    </row>
    <row r="108" spans="3:7" x14ac:dyDescent="0.35">
      <c r="C108" s="59"/>
      <c r="D108" s="59"/>
      <c r="E108" s="59"/>
      <c r="F108" s="59"/>
      <c r="G108" s="59"/>
    </row>
    <row r="109" spans="3:7" x14ac:dyDescent="0.35">
      <c r="C109" s="59"/>
      <c r="D109" s="59"/>
      <c r="E109" s="59"/>
      <c r="F109" s="59"/>
      <c r="G109" s="59"/>
    </row>
    <row r="110" spans="3:7" x14ac:dyDescent="0.35">
      <c r="C110" s="59"/>
      <c r="D110" s="59"/>
      <c r="E110" s="59"/>
      <c r="F110" s="59"/>
      <c r="G110" s="59"/>
    </row>
    <row r="111" spans="3:7" x14ac:dyDescent="0.35">
      <c r="C111" s="59"/>
      <c r="D111" s="59"/>
      <c r="E111" s="59"/>
      <c r="F111" s="59"/>
      <c r="G111" s="59"/>
    </row>
    <row r="112" spans="3:7" x14ac:dyDescent="0.35">
      <c r="C112" s="59"/>
      <c r="D112" s="59"/>
      <c r="E112" s="59"/>
      <c r="F112" s="59"/>
      <c r="G112" s="59"/>
    </row>
    <row r="113" spans="3:7" x14ac:dyDescent="0.35">
      <c r="C113" s="59"/>
      <c r="D113" s="59"/>
      <c r="E113" s="59"/>
      <c r="F113" s="59"/>
      <c r="G113" s="59"/>
    </row>
    <row r="114" spans="3:7" x14ac:dyDescent="0.35">
      <c r="C114" s="59"/>
      <c r="D114" s="59"/>
      <c r="E114" s="59"/>
      <c r="F114" s="59"/>
      <c r="G114" s="59"/>
    </row>
    <row r="115" spans="3:7" x14ac:dyDescent="0.35">
      <c r="C115" s="59"/>
      <c r="D115" s="59"/>
      <c r="E115" s="59"/>
      <c r="F115" s="59"/>
      <c r="G115" s="59"/>
    </row>
    <row r="116" spans="3:7" x14ac:dyDescent="0.35">
      <c r="C116" s="59"/>
      <c r="D116" s="59"/>
      <c r="E116" s="59"/>
      <c r="F116" s="59"/>
      <c r="G116" s="59"/>
    </row>
    <row r="117" spans="3:7" x14ac:dyDescent="0.35">
      <c r="C117" s="59"/>
      <c r="D117" s="59"/>
      <c r="E117" s="59"/>
      <c r="F117" s="59"/>
      <c r="G117" s="59"/>
    </row>
    <row r="118" spans="3:7" x14ac:dyDescent="0.35">
      <c r="C118" s="59"/>
      <c r="D118" s="59"/>
      <c r="E118" s="59"/>
      <c r="F118" s="59"/>
      <c r="G118" s="59"/>
    </row>
    <row r="119" spans="3:7" x14ac:dyDescent="0.35">
      <c r="C119" s="59"/>
      <c r="D119" s="59"/>
      <c r="E119" s="59"/>
      <c r="F119" s="59"/>
      <c r="G119" s="59"/>
    </row>
    <row r="120" spans="3:7" x14ac:dyDescent="0.35">
      <c r="C120" s="59"/>
      <c r="D120" s="59"/>
      <c r="E120" s="59"/>
      <c r="F120" s="59"/>
      <c r="G120" s="59"/>
    </row>
    <row r="121" spans="3:7" x14ac:dyDescent="0.35">
      <c r="C121" s="59"/>
      <c r="D121" s="59"/>
      <c r="E121" s="59"/>
      <c r="F121" s="59"/>
      <c r="G121" s="59"/>
    </row>
    <row r="122" spans="3:7" x14ac:dyDescent="0.35">
      <c r="C122" s="59"/>
      <c r="D122" s="59"/>
      <c r="E122" s="59"/>
      <c r="F122" s="59"/>
      <c r="G122" s="59"/>
    </row>
    <row r="123" spans="3:7" x14ac:dyDescent="0.35">
      <c r="C123" s="59"/>
      <c r="D123" s="59"/>
      <c r="E123" s="59"/>
      <c r="F123" s="59"/>
      <c r="G123" s="59"/>
    </row>
    <row r="124" spans="3:7" x14ac:dyDescent="0.35">
      <c r="C124" s="59"/>
      <c r="D124" s="59"/>
      <c r="E124" s="59"/>
      <c r="F124" s="59"/>
      <c r="G124" s="59"/>
    </row>
    <row r="125" spans="3:7" x14ac:dyDescent="0.35">
      <c r="C125" s="59"/>
      <c r="D125" s="59"/>
      <c r="E125" s="59"/>
      <c r="F125" s="59"/>
      <c r="G125" s="59"/>
    </row>
    <row r="126" spans="3:7" x14ac:dyDescent="0.35">
      <c r="C126" s="59"/>
      <c r="D126" s="59"/>
      <c r="E126" s="59"/>
      <c r="F126" s="59"/>
      <c r="G126" s="59"/>
    </row>
    <row r="127" spans="3:7" x14ac:dyDescent="0.35">
      <c r="C127" s="59"/>
      <c r="D127" s="59"/>
      <c r="E127" s="59"/>
      <c r="F127" s="59"/>
      <c r="G127" s="59"/>
    </row>
    <row r="128" spans="3:7" x14ac:dyDescent="0.35">
      <c r="C128" s="59"/>
      <c r="D128" s="59"/>
      <c r="E128" s="59"/>
      <c r="F128" s="59"/>
      <c r="G128" s="59"/>
    </row>
    <row r="129" spans="3:7" x14ac:dyDescent="0.35">
      <c r="C129" s="59"/>
      <c r="D129" s="59"/>
      <c r="E129" s="59"/>
      <c r="F129" s="59"/>
      <c r="G129" s="59"/>
    </row>
    <row r="130" spans="3:7" x14ac:dyDescent="0.35">
      <c r="C130" s="59"/>
      <c r="D130" s="59"/>
      <c r="E130" s="59"/>
      <c r="F130" s="59"/>
      <c r="G130" s="59"/>
    </row>
    <row r="131" spans="3:7" x14ac:dyDescent="0.35">
      <c r="C131" s="59"/>
      <c r="D131" s="59"/>
      <c r="E131" s="59"/>
      <c r="F131" s="59"/>
      <c r="G131" s="59"/>
    </row>
    <row r="132" spans="3:7" x14ac:dyDescent="0.35">
      <c r="C132" s="59"/>
      <c r="D132" s="59"/>
      <c r="E132" s="59"/>
      <c r="F132" s="59"/>
      <c r="G132" s="59"/>
    </row>
    <row r="133" spans="3:7" x14ac:dyDescent="0.35">
      <c r="C133" s="59"/>
      <c r="D133" s="59"/>
      <c r="E133" s="59"/>
      <c r="F133" s="59"/>
      <c r="G133" s="59"/>
    </row>
    <row r="134" spans="3:7" x14ac:dyDescent="0.35">
      <c r="C134" s="59"/>
      <c r="D134" s="59"/>
      <c r="E134" s="59"/>
      <c r="F134" s="59"/>
      <c r="G134" s="59"/>
    </row>
    <row r="135" spans="3:7" x14ac:dyDescent="0.35">
      <c r="C135" s="59"/>
      <c r="D135" s="59"/>
      <c r="E135" s="59"/>
      <c r="F135" s="59"/>
      <c r="G135" s="59"/>
    </row>
    <row r="136" spans="3:7" x14ac:dyDescent="0.35">
      <c r="C136" s="59"/>
      <c r="D136" s="59"/>
      <c r="E136" s="59"/>
      <c r="F136" s="59"/>
      <c r="G136" s="59"/>
    </row>
    <row r="137" spans="3:7" x14ac:dyDescent="0.35">
      <c r="C137" s="59"/>
      <c r="D137" s="59"/>
      <c r="E137" s="59"/>
      <c r="F137" s="59"/>
      <c r="G137" s="59"/>
    </row>
    <row r="138" spans="3:7" x14ac:dyDescent="0.35">
      <c r="C138" s="59"/>
      <c r="D138" s="59"/>
      <c r="E138" s="59"/>
      <c r="F138" s="59"/>
      <c r="G138" s="59"/>
    </row>
    <row r="139" spans="3:7" x14ac:dyDescent="0.35">
      <c r="C139" s="59"/>
      <c r="D139" s="59"/>
      <c r="E139" s="59"/>
      <c r="F139" s="59"/>
      <c r="G139" s="59"/>
    </row>
    <row r="140" spans="3:7" x14ac:dyDescent="0.35">
      <c r="C140" s="59"/>
      <c r="D140" s="59"/>
      <c r="E140" s="59"/>
      <c r="F140" s="59"/>
      <c r="G140" s="59"/>
    </row>
    <row r="141" spans="3:7" x14ac:dyDescent="0.35">
      <c r="C141" s="59"/>
      <c r="D141" s="59"/>
      <c r="E141" s="59"/>
      <c r="F141" s="59"/>
      <c r="G141" s="59"/>
    </row>
    <row r="142" spans="3:7" x14ac:dyDescent="0.35">
      <c r="C142" s="59"/>
      <c r="D142" s="59"/>
      <c r="E142" s="59"/>
      <c r="F142" s="59"/>
      <c r="G142" s="59"/>
    </row>
    <row r="143" spans="3:7" x14ac:dyDescent="0.35">
      <c r="C143" s="59"/>
      <c r="D143" s="59"/>
      <c r="E143" s="59"/>
      <c r="F143" s="59"/>
      <c r="G143" s="59"/>
    </row>
    <row r="144" spans="3:7" x14ac:dyDescent="0.35">
      <c r="C144" s="59"/>
      <c r="D144" s="59"/>
      <c r="E144" s="59"/>
      <c r="F144" s="59"/>
      <c r="G144" s="59"/>
    </row>
    <row r="145" spans="3:7" x14ac:dyDescent="0.35">
      <c r="C145" s="59"/>
      <c r="D145" s="59"/>
      <c r="E145" s="59"/>
      <c r="F145" s="59"/>
      <c r="G145" s="59"/>
    </row>
    <row r="146" spans="3:7" x14ac:dyDescent="0.35">
      <c r="C146" s="59"/>
      <c r="D146" s="59"/>
      <c r="E146" s="59"/>
      <c r="F146" s="59"/>
      <c r="G146" s="59"/>
    </row>
    <row r="147" spans="3:7" x14ac:dyDescent="0.35">
      <c r="C147" s="59"/>
      <c r="D147" s="59"/>
      <c r="E147" s="59"/>
      <c r="F147" s="59"/>
      <c r="G147" s="59"/>
    </row>
    <row r="148" spans="3:7" x14ac:dyDescent="0.35">
      <c r="C148" s="59"/>
      <c r="D148" s="59"/>
      <c r="E148" s="59"/>
      <c r="F148" s="59"/>
      <c r="G148" s="59"/>
    </row>
    <row r="149" spans="3:7" x14ac:dyDescent="0.35">
      <c r="C149" s="59"/>
      <c r="D149" s="59"/>
      <c r="E149" s="59"/>
      <c r="F149" s="59"/>
      <c r="G149" s="59"/>
    </row>
    <row r="150" spans="3:7" x14ac:dyDescent="0.35">
      <c r="C150" s="59"/>
      <c r="D150" s="59"/>
      <c r="E150" s="59"/>
      <c r="F150" s="59"/>
      <c r="G150" s="59"/>
    </row>
    <row r="151" spans="3:7" x14ac:dyDescent="0.35">
      <c r="C151" s="59"/>
      <c r="D151" s="59"/>
      <c r="E151" s="59"/>
      <c r="F151" s="59"/>
      <c r="G151" s="59"/>
    </row>
    <row r="152" spans="3:7" x14ac:dyDescent="0.35">
      <c r="C152" s="59"/>
      <c r="D152" s="59"/>
      <c r="E152" s="59"/>
      <c r="F152" s="59"/>
      <c r="G152" s="59"/>
    </row>
    <row r="153" spans="3:7" x14ac:dyDescent="0.35">
      <c r="C153" s="59"/>
      <c r="D153" s="59"/>
      <c r="E153" s="59"/>
      <c r="F153" s="59"/>
      <c r="G153" s="59"/>
    </row>
    <row r="154" spans="3:7" x14ac:dyDescent="0.35">
      <c r="C154" s="59"/>
      <c r="D154" s="59"/>
      <c r="E154" s="59"/>
      <c r="F154" s="59"/>
      <c r="G154" s="59"/>
    </row>
    <row r="155" spans="3:7" x14ac:dyDescent="0.35">
      <c r="C155" s="59"/>
      <c r="D155" s="59"/>
      <c r="E155" s="59"/>
      <c r="F155" s="59"/>
      <c r="G155" s="59"/>
    </row>
    <row r="156" spans="3:7" x14ac:dyDescent="0.35">
      <c r="C156" s="59"/>
      <c r="D156" s="59"/>
      <c r="E156" s="59"/>
      <c r="F156" s="59"/>
      <c r="G156" s="59"/>
    </row>
    <row r="157" spans="3:7" x14ac:dyDescent="0.35">
      <c r="C157" s="59"/>
      <c r="D157" s="59"/>
      <c r="E157" s="59"/>
      <c r="F157" s="59"/>
      <c r="G157" s="59"/>
    </row>
    <row r="158" spans="3:7" x14ac:dyDescent="0.35">
      <c r="C158" s="59"/>
      <c r="D158" s="59"/>
      <c r="E158" s="59"/>
      <c r="F158" s="59"/>
      <c r="G158" s="59"/>
    </row>
    <row r="159" spans="3:7" x14ac:dyDescent="0.35">
      <c r="C159" s="59"/>
      <c r="D159" s="59"/>
      <c r="E159" s="59"/>
      <c r="F159" s="59"/>
      <c r="G159" s="59"/>
    </row>
    <row r="160" spans="3:7" x14ac:dyDescent="0.35">
      <c r="C160" s="59"/>
      <c r="D160" s="59"/>
      <c r="E160" s="59"/>
      <c r="F160" s="59"/>
      <c r="G160" s="59"/>
    </row>
    <row r="161" spans="3:7" x14ac:dyDescent="0.35">
      <c r="C161" s="59"/>
      <c r="D161" s="59"/>
      <c r="E161" s="59"/>
      <c r="F161" s="59"/>
      <c r="G161" s="59"/>
    </row>
    <row r="162" spans="3:7" x14ac:dyDescent="0.35">
      <c r="C162" s="59"/>
      <c r="D162" s="59"/>
      <c r="E162" s="59"/>
      <c r="F162" s="59"/>
      <c r="G162" s="59"/>
    </row>
    <row r="163" spans="3:7" x14ac:dyDescent="0.35">
      <c r="C163" s="59"/>
      <c r="D163" s="59"/>
      <c r="E163" s="59"/>
      <c r="F163" s="59"/>
      <c r="G163" s="59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25935-AE4A-4E55-BED1-269EB3BFEB56}">
  <sheetPr>
    <tabColor theme="0" tint="-0.499984740745262"/>
  </sheetPr>
  <dimension ref="B3:J82"/>
  <sheetViews>
    <sheetView showGridLines="0" zoomScale="120" zoomScaleNormal="120" workbookViewId="0">
      <selection activeCell="F4" sqref="F4"/>
    </sheetView>
  </sheetViews>
  <sheetFormatPr defaultColWidth="11.453125" defaultRowHeight="14.5" x14ac:dyDescent="0.35"/>
  <cols>
    <col min="1" max="1" width="1.54296875" style="5" customWidth="1"/>
    <col min="2" max="2" width="30.54296875" style="5" customWidth="1"/>
    <col min="3" max="3" width="16.54296875" style="9" customWidth="1"/>
    <col min="4" max="4" width="10.453125" style="5" customWidth="1"/>
    <col min="5" max="5" width="15.54296875" style="5" bestFit="1" customWidth="1"/>
    <col min="6" max="6" width="15.54296875" customWidth="1"/>
    <col min="7" max="7" width="10.54296875" customWidth="1"/>
    <col min="8" max="8" width="10.54296875" bestFit="1" customWidth="1"/>
    <col min="9" max="9" width="7.81640625" customWidth="1"/>
    <col min="11" max="16384" width="11.453125" style="5"/>
  </cols>
  <sheetData>
    <row r="3" spans="2:6" ht="17.5" x14ac:dyDescent="0.35">
      <c r="B3" s="105" t="s">
        <v>217</v>
      </c>
    </row>
    <row r="5" spans="2:6" ht="23" x14ac:dyDescent="0.35">
      <c r="B5" s="146" t="s">
        <v>218</v>
      </c>
      <c r="C5" s="171" t="s">
        <v>219</v>
      </c>
      <c r="D5" s="172" t="s">
        <v>220</v>
      </c>
      <c r="E5" s="173" t="s">
        <v>221</v>
      </c>
      <c r="F5" s="173" t="s">
        <v>222</v>
      </c>
    </row>
    <row r="6" spans="2:6" x14ac:dyDescent="0.35">
      <c r="B6" s="28" t="s">
        <v>40</v>
      </c>
      <c r="C6" s="68">
        <v>2147000</v>
      </c>
      <c r="D6" s="155">
        <v>1</v>
      </c>
      <c r="E6" s="174">
        <v>4294000</v>
      </c>
      <c r="F6" s="174">
        <v>4380393</v>
      </c>
    </row>
    <row r="7" spans="2:6" x14ac:dyDescent="0.35">
      <c r="B7" s="20" t="s">
        <v>41</v>
      </c>
      <c r="C7" s="69">
        <v>1699736.863553226</v>
      </c>
      <c r="D7" s="156">
        <v>1</v>
      </c>
      <c r="E7" s="65">
        <v>3399473.727106452</v>
      </c>
      <c r="F7" s="65">
        <v>3468457</v>
      </c>
    </row>
    <row r="8" spans="2:6" x14ac:dyDescent="0.35">
      <c r="B8" s="106" t="s">
        <v>42</v>
      </c>
      <c r="C8" s="147">
        <v>447263.13644677401</v>
      </c>
      <c r="D8" s="157"/>
      <c r="E8" s="148">
        <v>894526.27289354801</v>
      </c>
      <c r="F8" s="148">
        <v>911936</v>
      </c>
    </row>
    <row r="9" spans="2:6" x14ac:dyDescent="0.35">
      <c r="B9" s="20" t="s">
        <v>44</v>
      </c>
      <c r="C9" s="69">
        <v>144880.92476246619</v>
      </c>
      <c r="D9" s="156">
        <v>1</v>
      </c>
      <c r="E9" s="65">
        <v>289761.84952493239</v>
      </c>
      <c r="F9" s="65">
        <v>327095</v>
      </c>
    </row>
    <row r="10" spans="2:6" x14ac:dyDescent="0.35">
      <c r="B10" s="20" t="s">
        <v>45</v>
      </c>
      <c r="C10" s="69">
        <v>69158.657640396021</v>
      </c>
      <c r="D10" s="156">
        <v>1</v>
      </c>
      <c r="E10" s="65">
        <v>138317.31528079204</v>
      </c>
      <c r="F10" s="65">
        <v>170274</v>
      </c>
    </row>
    <row r="11" spans="2:6" x14ac:dyDescent="0.35">
      <c r="B11" s="20" t="s">
        <v>46</v>
      </c>
      <c r="C11" s="69">
        <v>38223.554043911819</v>
      </c>
      <c r="D11" s="156">
        <v>1</v>
      </c>
      <c r="E11" s="65">
        <v>76447.108087823639</v>
      </c>
      <c r="F11" s="65">
        <v>0</v>
      </c>
    </row>
    <row r="12" spans="2:6" x14ac:dyDescent="0.35">
      <c r="B12" s="106" t="s">
        <v>47</v>
      </c>
      <c r="C12" s="147">
        <v>195000</v>
      </c>
      <c r="D12" s="157"/>
      <c r="E12" s="148">
        <v>389999.99999999988</v>
      </c>
      <c r="F12" s="148">
        <v>414567</v>
      </c>
    </row>
    <row r="13" spans="2:6" x14ac:dyDescent="0.35">
      <c r="B13" s="20" t="s">
        <v>49</v>
      </c>
      <c r="C13" s="69">
        <v>6732.2429699996774</v>
      </c>
      <c r="D13" s="156">
        <v>1</v>
      </c>
      <c r="E13" s="66">
        <v>13464.485939999355</v>
      </c>
      <c r="F13" s="66">
        <v>12498</v>
      </c>
    </row>
    <row r="14" spans="2:6" x14ac:dyDescent="0.35">
      <c r="B14" s="20" t="s">
        <v>50</v>
      </c>
      <c r="C14" s="69">
        <v>25905.068863480792</v>
      </c>
      <c r="D14" s="156">
        <v>0.5</v>
      </c>
      <c r="E14" s="66">
        <v>38857.60329522119</v>
      </c>
      <c r="F14" s="66">
        <v>35512</v>
      </c>
    </row>
    <row r="15" spans="2:6" x14ac:dyDescent="0.35">
      <c r="B15" s="20" t="s">
        <v>51</v>
      </c>
      <c r="C15" s="69">
        <v>-33468.016279479714</v>
      </c>
      <c r="D15" s="156">
        <v>5</v>
      </c>
      <c r="E15" s="66">
        <v>-200808.09767687827</v>
      </c>
      <c r="F15" s="66">
        <v>-223942</v>
      </c>
    </row>
    <row r="16" spans="2:6" x14ac:dyDescent="0.35">
      <c r="B16" s="20" t="s">
        <v>52</v>
      </c>
      <c r="C16" s="69">
        <v>-2706.6391206360104</v>
      </c>
      <c r="D16" s="156">
        <v>1</v>
      </c>
      <c r="E16" s="66">
        <v>-5413.2782412720208</v>
      </c>
      <c r="F16" s="66">
        <v>-1160</v>
      </c>
    </row>
    <row r="17" spans="2:6" x14ac:dyDescent="0.35">
      <c r="B17" s="20" t="s">
        <v>53</v>
      </c>
      <c r="C17" s="69">
        <v>267362.68816651951</v>
      </c>
      <c r="D17" s="156">
        <v>0.5</v>
      </c>
      <c r="E17" s="66">
        <v>401044.03224977927</v>
      </c>
      <c r="F17" s="66">
        <v>362262</v>
      </c>
    </row>
    <row r="18" spans="2:6" x14ac:dyDescent="0.35">
      <c r="B18" s="20" t="s">
        <v>54</v>
      </c>
      <c r="C18" s="69">
        <v>-84255.414599884272</v>
      </c>
      <c r="D18" s="156">
        <v>1</v>
      </c>
      <c r="E18" s="66">
        <v>-168510.82919976854</v>
      </c>
      <c r="F18" s="66">
        <v>-182947</v>
      </c>
    </row>
    <row r="19" spans="2:6" ht="23" x14ac:dyDescent="0.35">
      <c r="B19" s="137" t="s">
        <v>55</v>
      </c>
      <c r="C19" s="147">
        <v>374569.92764289473</v>
      </c>
      <c r="D19" s="158"/>
      <c r="E19" s="148">
        <v>468633.91636708088</v>
      </c>
      <c r="F19" s="148">
        <v>416790</v>
      </c>
    </row>
    <row r="20" spans="2:6" x14ac:dyDescent="0.35">
      <c r="B20" s="28" t="s">
        <v>56</v>
      </c>
      <c r="C20" s="67">
        <v>14644.92764289472</v>
      </c>
      <c r="D20" s="159">
        <v>1</v>
      </c>
      <c r="E20" s="175">
        <v>29289.855285789439</v>
      </c>
      <c r="F20" s="175">
        <v>17083</v>
      </c>
    </row>
    <row r="21" spans="2:6" x14ac:dyDescent="0.35">
      <c r="B21" s="106" t="s">
        <v>57</v>
      </c>
      <c r="C21" s="147">
        <v>359925</v>
      </c>
      <c r="D21" s="157"/>
      <c r="E21" s="148">
        <v>439344.06108129141</v>
      </c>
      <c r="F21" s="148">
        <v>399707</v>
      </c>
    </row>
    <row r="22" spans="2:6" ht="23" x14ac:dyDescent="0.35">
      <c r="B22" s="29" t="s">
        <v>58</v>
      </c>
      <c r="C22" s="67">
        <v>-5925</v>
      </c>
      <c r="D22" s="160">
        <v>1</v>
      </c>
      <c r="E22" s="175">
        <v>-11850</v>
      </c>
      <c r="F22" s="175">
        <v>-12088</v>
      </c>
    </row>
    <row r="23" spans="2:6" x14ac:dyDescent="0.35">
      <c r="B23" s="106" t="s">
        <v>59</v>
      </c>
      <c r="C23" s="147">
        <v>354000</v>
      </c>
      <c r="D23" s="157"/>
      <c r="E23" s="148">
        <v>427494.06108129141</v>
      </c>
      <c r="F23" s="148">
        <v>387619</v>
      </c>
    </row>
    <row r="24" spans="2:6" x14ac:dyDescent="0.35">
      <c r="E24" s="7"/>
    </row>
    <row r="25" spans="2:6" x14ac:dyDescent="0.35">
      <c r="E25" s="10"/>
    </row>
    <row r="26" spans="2:6" x14ac:dyDescent="0.35">
      <c r="E26" s="10"/>
    </row>
    <row r="27" spans="2:6" x14ac:dyDescent="0.35">
      <c r="E27" s="10"/>
    </row>
    <row r="28" spans="2:6" x14ac:dyDescent="0.35">
      <c r="E28" s="10"/>
    </row>
    <row r="29" spans="2:6" x14ac:dyDescent="0.35">
      <c r="E29" s="10"/>
    </row>
    <row r="30" spans="2:6" x14ac:dyDescent="0.35">
      <c r="E30" s="10"/>
    </row>
    <row r="31" spans="2:6" x14ac:dyDescent="0.35">
      <c r="E31" s="10"/>
    </row>
    <row r="32" spans="2:6" x14ac:dyDescent="0.35">
      <c r="E32" s="10"/>
    </row>
    <row r="33" spans="5:5" x14ac:dyDescent="0.35">
      <c r="E33" s="10"/>
    </row>
    <row r="34" spans="5:5" x14ac:dyDescent="0.35">
      <c r="E34" s="10"/>
    </row>
    <row r="35" spans="5:5" x14ac:dyDescent="0.35">
      <c r="E35" s="10"/>
    </row>
    <row r="36" spans="5:5" x14ac:dyDescent="0.35">
      <c r="E36" s="10"/>
    </row>
    <row r="37" spans="5:5" x14ac:dyDescent="0.35">
      <c r="E37" s="10"/>
    </row>
    <row r="38" spans="5:5" x14ac:dyDescent="0.35">
      <c r="E38" s="10"/>
    </row>
    <row r="39" spans="5:5" x14ac:dyDescent="0.35">
      <c r="E39" s="10"/>
    </row>
    <row r="40" spans="5:5" x14ac:dyDescent="0.35">
      <c r="E40" s="10"/>
    </row>
    <row r="41" spans="5:5" x14ac:dyDescent="0.35">
      <c r="E41" s="10"/>
    </row>
    <row r="42" spans="5:5" x14ac:dyDescent="0.35">
      <c r="E42" s="10"/>
    </row>
    <row r="43" spans="5:5" x14ac:dyDescent="0.35">
      <c r="E43" s="10"/>
    </row>
    <row r="44" spans="5:5" x14ac:dyDescent="0.35">
      <c r="E44" s="10"/>
    </row>
    <row r="45" spans="5:5" x14ac:dyDescent="0.35">
      <c r="E45" s="10"/>
    </row>
    <row r="46" spans="5:5" x14ac:dyDescent="0.35">
      <c r="E46" s="10"/>
    </row>
    <row r="47" spans="5:5" x14ac:dyDescent="0.35">
      <c r="E47" s="10"/>
    </row>
    <row r="48" spans="5:5" x14ac:dyDescent="0.35">
      <c r="E48" s="10"/>
    </row>
    <row r="49" spans="5:5" x14ac:dyDescent="0.35">
      <c r="E49" s="10"/>
    </row>
    <row r="50" spans="5:5" x14ac:dyDescent="0.35">
      <c r="E50" s="10"/>
    </row>
    <row r="51" spans="5:5" x14ac:dyDescent="0.35">
      <c r="E51" s="10"/>
    </row>
    <row r="52" spans="5:5" x14ac:dyDescent="0.35">
      <c r="E52" s="10"/>
    </row>
    <row r="53" spans="5:5" x14ac:dyDescent="0.35">
      <c r="E53" s="10"/>
    </row>
    <row r="54" spans="5:5" x14ac:dyDescent="0.35">
      <c r="E54" s="10"/>
    </row>
    <row r="55" spans="5:5" x14ac:dyDescent="0.35">
      <c r="E55" s="10"/>
    </row>
    <row r="56" spans="5:5" x14ac:dyDescent="0.35">
      <c r="E56" s="10"/>
    </row>
    <row r="57" spans="5:5" x14ac:dyDescent="0.35">
      <c r="E57" s="10"/>
    </row>
    <row r="58" spans="5:5" x14ac:dyDescent="0.35">
      <c r="E58" s="10"/>
    </row>
    <row r="59" spans="5:5" x14ac:dyDescent="0.35">
      <c r="E59" s="10"/>
    </row>
    <row r="60" spans="5:5" x14ac:dyDescent="0.35">
      <c r="E60" s="10"/>
    </row>
    <row r="61" spans="5:5" x14ac:dyDescent="0.35">
      <c r="E61" s="10"/>
    </row>
    <row r="62" spans="5:5" x14ac:dyDescent="0.35">
      <c r="E62" s="10"/>
    </row>
    <row r="63" spans="5:5" x14ac:dyDescent="0.35">
      <c r="E63" s="10"/>
    </row>
    <row r="64" spans="5:5" x14ac:dyDescent="0.35">
      <c r="E64" s="10"/>
    </row>
    <row r="65" spans="5:5" x14ac:dyDescent="0.35">
      <c r="E65" s="10"/>
    </row>
    <row r="66" spans="5:5" x14ac:dyDescent="0.35">
      <c r="E66" s="10"/>
    </row>
    <row r="67" spans="5:5" x14ac:dyDescent="0.35">
      <c r="E67" s="10"/>
    </row>
    <row r="68" spans="5:5" x14ac:dyDescent="0.35">
      <c r="E68" s="10"/>
    </row>
    <row r="69" spans="5:5" x14ac:dyDescent="0.35">
      <c r="E69" s="10"/>
    </row>
    <row r="70" spans="5:5" x14ac:dyDescent="0.35">
      <c r="E70" s="10"/>
    </row>
    <row r="71" spans="5:5" x14ac:dyDescent="0.35">
      <c r="E71" s="10"/>
    </row>
    <row r="72" spans="5:5" x14ac:dyDescent="0.35">
      <c r="E72" s="10"/>
    </row>
    <row r="73" spans="5:5" x14ac:dyDescent="0.35">
      <c r="E73" s="10"/>
    </row>
    <row r="74" spans="5:5" x14ac:dyDescent="0.35">
      <c r="E74" s="10"/>
    </row>
    <row r="75" spans="5:5" x14ac:dyDescent="0.35">
      <c r="E75" s="10"/>
    </row>
    <row r="76" spans="5:5" x14ac:dyDescent="0.35">
      <c r="E76" s="10"/>
    </row>
    <row r="77" spans="5:5" x14ac:dyDescent="0.35">
      <c r="E77" s="10"/>
    </row>
    <row r="78" spans="5:5" x14ac:dyDescent="0.35">
      <c r="E78" s="10"/>
    </row>
    <row r="79" spans="5:5" x14ac:dyDescent="0.35">
      <c r="E79" s="10"/>
    </row>
    <row r="80" spans="5:5" x14ac:dyDescent="0.35">
      <c r="E80" s="10"/>
    </row>
    <row r="81" spans="5:5" x14ac:dyDescent="0.35">
      <c r="E81" s="10"/>
    </row>
    <row r="82" spans="5:5" x14ac:dyDescent="0.35">
      <c r="E82" s="10"/>
    </row>
  </sheetData>
  <autoFilter ref="B5:E23" xr:uid="{9AC25935-AE4A-4E55-BED1-269EB3BFEB56}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</sheetPr>
  <dimension ref="A1:AB181"/>
  <sheetViews>
    <sheetView showGridLines="0" zoomScale="120" zoomScaleNormal="12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B4" sqref="B4"/>
    </sheetView>
  </sheetViews>
  <sheetFormatPr defaultColWidth="11.453125" defaultRowHeight="14" outlineLevelCol="1" x14ac:dyDescent="0.3"/>
  <cols>
    <col min="1" max="1" width="49.54296875" style="290" customWidth="1"/>
    <col min="2" max="2" width="13.81640625" style="290" bestFit="1" customWidth="1" outlineLevel="1"/>
    <col min="3" max="4" width="15.1796875" style="290" bestFit="1" customWidth="1" outlineLevel="1"/>
    <col min="5" max="10" width="15.1796875" style="290" bestFit="1" customWidth="1"/>
    <col min="11" max="11" width="12.7265625" style="290" bestFit="1" customWidth="1"/>
    <col min="12" max="12" width="7.81640625" style="290" customWidth="1"/>
    <col min="13" max="15" width="14.453125" style="290" customWidth="1" outlineLevel="1"/>
    <col min="16" max="20" width="14.453125" style="290" customWidth="1"/>
    <col min="21" max="21" width="11.453125" style="290"/>
    <col min="22" max="24" width="15.1796875" style="290" customWidth="1" outlineLevel="1"/>
    <col min="25" max="28" width="15.1796875" style="290" customWidth="1"/>
    <col min="29" max="16384" width="11.453125" style="290"/>
  </cols>
  <sheetData>
    <row r="1" spans="1:28" x14ac:dyDescent="0.3">
      <c r="A1" s="289" t="s">
        <v>223</v>
      </c>
    </row>
    <row r="2" spans="1:28" ht="25" x14ac:dyDescent="0.5">
      <c r="A2" s="291" t="s">
        <v>224</v>
      </c>
      <c r="D2" s="291"/>
      <c r="E2" s="291"/>
      <c r="F2" s="291"/>
      <c r="G2" s="291"/>
      <c r="H2" s="291"/>
      <c r="I2" s="291"/>
      <c r="J2" s="291"/>
      <c r="O2" s="291"/>
      <c r="P2" s="291"/>
      <c r="Q2" s="291"/>
      <c r="R2" s="291"/>
      <c r="S2" s="291"/>
      <c r="T2" s="291"/>
    </row>
    <row r="3" spans="1:28" x14ac:dyDescent="0.3">
      <c r="A3" s="289"/>
      <c r="I3" s="292"/>
      <c r="M3" s="468" t="s">
        <v>225</v>
      </c>
      <c r="N3" s="468"/>
      <c r="O3" s="468"/>
      <c r="P3" s="468"/>
      <c r="Q3" s="468"/>
      <c r="R3" s="468"/>
      <c r="S3" s="468"/>
      <c r="T3" s="468"/>
      <c r="V3" s="468" t="s">
        <v>226</v>
      </c>
      <c r="W3" s="468"/>
      <c r="X3" s="468"/>
      <c r="Y3" s="468"/>
      <c r="Z3" s="468"/>
      <c r="AA3" s="468"/>
      <c r="AB3" s="468"/>
    </row>
    <row r="4" spans="1:28" ht="30" x14ac:dyDescent="0.35">
      <c r="A4" s="293"/>
      <c r="B4" s="294">
        <v>2005</v>
      </c>
      <c r="C4" s="294">
        <v>2006</v>
      </c>
      <c r="D4" s="294">
        <v>2007</v>
      </c>
      <c r="E4" s="294">
        <v>2008</v>
      </c>
      <c r="F4" s="294">
        <v>2009</v>
      </c>
      <c r="G4" s="294">
        <v>2010</v>
      </c>
      <c r="H4" s="294">
        <v>2011</v>
      </c>
      <c r="I4" s="295" t="s">
        <v>227</v>
      </c>
      <c r="J4" s="296" t="s">
        <v>228</v>
      </c>
      <c r="M4" s="294">
        <v>2005</v>
      </c>
      <c r="N4" s="294">
        <v>2006</v>
      </c>
      <c r="O4" s="294">
        <v>2007</v>
      </c>
      <c r="P4" s="294">
        <v>2008</v>
      </c>
      <c r="Q4" s="294">
        <v>2009</v>
      </c>
      <c r="R4" s="294">
        <v>2010</v>
      </c>
      <c r="S4" s="294">
        <v>2011</v>
      </c>
      <c r="T4" s="294">
        <v>2012</v>
      </c>
      <c r="V4" s="294" t="s">
        <v>229</v>
      </c>
      <c r="W4" s="294" t="s">
        <v>230</v>
      </c>
      <c r="X4" s="294" t="s">
        <v>231</v>
      </c>
      <c r="Y4" s="294" t="s">
        <v>232</v>
      </c>
      <c r="Z4" s="294" t="s">
        <v>233</v>
      </c>
      <c r="AA4" s="294" t="s">
        <v>234</v>
      </c>
      <c r="AB4" s="294" t="s">
        <v>235</v>
      </c>
    </row>
    <row r="5" spans="1:28" ht="15.5" x14ac:dyDescent="0.35">
      <c r="A5" s="104"/>
      <c r="B5" s="297"/>
      <c r="C5" s="297"/>
      <c r="D5" s="297"/>
      <c r="E5" s="297"/>
      <c r="F5" s="297"/>
      <c r="G5" s="297"/>
      <c r="H5" s="297"/>
      <c r="I5" s="297"/>
      <c r="J5" s="297"/>
      <c r="M5" s="297"/>
      <c r="N5" s="297"/>
      <c r="O5" s="297"/>
      <c r="P5" s="297"/>
      <c r="Q5" s="297"/>
      <c r="R5" s="297"/>
      <c r="S5" s="297"/>
      <c r="T5" s="297"/>
    </row>
    <row r="6" spans="1:28" x14ac:dyDescent="0.3">
      <c r="A6" s="289" t="s">
        <v>4</v>
      </c>
      <c r="G6" s="298"/>
      <c r="H6" s="298"/>
      <c r="I6" s="298"/>
      <c r="J6" s="298"/>
      <c r="M6" s="469" t="s">
        <v>4</v>
      </c>
      <c r="N6" s="469"/>
      <c r="O6" s="469"/>
      <c r="P6" s="469"/>
      <c r="Q6" s="469"/>
      <c r="R6" s="469"/>
      <c r="S6" s="469"/>
      <c r="T6" s="469"/>
      <c r="V6" s="469" t="s">
        <v>4</v>
      </c>
      <c r="W6" s="469"/>
      <c r="X6" s="469"/>
      <c r="Y6" s="469"/>
      <c r="Z6" s="469"/>
      <c r="AA6" s="469"/>
      <c r="AB6" s="469"/>
    </row>
    <row r="7" spans="1:28" x14ac:dyDescent="0.3">
      <c r="A7" s="289" t="s">
        <v>5</v>
      </c>
      <c r="D7" s="299"/>
      <c r="E7" s="299"/>
      <c r="F7" s="299"/>
      <c r="G7" s="299"/>
      <c r="H7" s="299"/>
      <c r="I7" s="299"/>
      <c r="J7" s="299"/>
      <c r="M7" s="470" t="s">
        <v>236</v>
      </c>
      <c r="N7" s="470"/>
      <c r="O7" s="470"/>
      <c r="P7" s="470"/>
      <c r="Q7" s="470"/>
      <c r="R7" s="470"/>
      <c r="S7" s="470"/>
      <c r="T7" s="470"/>
      <c r="V7" s="470" t="s">
        <v>236</v>
      </c>
      <c r="W7" s="470"/>
      <c r="X7" s="470"/>
      <c r="Y7" s="470"/>
      <c r="Z7" s="470"/>
      <c r="AA7" s="470"/>
      <c r="AB7" s="470"/>
    </row>
    <row r="8" spans="1:28" x14ac:dyDescent="0.3">
      <c r="A8" s="300" t="s">
        <v>6</v>
      </c>
      <c r="B8" s="301">
        <v>80112</v>
      </c>
      <c r="C8" s="301">
        <v>201447</v>
      </c>
      <c r="D8" s="301">
        <v>115638</v>
      </c>
      <c r="E8" s="301">
        <v>226625</v>
      </c>
      <c r="F8" s="301">
        <v>155816</v>
      </c>
      <c r="G8" s="301">
        <v>241058</v>
      </c>
      <c r="H8" s="301">
        <v>262952</v>
      </c>
      <c r="I8" s="301">
        <v>155106</v>
      </c>
      <c r="J8" s="301">
        <f>+VLOOKUP(A8,'TNA1. Formulado'!$A$8:$F$48,6,FALSE)</f>
        <v>262952</v>
      </c>
      <c r="K8" s="302"/>
      <c r="L8" s="298"/>
      <c r="M8" s="303">
        <f t="shared" ref="M8:M15" si="0">+IFERROR(B8/$B$25,0)</f>
        <v>8.6950462591829699E-3</v>
      </c>
      <c r="N8" s="303">
        <f t="shared" ref="N8:N15" si="1">+IFERROR(C8/$C$25,0)</f>
        <v>1.8075942702042384E-2</v>
      </c>
      <c r="O8" s="303">
        <f t="shared" ref="O8:O15" si="2">+IFERROR(D8/$D$25,0)</f>
        <v>1.0262496007505844E-2</v>
      </c>
      <c r="P8" s="303">
        <f t="shared" ref="P8:P15" si="3">+IFERROR(E8/$E$25,0)</f>
        <v>1.886920958806465E-2</v>
      </c>
      <c r="Q8" s="303">
        <f t="shared" ref="Q8:Q15" si="4">+IFERROR(F8/$F$25,0)</f>
        <v>1.0601447921992786E-2</v>
      </c>
      <c r="R8" s="304">
        <f t="shared" ref="R8:R15" si="5">+IFERROR(G8/$G$25,0)</f>
        <v>1.5571350105908151E-2</v>
      </c>
      <c r="S8" s="304">
        <f t="shared" ref="S8:S15" si="6">+IFERROR(H8/$H$25,0)</f>
        <v>1.5669564734445356E-2</v>
      </c>
      <c r="T8" s="304">
        <f>+IFERROR(I8/$I$25,0)</f>
        <v>1.5107654677503498E-2</v>
      </c>
      <c r="V8" s="303">
        <f t="shared" ref="V8:AB15" si="7">+IFERROR((C8/B8)-1,"")</f>
        <v>1.514567106051528</v>
      </c>
      <c r="W8" s="303">
        <f t="shared" si="7"/>
        <v>-0.42596315656227202</v>
      </c>
      <c r="X8" s="303">
        <f t="shared" si="7"/>
        <v>0.9597796572061088</v>
      </c>
      <c r="Y8" s="303">
        <f t="shared" si="7"/>
        <v>-0.312450082735797</v>
      </c>
      <c r="Z8" s="303">
        <f t="shared" si="7"/>
        <v>0.54706833701288704</v>
      </c>
      <c r="AA8" s="303">
        <f t="shared" si="7"/>
        <v>9.0824614822988758E-2</v>
      </c>
      <c r="AB8" s="303">
        <f t="shared" si="7"/>
        <v>-0.41013569016398432</v>
      </c>
    </row>
    <row r="9" spans="1:28" x14ac:dyDescent="0.3">
      <c r="A9" s="300" t="s">
        <v>7</v>
      </c>
      <c r="B9" s="301">
        <v>425269</v>
      </c>
      <c r="C9" s="301">
        <v>130524</v>
      </c>
      <c r="D9" s="301">
        <v>172326</v>
      </c>
      <c r="E9" s="301">
        <v>759010</v>
      </c>
      <c r="F9" s="301">
        <v>489291</v>
      </c>
      <c r="G9" s="301">
        <v>235072</v>
      </c>
      <c r="H9" s="301">
        <v>27983</v>
      </c>
      <c r="I9" s="301">
        <v>1759</v>
      </c>
      <c r="J9" s="301">
        <f>+VLOOKUP(A9,'TNA1. Formulado'!$A$8:$F$48,6,FALSE)</f>
        <v>27983</v>
      </c>
      <c r="K9" s="302"/>
      <c r="M9" s="303">
        <f t="shared" si="0"/>
        <v>4.6157050474292027E-2</v>
      </c>
      <c r="N9" s="303">
        <f t="shared" si="1"/>
        <v>1.1711985511034565E-2</v>
      </c>
      <c r="O9" s="303">
        <f t="shared" si="2"/>
        <v>1.5293371443551879E-2</v>
      </c>
      <c r="P9" s="303">
        <f t="shared" si="3"/>
        <v>6.3196552760891131E-2</v>
      </c>
      <c r="Q9" s="303">
        <f t="shared" si="4"/>
        <v>3.3290503255119966E-2</v>
      </c>
      <c r="R9" s="304">
        <f t="shared" si="5"/>
        <v>1.5184679256013245E-2</v>
      </c>
      <c r="S9" s="304">
        <f t="shared" si="6"/>
        <v>1.667534112552802E-3</v>
      </c>
      <c r="T9" s="304">
        <f t="shared" ref="T9:T15" si="8">+IFERROR(I9/$I$25,0)</f>
        <v>1.713303455554824E-4</v>
      </c>
      <c r="V9" s="303">
        <f t="shared" si="7"/>
        <v>-0.69307896884089837</v>
      </c>
      <c r="W9" s="303">
        <f t="shared" si="7"/>
        <v>0.32026294014893808</v>
      </c>
      <c r="X9" s="303">
        <f t="shared" si="7"/>
        <v>3.4045007717929971</v>
      </c>
      <c r="Y9" s="303">
        <f t="shared" si="7"/>
        <v>-0.35535631941608148</v>
      </c>
      <c r="Z9" s="303">
        <f t="shared" si="7"/>
        <v>-0.51956606600162281</v>
      </c>
      <c r="AA9" s="303">
        <f t="shared" si="7"/>
        <v>-0.88095987612306015</v>
      </c>
      <c r="AB9" s="303">
        <f t="shared" si="7"/>
        <v>-0.9371404066754816</v>
      </c>
    </row>
    <row r="10" spans="1:28" x14ac:dyDescent="0.3">
      <c r="A10" s="300" t="s">
        <v>8</v>
      </c>
      <c r="B10" s="301">
        <v>628547</v>
      </c>
      <c r="C10" s="301">
        <v>528636</v>
      </c>
      <c r="D10" s="301">
        <v>886210</v>
      </c>
      <c r="E10" s="301">
        <v>992806</v>
      </c>
      <c r="F10" s="301">
        <v>752349</v>
      </c>
      <c r="G10" s="301">
        <v>687873</v>
      </c>
      <c r="H10" s="301">
        <v>837267</v>
      </c>
      <c r="I10" s="301">
        <v>796519</v>
      </c>
      <c r="J10" s="301">
        <f>+VLOOKUP(A10,'TNA1. Formulado'!$A$8:$F$48,6,FALSE)</f>
        <v>810825</v>
      </c>
      <c r="K10" s="302"/>
      <c r="L10" s="298"/>
      <c r="M10" s="303">
        <f t="shared" si="0"/>
        <v>6.8220057432977307E-2</v>
      </c>
      <c r="N10" s="303">
        <f t="shared" si="1"/>
        <v>4.7434779600772796E-2</v>
      </c>
      <c r="O10" s="303">
        <f t="shared" si="2"/>
        <v>7.8648252190558071E-2</v>
      </c>
      <c r="P10" s="303">
        <f t="shared" si="3"/>
        <v>8.2662832848485884E-2</v>
      </c>
      <c r="Q10" s="303">
        <f t="shared" si="4"/>
        <v>5.1188509156077366E-2</v>
      </c>
      <c r="R10" s="304">
        <f t="shared" si="5"/>
        <v>4.4433751675536003E-2</v>
      </c>
      <c r="S10" s="304">
        <f t="shared" si="6"/>
        <v>4.9893552650350101E-2</v>
      </c>
      <c r="T10" s="304">
        <f t="shared" si="8"/>
        <v>7.7582646680788681E-2</v>
      </c>
      <c r="V10" s="303">
        <f t="shared" si="7"/>
        <v>-0.1589554957704038</v>
      </c>
      <c r="W10" s="303">
        <f t="shared" si="7"/>
        <v>0.67640871979963535</v>
      </c>
      <c r="X10" s="303">
        <f t="shared" si="7"/>
        <v>0.12028300289998994</v>
      </c>
      <c r="Y10" s="303">
        <f t="shared" si="7"/>
        <v>-0.24219938235667393</v>
      </c>
      <c r="Z10" s="303">
        <f t="shared" si="7"/>
        <v>-8.5699588887603984E-2</v>
      </c>
      <c r="AA10" s="303">
        <f t="shared" si="7"/>
        <v>0.21718253224068973</v>
      </c>
      <c r="AB10" s="303">
        <f t="shared" si="7"/>
        <v>-4.8667868194972486E-2</v>
      </c>
    </row>
    <row r="11" spans="1:28" x14ac:dyDescent="0.3">
      <c r="A11" s="300" t="s">
        <v>9</v>
      </c>
      <c r="B11" s="301">
        <v>307595</v>
      </c>
      <c r="C11" s="301">
        <v>416351</v>
      </c>
      <c r="D11" s="301">
        <v>355317</v>
      </c>
      <c r="E11" s="301">
        <v>402296</v>
      </c>
      <c r="F11" s="301">
        <v>361135</v>
      </c>
      <c r="G11" s="301">
        <v>289475</v>
      </c>
      <c r="H11" s="301">
        <v>376626</v>
      </c>
      <c r="I11" s="301">
        <v>355379</v>
      </c>
      <c r="J11" s="301">
        <f>+VLOOKUP(A11,'TNA1. Formulado'!$A$8:$F$48,6,FALSE)</f>
        <v>340995</v>
      </c>
      <c r="K11" s="302"/>
      <c r="L11" s="298"/>
      <c r="M11" s="303">
        <f t="shared" si="0"/>
        <v>3.3385170187904253E-2</v>
      </c>
      <c r="N11" s="303">
        <f t="shared" si="1"/>
        <v>3.7359388920847905E-2</v>
      </c>
      <c r="O11" s="303">
        <f t="shared" si="2"/>
        <v>3.1533226914154118E-2</v>
      </c>
      <c r="P11" s="303">
        <f t="shared" si="3"/>
        <v>3.3495896482912554E-2</v>
      </c>
      <c r="Q11" s="303">
        <f t="shared" si="4"/>
        <v>2.4570993321025213E-2</v>
      </c>
      <c r="R11" s="304">
        <f t="shared" si="5"/>
        <v>1.8698888117829576E-2</v>
      </c>
      <c r="S11" s="304">
        <f t="shared" si="6"/>
        <v>2.2443508654336978E-2</v>
      </c>
      <c r="T11" s="304">
        <f t="shared" si="8"/>
        <v>3.4614671332098793E-2</v>
      </c>
      <c r="V11" s="303">
        <f t="shared" si="7"/>
        <v>0.35356881613810365</v>
      </c>
      <c r="W11" s="303">
        <f t="shared" si="7"/>
        <v>-0.14659265859815396</v>
      </c>
      <c r="X11" s="303">
        <f t="shared" si="7"/>
        <v>0.13221714694202635</v>
      </c>
      <c r="Y11" s="303">
        <f t="shared" si="7"/>
        <v>-0.10231521069063576</v>
      </c>
      <c r="Z11" s="303">
        <f t="shared" si="7"/>
        <v>-0.19842995001869113</v>
      </c>
      <c r="AA11" s="303">
        <f t="shared" si="7"/>
        <v>0.30106572242853447</v>
      </c>
      <c r="AB11" s="303">
        <f t="shared" si="7"/>
        <v>-5.6414055322787093E-2</v>
      </c>
    </row>
    <row r="12" spans="1:28" x14ac:dyDescent="0.3">
      <c r="A12" s="300" t="s">
        <v>10</v>
      </c>
      <c r="B12" s="301">
        <v>84929</v>
      </c>
      <c r="C12" s="301">
        <v>65084</v>
      </c>
      <c r="D12" s="301">
        <v>31590</v>
      </c>
      <c r="E12" s="301">
        <v>32928</v>
      </c>
      <c r="F12" s="301">
        <v>39550</v>
      </c>
      <c r="G12" s="301">
        <v>23617</v>
      </c>
      <c r="H12" s="301">
        <v>29530</v>
      </c>
      <c r="I12" s="301">
        <v>24910</v>
      </c>
      <c r="J12" s="301">
        <f>+VLOOKUP(A12,'TNA1. Formulado'!$A$8:$F$48,6,FALSE)</f>
        <v>29530</v>
      </c>
      <c r="K12" s="302"/>
      <c r="M12" s="303">
        <f t="shared" si="0"/>
        <v>9.2178647861263039E-3</v>
      </c>
      <c r="N12" s="303">
        <f t="shared" si="1"/>
        <v>5.8400207241593397E-3</v>
      </c>
      <c r="O12" s="303">
        <f t="shared" si="2"/>
        <v>2.8035096497441123E-3</v>
      </c>
      <c r="P12" s="303">
        <f t="shared" si="3"/>
        <v>2.7416451552820425E-3</v>
      </c>
      <c r="Q12" s="303">
        <f t="shared" si="4"/>
        <v>2.690912777345168E-3</v>
      </c>
      <c r="R12" s="304">
        <f t="shared" si="5"/>
        <v>1.5255605516151002E-3</v>
      </c>
      <c r="S12" s="304">
        <f t="shared" si="6"/>
        <v>1.7597213430898847E-3</v>
      </c>
      <c r="T12" s="304">
        <f t="shared" si="8"/>
        <v>2.4262870425168087E-3</v>
      </c>
      <c r="V12" s="303">
        <f t="shared" si="7"/>
        <v>-0.23366576787669702</v>
      </c>
      <c r="W12" s="303">
        <f t="shared" si="7"/>
        <v>-0.51462725093725026</v>
      </c>
      <c r="X12" s="303">
        <f t="shared" si="7"/>
        <v>4.2355175688508995E-2</v>
      </c>
      <c r="Y12" s="303">
        <f t="shared" si="7"/>
        <v>0.20110544217687076</v>
      </c>
      <c r="Z12" s="303">
        <f t="shared" si="7"/>
        <v>-0.4028571428571428</v>
      </c>
      <c r="AA12" s="303">
        <f t="shared" si="7"/>
        <v>0.25037049582927562</v>
      </c>
      <c r="AB12" s="303">
        <f t="shared" si="7"/>
        <v>-0.15645106671181852</v>
      </c>
    </row>
    <row r="13" spans="1:28" x14ac:dyDescent="0.3">
      <c r="A13" s="290" t="s">
        <v>216</v>
      </c>
      <c r="B13" s="305">
        <v>0</v>
      </c>
      <c r="C13" s="305">
        <v>0</v>
      </c>
      <c r="D13" s="305">
        <v>0</v>
      </c>
      <c r="E13" s="305">
        <v>57507</v>
      </c>
      <c r="F13" s="305">
        <v>0</v>
      </c>
      <c r="G13" s="305">
        <v>0</v>
      </c>
      <c r="H13" s="301">
        <v>0</v>
      </c>
      <c r="I13" s="301">
        <v>0</v>
      </c>
      <c r="J13" s="301">
        <f>+VLOOKUP(A13,'TNA1. Formulado'!$A$8:$F$48,6,FALSE)</f>
        <v>0</v>
      </c>
      <c r="K13" s="302"/>
      <c r="M13" s="303">
        <f t="shared" si="0"/>
        <v>0</v>
      </c>
      <c r="N13" s="303">
        <f t="shared" si="1"/>
        <v>0</v>
      </c>
      <c r="O13" s="303">
        <f t="shared" si="2"/>
        <v>0</v>
      </c>
      <c r="P13" s="303">
        <f t="shared" si="3"/>
        <v>4.7881373889943034E-3</v>
      </c>
      <c r="Q13" s="303">
        <f t="shared" si="4"/>
        <v>0</v>
      </c>
      <c r="R13" s="304">
        <f t="shared" si="5"/>
        <v>0</v>
      </c>
      <c r="S13" s="304">
        <f t="shared" si="6"/>
        <v>0</v>
      </c>
      <c r="T13" s="304">
        <f t="shared" si="8"/>
        <v>0</v>
      </c>
      <c r="V13" s="303" t="str">
        <f t="shared" si="7"/>
        <v/>
      </c>
      <c r="W13" s="303" t="str">
        <f t="shared" si="7"/>
        <v/>
      </c>
      <c r="X13" s="303" t="str">
        <f t="shared" si="7"/>
        <v/>
      </c>
      <c r="Y13" s="303">
        <f t="shared" si="7"/>
        <v>-1</v>
      </c>
      <c r="Z13" s="303" t="str">
        <f t="shared" si="7"/>
        <v/>
      </c>
      <c r="AA13" s="303" t="str">
        <f t="shared" si="7"/>
        <v/>
      </c>
      <c r="AB13" s="303" t="str">
        <f t="shared" si="7"/>
        <v/>
      </c>
    </row>
    <row r="14" spans="1:28" x14ac:dyDescent="0.3">
      <c r="A14" s="300" t="s">
        <v>12</v>
      </c>
      <c r="B14" s="301">
        <v>0</v>
      </c>
      <c r="C14" s="301">
        <v>0</v>
      </c>
      <c r="D14" s="301">
        <v>0</v>
      </c>
      <c r="E14" s="301">
        <v>106777</v>
      </c>
      <c r="F14" s="301">
        <v>0</v>
      </c>
      <c r="G14" s="301">
        <v>0</v>
      </c>
      <c r="H14" s="301">
        <v>0</v>
      </c>
      <c r="I14" s="301">
        <v>0</v>
      </c>
      <c r="J14" s="301">
        <f>+VLOOKUP(A14,'TNA1. Formulado'!$A$8:$F$48,6,FALSE)</f>
        <v>0</v>
      </c>
      <c r="M14" s="303">
        <f t="shared" si="0"/>
        <v>0</v>
      </c>
      <c r="N14" s="303">
        <f t="shared" si="1"/>
        <v>0</v>
      </c>
      <c r="O14" s="303">
        <f t="shared" si="2"/>
        <v>0</v>
      </c>
      <c r="P14" s="303">
        <f t="shared" si="3"/>
        <v>8.8904471800762466E-3</v>
      </c>
      <c r="Q14" s="303">
        <f t="shared" si="4"/>
        <v>0</v>
      </c>
      <c r="R14" s="304">
        <f t="shared" si="5"/>
        <v>0</v>
      </c>
      <c r="S14" s="304">
        <f t="shared" si="6"/>
        <v>0</v>
      </c>
      <c r="T14" s="304">
        <f t="shared" si="8"/>
        <v>0</v>
      </c>
      <c r="V14" s="303" t="str">
        <f t="shared" si="7"/>
        <v/>
      </c>
      <c r="W14" s="303" t="str">
        <f t="shared" si="7"/>
        <v/>
      </c>
      <c r="X14" s="303" t="str">
        <f t="shared" si="7"/>
        <v/>
      </c>
      <c r="Y14" s="303">
        <f t="shared" si="7"/>
        <v>-1</v>
      </c>
      <c r="Z14" s="303" t="str">
        <f t="shared" si="7"/>
        <v/>
      </c>
      <c r="AA14" s="303" t="str">
        <f t="shared" si="7"/>
        <v/>
      </c>
      <c r="AB14" s="303" t="str">
        <f t="shared" si="7"/>
        <v/>
      </c>
    </row>
    <row r="15" spans="1:28" ht="15" x14ac:dyDescent="0.3">
      <c r="A15" s="306" t="s">
        <v>13</v>
      </c>
      <c r="B15" s="307">
        <f t="shared" ref="B15:I15" si="9">SUM(B8:B14)</f>
        <v>1526452</v>
      </c>
      <c r="C15" s="307">
        <f t="shared" si="9"/>
        <v>1342042</v>
      </c>
      <c r="D15" s="307">
        <f t="shared" si="9"/>
        <v>1561081</v>
      </c>
      <c r="E15" s="307">
        <f t="shared" si="9"/>
        <v>2577949</v>
      </c>
      <c r="F15" s="307">
        <f t="shared" si="9"/>
        <v>1798141</v>
      </c>
      <c r="G15" s="307">
        <f t="shared" si="9"/>
        <v>1477095</v>
      </c>
      <c r="H15" s="307">
        <f t="shared" si="9"/>
        <v>1534358</v>
      </c>
      <c r="I15" s="307">
        <f t="shared" si="9"/>
        <v>1333673</v>
      </c>
      <c r="J15" s="307">
        <f>SUM(J8:J14)</f>
        <v>1472285</v>
      </c>
      <c r="K15" s="308"/>
      <c r="L15" s="308"/>
      <c r="M15" s="309">
        <f t="shared" si="0"/>
        <v>0.16567518914048288</v>
      </c>
      <c r="N15" s="309">
        <f t="shared" si="1"/>
        <v>0.12042211745885699</v>
      </c>
      <c r="O15" s="309">
        <f t="shared" si="2"/>
        <v>0.13854085620551404</v>
      </c>
      <c r="P15" s="309">
        <f t="shared" si="3"/>
        <v>0.21464472140470681</v>
      </c>
      <c r="Q15" s="309">
        <f t="shared" si="4"/>
        <v>0.12234236643156049</v>
      </c>
      <c r="R15" s="309">
        <f t="shared" si="5"/>
        <v>9.5414229706902068E-2</v>
      </c>
      <c r="S15" s="309">
        <f t="shared" si="6"/>
        <v>9.1433881494775118E-2</v>
      </c>
      <c r="T15" s="309">
        <f t="shared" si="8"/>
        <v>0.12990259007846325</v>
      </c>
      <c r="V15" s="310">
        <f t="shared" si="7"/>
        <v>-0.12080956361549533</v>
      </c>
      <c r="W15" s="310">
        <f t="shared" si="7"/>
        <v>0.16321322283505291</v>
      </c>
      <c r="X15" s="310">
        <f t="shared" si="7"/>
        <v>0.6513870836939275</v>
      </c>
      <c r="Y15" s="310">
        <f t="shared" si="7"/>
        <v>-0.30249163191358708</v>
      </c>
      <c r="Z15" s="310">
        <f t="shared" si="7"/>
        <v>-0.17854328442541489</v>
      </c>
      <c r="AA15" s="310">
        <f t="shared" si="7"/>
        <v>3.8767310159468327E-2</v>
      </c>
      <c r="AB15" s="310">
        <f t="shared" si="7"/>
        <v>-0.13079411714867062</v>
      </c>
    </row>
    <row r="16" spans="1:28" x14ac:dyDescent="0.3">
      <c r="A16" s="289" t="s">
        <v>14</v>
      </c>
      <c r="B16" s="305"/>
      <c r="C16" s="305"/>
      <c r="D16" s="305"/>
      <c r="E16" s="305"/>
      <c r="F16" s="305"/>
      <c r="G16" s="305"/>
      <c r="H16" s="305"/>
      <c r="I16" s="305"/>
      <c r="J16" s="305"/>
      <c r="M16" s="471" t="s">
        <v>14</v>
      </c>
      <c r="N16" s="471"/>
      <c r="O16" s="471"/>
      <c r="P16" s="471"/>
      <c r="Q16" s="471"/>
      <c r="R16" s="471"/>
      <c r="S16" s="471"/>
      <c r="T16" s="471"/>
      <c r="V16" s="473" t="s">
        <v>14</v>
      </c>
      <c r="W16" s="473"/>
      <c r="X16" s="473"/>
      <c r="Y16" s="473"/>
      <c r="Z16" s="473"/>
      <c r="AA16" s="473"/>
      <c r="AB16" s="473"/>
    </row>
    <row r="17" spans="1:28" x14ac:dyDescent="0.3">
      <c r="A17" s="300" t="s">
        <v>15</v>
      </c>
      <c r="B17" s="301">
        <v>48870</v>
      </c>
      <c r="C17" s="301">
        <v>87849</v>
      </c>
      <c r="D17" s="301">
        <v>94592</v>
      </c>
      <c r="E17" s="301">
        <v>40822</v>
      </c>
      <c r="F17" s="301">
        <v>57522</v>
      </c>
      <c r="G17" s="301">
        <v>38230</v>
      </c>
      <c r="H17" s="301">
        <v>53815</v>
      </c>
      <c r="I17" s="311">
        <v>39718</v>
      </c>
      <c r="J17" s="301">
        <f>+VLOOKUP(A17,'TNA1. Formulado'!$A$8:$F$48,6,FALSE)</f>
        <v>25474</v>
      </c>
      <c r="K17" s="302"/>
      <c r="M17" s="303">
        <f t="shared" ref="M17:M25" si="10">+IFERROR(B17/$B$25,0)</f>
        <v>5.3041605587960828E-3</v>
      </c>
      <c r="N17" s="303">
        <f t="shared" ref="N17:N25" si="11">+IFERROR(C17/$C$25,0)</f>
        <v>7.8827358582243528E-3</v>
      </c>
      <c r="O17" s="303">
        <f t="shared" ref="O17:O25" si="12">+IFERROR(D17/$D$25,0)</f>
        <v>8.3947320287621092E-3</v>
      </c>
      <c r="P17" s="303">
        <f t="shared" ref="P17:P25" si="13">+IFERROR(E17/$E$25,0)</f>
        <v>3.3989139494935475E-3</v>
      </c>
      <c r="Q17" s="303">
        <f t="shared" ref="Q17:Q25" si="14">+IFERROR(F17/$F$25,0)</f>
        <v>3.9136962017306889E-3</v>
      </c>
      <c r="R17" s="303">
        <f t="shared" ref="R17:R25" si="15">+IFERROR(G17/$G$25,0)</f>
        <v>2.4694999317544683E-3</v>
      </c>
      <c r="S17" s="303">
        <f t="shared" ref="S17:S25" si="16">+IFERROR(H17/$H$25,0)</f>
        <v>3.2068880487091823E-3</v>
      </c>
      <c r="T17" s="303">
        <f t="shared" ref="T17:T25" si="17">+IFERROR(I17/$I$25,0)</f>
        <v>3.8686177741743318E-3</v>
      </c>
      <c r="V17" s="303">
        <f t="shared" ref="V17:V25" si="18">+IFERROR((C17/B17)-1,"")</f>
        <v>0.79760589318600372</v>
      </c>
      <c r="W17" s="303">
        <f t="shared" ref="W17:W25" si="19">+IFERROR((D17/C17)-1,"")</f>
        <v>7.675670753224284E-2</v>
      </c>
      <c r="X17" s="303">
        <f t="shared" ref="X17:X25" si="20">+IFERROR((E17/D17)-1,"")</f>
        <v>-0.56844130581867391</v>
      </c>
      <c r="Y17" s="303">
        <f t="shared" ref="Y17:Y25" si="21">+IFERROR((F17/E17)-1,"")</f>
        <v>0.40909313605408859</v>
      </c>
      <c r="Z17" s="303">
        <f t="shared" ref="Z17:Z25" si="22">+IFERROR((G17/F17)-1,"")</f>
        <v>-0.33538472236709438</v>
      </c>
      <c r="AA17" s="303">
        <f t="shared" ref="AA17:AA25" si="23">+IFERROR((H17/G17)-1,"")</f>
        <v>0.40766413811143076</v>
      </c>
      <c r="AB17" s="303">
        <f t="shared" ref="AB17:AB25" si="24">+IFERROR((I17/H17)-1,"")</f>
        <v>-0.26195298708538517</v>
      </c>
    </row>
    <row r="18" spans="1:28" x14ac:dyDescent="0.3">
      <c r="A18" s="300" t="s">
        <v>16</v>
      </c>
      <c r="B18" s="301">
        <v>520851</v>
      </c>
      <c r="C18" s="301">
        <v>551268</v>
      </c>
      <c r="D18" s="301">
        <v>437566</v>
      </c>
      <c r="E18" s="301">
        <v>445517</v>
      </c>
      <c r="F18" s="301">
        <v>334677</v>
      </c>
      <c r="G18" s="301">
        <v>340108</v>
      </c>
      <c r="H18" s="301">
        <v>299457</v>
      </c>
      <c r="I18" s="311">
        <v>145095</v>
      </c>
      <c r="J18" s="301">
        <f>+VLOOKUP(A18,'TNA1. Formulado'!$A$8:$F$48,6,FALSE)</f>
        <v>83985</v>
      </c>
      <c r="K18" s="302"/>
      <c r="M18" s="303">
        <f t="shared" si="10"/>
        <v>5.6531150628391619E-2</v>
      </c>
      <c r="N18" s="303">
        <f t="shared" si="11"/>
        <v>4.9465560576575973E-2</v>
      </c>
      <c r="O18" s="303">
        <f t="shared" si="12"/>
        <v>3.8832557879073512E-2</v>
      </c>
      <c r="P18" s="303">
        <f t="shared" si="13"/>
        <v>3.709455553467534E-2</v>
      </c>
      <c r="Q18" s="304">
        <f t="shared" si="14"/>
        <v>2.2770837309318552E-2</v>
      </c>
      <c r="R18" s="304">
        <f t="shared" si="15"/>
        <v>2.1969570567333212E-2</v>
      </c>
      <c r="S18" s="304">
        <f t="shared" si="16"/>
        <v>1.7844933093046651E-2</v>
      </c>
      <c r="T18" s="304">
        <f t="shared" si="17"/>
        <v>1.4132561960416554E-2</v>
      </c>
      <c r="V18" s="303">
        <f t="shared" si="18"/>
        <v>5.8398659117482765E-2</v>
      </c>
      <c r="W18" s="303">
        <f t="shared" si="19"/>
        <v>-0.20625539664917969</v>
      </c>
      <c r="X18" s="303">
        <f t="shared" si="20"/>
        <v>1.8170973064634888E-2</v>
      </c>
      <c r="Y18" s="303">
        <f t="shared" si="21"/>
        <v>-0.24878960847734211</v>
      </c>
      <c r="Z18" s="303">
        <f t="shared" si="22"/>
        <v>1.6227586598421828E-2</v>
      </c>
      <c r="AA18" s="303">
        <f t="shared" si="23"/>
        <v>-0.11952379832288562</v>
      </c>
      <c r="AB18" s="303">
        <f t="shared" si="24"/>
        <v>-0.51547300614111546</v>
      </c>
    </row>
    <row r="19" spans="1:28" x14ac:dyDescent="0.3">
      <c r="A19" s="300" t="s">
        <v>11</v>
      </c>
      <c r="B19" s="301">
        <v>1481526</v>
      </c>
      <c r="C19" s="301">
        <v>2534733</v>
      </c>
      <c r="D19" s="301">
        <v>2324674</v>
      </c>
      <c r="E19" s="301">
        <v>2776061</v>
      </c>
      <c r="F19" s="311">
        <v>2880021</v>
      </c>
      <c r="G19" s="311">
        <v>2870683</v>
      </c>
      <c r="H19" s="311">
        <v>4177137</v>
      </c>
      <c r="I19" s="311">
        <v>3779319</v>
      </c>
      <c r="J19" s="301">
        <f>+VLOOKUP(A19,'TNA1. Formulado'!$A$8:$F$48,6,FALSE)</f>
        <v>4138360</v>
      </c>
      <c r="K19" s="302"/>
      <c r="L19" s="298"/>
      <c r="M19" s="303">
        <f t="shared" si="10"/>
        <v>0.16079909506918202</v>
      </c>
      <c r="N19" s="303">
        <f t="shared" si="11"/>
        <v>0.22744289303378057</v>
      </c>
      <c r="O19" s="303">
        <f t="shared" si="12"/>
        <v>0.20630724886069149</v>
      </c>
      <c r="P19" s="303">
        <f t="shared" si="13"/>
        <v>0.23113988676559225</v>
      </c>
      <c r="Q19" s="304">
        <f t="shared" si="14"/>
        <v>0.19595158806377769</v>
      </c>
      <c r="R19" s="304">
        <f t="shared" si="15"/>
        <v>0.18543425248727993</v>
      </c>
      <c r="S19" s="304">
        <f t="shared" si="16"/>
        <v>0.24891964551000514</v>
      </c>
      <c r="T19" s="304">
        <f t="shared" si="17"/>
        <v>0.36811371815486083</v>
      </c>
      <c r="V19" s="303">
        <f t="shared" si="18"/>
        <v>0.71089336265445224</v>
      </c>
      <c r="W19" s="303">
        <f t="shared" si="19"/>
        <v>-8.2872239403519066E-2</v>
      </c>
      <c r="X19" s="303">
        <f t="shared" si="20"/>
        <v>0.19417217209810933</v>
      </c>
      <c r="Y19" s="303">
        <f t="shared" si="21"/>
        <v>3.7448744822250024E-2</v>
      </c>
      <c r="Z19" s="303">
        <f t="shared" si="22"/>
        <v>-3.2423374690671025E-3</v>
      </c>
      <c r="AA19" s="303">
        <f t="shared" si="23"/>
        <v>0.45510214816473993</v>
      </c>
      <c r="AB19" s="303">
        <f t="shared" si="24"/>
        <v>-9.5237000845315833E-2</v>
      </c>
    </row>
    <row r="20" spans="1:28" x14ac:dyDescent="0.3">
      <c r="A20" s="300" t="s">
        <v>17</v>
      </c>
      <c r="B20" s="301">
        <v>731336</v>
      </c>
      <c r="C20" s="301">
        <v>1915182</v>
      </c>
      <c r="D20" s="301">
        <v>1837295</v>
      </c>
      <c r="E20" s="301">
        <v>1999218</v>
      </c>
      <c r="F20" s="301">
        <v>1908881</v>
      </c>
      <c r="G20" s="301">
        <v>1634481</v>
      </c>
      <c r="H20" s="301">
        <v>1466387</v>
      </c>
      <c r="I20" s="311">
        <v>1375489</v>
      </c>
      <c r="J20" s="301">
        <f>+'TNA1. Formulado'!F20</f>
        <v>1460280</v>
      </c>
      <c r="K20" s="302"/>
      <c r="L20" s="298"/>
      <c r="M20" s="303">
        <f t="shared" si="10"/>
        <v>7.9376377459130176E-2</v>
      </c>
      <c r="N20" s="303">
        <f t="shared" si="11"/>
        <v>0.17185026382116853</v>
      </c>
      <c r="O20" s="303">
        <f t="shared" si="12"/>
        <v>0.16305394941204837</v>
      </c>
      <c r="P20" s="303">
        <f t="shared" si="13"/>
        <v>0.1664585259977118</v>
      </c>
      <c r="Q20" s="304">
        <f t="shared" si="14"/>
        <v>0.12987692220812697</v>
      </c>
      <c r="R20" s="304">
        <f t="shared" si="15"/>
        <v>0.10558071456850576</v>
      </c>
      <c r="S20" s="304">
        <f t="shared" si="16"/>
        <v>8.7383423675230165E-2</v>
      </c>
      <c r="T20" s="304">
        <f t="shared" si="17"/>
        <v>0.13397555752004828</v>
      </c>
      <c r="V20" s="303">
        <f t="shared" si="18"/>
        <v>1.6187443254536902</v>
      </c>
      <c r="W20" s="303">
        <f t="shared" si="19"/>
        <v>-4.0668197591664956E-2</v>
      </c>
      <c r="X20" s="303">
        <f t="shared" si="20"/>
        <v>8.8131192867775709E-2</v>
      </c>
      <c r="Y20" s="303">
        <f t="shared" si="21"/>
        <v>-4.5186167791606557E-2</v>
      </c>
      <c r="Z20" s="303">
        <f t="shared" si="22"/>
        <v>-0.14374913889341456</v>
      </c>
      <c r="AA20" s="303">
        <f t="shared" si="23"/>
        <v>-0.10284243132835436</v>
      </c>
      <c r="AB20" s="303">
        <f t="shared" si="24"/>
        <v>-6.1987729023784355E-2</v>
      </c>
    </row>
    <row r="21" spans="1:28" x14ac:dyDescent="0.3">
      <c r="A21" s="300" t="s">
        <v>18</v>
      </c>
      <c r="B21" s="301">
        <v>9807</v>
      </c>
      <c r="C21" s="301">
        <v>26154</v>
      </c>
      <c r="D21" s="301">
        <v>17284</v>
      </c>
      <c r="E21" s="301">
        <v>72850</v>
      </c>
      <c r="F21" s="301">
        <v>76995</v>
      </c>
      <c r="G21" s="301">
        <v>44319</v>
      </c>
      <c r="H21" s="301">
        <v>26933</v>
      </c>
      <c r="I21" s="311">
        <v>19437</v>
      </c>
      <c r="J21" s="301">
        <f>+VLOOKUP(A21,'TNA1. Formulado'!$A$8:$F$48,6,FALSE)</f>
        <v>18543</v>
      </c>
      <c r="K21" s="302"/>
      <c r="L21" s="298"/>
      <c r="M21" s="303">
        <f t="shared" si="10"/>
        <v>1.0644138039720315E-3</v>
      </c>
      <c r="N21" s="303">
        <f t="shared" si="11"/>
        <v>2.3468118434586591E-3</v>
      </c>
      <c r="O21" s="303">
        <f t="shared" si="12"/>
        <v>1.5338987270078262E-3</v>
      </c>
      <c r="P21" s="303">
        <f t="shared" si="13"/>
        <v>6.0656234682427354E-3</v>
      </c>
      <c r="Q21" s="304">
        <f t="shared" si="14"/>
        <v>5.2386050389808146E-3</v>
      </c>
      <c r="R21" s="304">
        <f t="shared" si="15"/>
        <v>2.8628241557788719E-3</v>
      </c>
      <c r="S21" s="304">
        <f t="shared" si="16"/>
        <v>1.6049635940887188E-3</v>
      </c>
      <c r="T21" s="304">
        <f t="shared" si="17"/>
        <v>1.8932051884945488E-3</v>
      </c>
      <c r="V21" s="303">
        <f t="shared" si="18"/>
        <v>1.666870602630774</v>
      </c>
      <c r="W21" s="303">
        <f t="shared" si="19"/>
        <v>-0.3391450638525656</v>
      </c>
      <c r="X21" s="303">
        <f t="shared" si="20"/>
        <v>3.2148808146262438</v>
      </c>
      <c r="Y21" s="303">
        <f t="shared" si="21"/>
        <v>5.6897735072065858E-2</v>
      </c>
      <c r="Z21" s="303">
        <f t="shared" si="22"/>
        <v>-0.42439119423339178</v>
      </c>
      <c r="AA21" s="303">
        <f t="shared" si="23"/>
        <v>-0.39229224486112046</v>
      </c>
      <c r="AB21" s="303">
        <f t="shared" si="24"/>
        <v>-0.27832027624104261</v>
      </c>
    </row>
    <row r="22" spans="1:28" x14ac:dyDescent="0.3">
      <c r="A22" s="300" t="s">
        <v>19</v>
      </c>
      <c r="B22" s="301">
        <v>4894680</v>
      </c>
      <c r="C22" s="301">
        <v>4687253</v>
      </c>
      <c r="D22" s="301">
        <v>4995527</v>
      </c>
      <c r="E22" s="301">
        <v>4097890</v>
      </c>
      <c r="F22" s="301">
        <v>7641378</v>
      </c>
      <c r="G22" s="301">
        <v>9036539</v>
      </c>
      <c r="H22" s="301">
        <v>9184742</v>
      </c>
      <c r="I22" s="311">
        <v>3573985</v>
      </c>
      <c r="J22" s="301">
        <f>+VLOOKUP(A22,'TNA1. Formulado'!$A$8:$F$48,6,FALSE)</f>
        <v>3683199</v>
      </c>
      <c r="K22" s="302"/>
      <c r="M22" s="303">
        <f t="shared" si="10"/>
        <v>0.53124961334004517</v>
      </c>
      <c r="N22" s="303">
        <f t="shared" si="11"/>
        <v>0.42058961740793493</v>
      </c>
      <c r="O22" s="303">
        <f t="shared" si="12"/>
        <v>0.44333675688690266</v>
      </c>
      <c r="P22" s="303">
        <f t="shared" si="13"/>
        <v>0.34119777287957753</v>
      </c>
      <c r="Q22" s="304">
        <f t="shared" si="14"/>
        <v>0.51990598474650473</v>
      </c>
      <c r="R22" s="304">
        <f t="shared" si="15"/>
        <v>0.58372305633786536</v>
      </c>
      <c r="S22" s="304">
        <f t="shared" si="16"/>
        <v>0.54732768466556292</v>
      </c>
      <c r="T22" s="304">
        <f t="shared" si="17"/>
        <v>0.34811374932354222</v>
      </c>
      <c r="V22" s="303">
        <f t="shared" si="18"/>
        <v>-4.2378051271993233E-2</v>
      </c>
      <c r="W22" s="303">
        <f t="shared" si="19"/>
        <v>6.576858556600218E-2</v>
      </c>
      <c r="X22" s="303">
        <f t="shared" si="20"/>
        <v>-0.17968814901811159</v>
      </c>
      <c r="Y22" s="303">
        <f t="shared" si="21"/>
        <v>0.86471037533950401</v>
      </c>
      <c r="Z22" s="303">
        <f t="shared" si="22"/>
        <v>0.18257976506331719</v>
      </c>
      <c r="AA22" s="303">
        <f t="shared" si="23"/>
        <v>1.6400416132769324E-2</v>
      </c>
      <c r="AB22" s="303">
        <f t="shared" si="24"/>
        <v>-0.61087801921926599</v>
      </c>
    </row>
    <row r="23" spans="1:28" x14ac:dyDescent="0.3">
      <c r="A23" s="300" t="s">
        <v>20</v>
      </c>
      <c r="B23" s="301">
        <v>0</v>
      </c>
      <c r="C23" s="301">
        <v>0</v>
      </c>
      <c r="D23" s="301">
        <v>0</v>
      </c>
      <c r="E23" s="301">
        <v>0</v>
      </c>
      <c r="F23" s="301">
        <v>0</v>
      </c>
      <c r="G23" s="301">
        <v>39412</v>
      </c>
      <c r="H23" s="301">
        <v>38237</v>
      </c>
      <c r="I23" s="301">
        <v>0</v>
      </c>
      <c r="J23" s="301">
        <f>+VLOOKUP(A23,'TNA1. Formulado'!$A$8:$F$48,6,FALSE)</f>
        <v>38237</v>
      </c>
      <c r="K23" s="302"/>
      <c r="M23" s="303">
        <f t="shared" si="10"/>
        <v>0</v>
      </c>
      <c r="N23" s="303">
        <f t="shared" si="11"/>
        <v>0</v>
      </c>
      <c r="O23" s="303">
        <f t="shared" si="12"/>
        <v>0</v>
      </c>
      <c r="P23" s="303">
        <f t="shared" si="13"/>
        <v>0</v>
      </c>
      <c r="Q23" s="304">
        <f t="shared" si="14"/>
        <v>0</v>
      </c>
      <c r="R23" s="304">
        <f t="shared" si="15"/>
        <v>2.5458522445803585E-3</v>
      </c>
      <c r="S23" s="304">
        <f t="shared" si="16"/>
        <v>2.2785799185820496E-3</v>
      </c>
      <c r="T23" s="304">
        <f t="shared" si="17"/>
        <v>0</v>
      </c>
      <c r="V23" s="303" t="str">
        <f t="shared" si="18"/>
        <v/>
      </c>
      <c r="W23" s="303" t="str">
        <f t="shared" si="19"/>
        <v/>
      </c>
      <c r="X23" s="303" t="str">
        <f t="shared" si="20"/>
        <v/>
      </c>
      <c r="Y23" s="303" t="str">
        <f t="shared" si="21"/>
        <v/>
      </c>
      <c r="Z23" s="303" t="str">
        <f t="shared" si="22"/>
        <v/>
      </c>
      <c r="AA23" s="303">
        <f t="shared" si="23"/>
        <v>-2.9813254846239756E-2</v>
      </c>
      <c r="AB23" s="303">
        <f t="shared" si="24"/>
        <v>-1</v>
      </c>
    </row>
    <row r="24" spans="1:28" ht="15" x14ac:dyDescent="0.3">
      <c r="A24" s="306" t="s">
        <v>21</v>
      </c>
      <c r="B24" s="307">
        <f t="shared" ref="B24:I24" si="25">SUM(B17:B23)</f>
        <v>7687070</v>
      </c>
      <c r="C24" s="307">
        <f t="shared" si="25"/>
        <v>9802439</v>
      </c>
      <c r="D24" s="307">
        <f t="shared" si="25"/>
        <v>9706938</v>
      </c>
      <c r="E24" s="307">
        <f t="shared" si="25"/>
        <v>9432358</v>
      </c>
      <c r="F24" s="307">
        <f t="shared" si="25"/>
        <v>12899474</v>
      </c>
      <c r="G24" s="307">
        <f t="shared" si="25"/>
        <v>14003772</v>
      </c>
      <c r="H24" s="307">
        <f t="shared" si="25"/>
        <v>15246708</v>
      </c>
      <c r="I24" s="307">
        <f t="shared" si="25"/>
        <v>8933043</v>
      </c>
      <c r="J24" s="307">
        <f t="shared" ref="J24" si="26">SUM(J17:J23)</f>
        <v>9448078</v>
      </c>
      <c r="K24" s="302"/>
      <c r="M24" s="312">
        <f t="shared" si="10"/>
        <v>0.83432481085951715</v>
      </c>
      <c r="N24" s="312">
        <f t="shared" si="11"/>
        <v>0.879577882541143</v>
      </c>
      <c r="O24" s="312">
        <f t="shared" si="12"/>
        <v>0.86145914379448596</v>
      </c>
      <c r="P24" s="312">
        <f t="shared" si="13"/>
        <v>0.78535527859529319</v>
      </c>
      <c r="Q24" s="312">
        <f t="shared" si="14"/>
        <v>0.87765763356843951</v>
      </c>
      <c r="R24" s="312">
        <f t="shared" si="15"/>
        <v>0.90458577029309795</v>
      </c>
      <c r="S24" s="312">
        <f t="shared" si="16"/>
        <v>0.90856611850522484</v>
      </c>
      <c r="T24" s="312">
        <f t="shared" si="17"/>
        <v>0.87009740992153672</v>
      </c>
      <c r="V24" s="312">
        <f t="shared" si="18"/>
        <v>0.27518534370052561</v>
      </c>
      <c r="W24" s="312">
        <f t="shared" si="19"/>
        <v>-9.7425752917207342E-3</v>
      </c>
      <c r="X24" s="312">
        <f t="shared" si="20"/>
        <v>-2.8286984010817862E-2</v>
      </c>
      <c r="Y24" s="312">
        <f t="shared" si="21"/>
        <v>0.36757680317053265</v>
      </c>
      <c r="Z24" s="312">
        <f t="shared" si="22"/>
        <v>8.5607986806283787E-2</v>
      </c>
      <c r="AA24" s="312">
        <f t="shared" si="23"/>
        <v>8.8757229123695991E-2</v>
      </c>
      <c r="AB24" s="312">
        <f t="shared" si="24"/>
        <v>-0.4141002110094848</v>
      </c>
    </row>
    <row r="25" spans="1:28" ht="15" x14ac:dyDescent="0.3">
      <c r="A25" s="313" t="s">
        <v>22</v>
      </c>
      <c r="B25" s="314">
        <f t="shared" ref="B25:I25" si="27">B15+B24</f>
        <v>9213522</v>
      </c>
      <c r="C25" s="314">
        <f t="shared" si="27"/>
        <v>11144481</v>
      </c>
      <c r="D25" s="314">
        <f t="shared" si="27"/>
        <v>11268019</v>
      </c>
      <c r="E25" s="314">
        <f t="shared" si="27"/>
        <v>12010307</v>
      </c>
      <c r="F25" s="314">
        <f t="shared" si="27"/>
        <v>14697615</v>
      </c>
      <c r="G25" s="314">
        <f t="shared" si="27"/>
        <v>15480867</v>
      </c>
      <c r="H25" s="314">
        <f t="shared" si="27"/>
        <v>16781066</v>
      </c>
      <c r="I25" s="314">
        <f t="shared" si="27"/>
        <v>10266716</v>
      </c>
      <c r="J25" s="314">
        <f t="shared" ref="J25" si="28">J15+J24</f>
        <v>10920363</v>
      </c>
      <c r="K25" s="302"/>
      <c r="M25" s="309">
        <f t="shared" si="10"/>
        <v>1</v>
      </c>
      <c r="N25" s="309">
        <f t="shared" si="11"/>
        <v>1</v>
      </c>
      <c r="O25" s="309">
        <f t="shared" si="12"/>
        <v>1</v>
      </c>
      <c r="P25" s="309">
        <f t="shared" si="13"/>
        <v>1</v>
      </c>
      <c r="Q25" s="309">
        <f t="shared" si="14"/>
        <v>1</v>
      </c>
      <c r="R25" s="309">
        <f t="shared" si="15"/>
        <v>1</v>
      </c>
      <c r="S25" s="309">
        <f t="shared" si="16"/>
        <v>1</v>
      </c>
      <c r="T25" s="309">
        <f t="shared" si="17"/>
        <v>1</v>
      </c>
      <c r="V25" s="312">
        <f t="shared" si="18"/>
        <v>0.20957881253227595</v>
      </c>
      <c r="W25" s="312">
        <f t="shared" si="19"/>
        <v>1.1085128145492007E-2</v>
      </c>
      <c r="X25" s="312">
        <f t="shared" si="20"/>
        <v>6.5875643269682094E-2</v>
      </c>
      <c r="Y25" s="312">
        <f t="shared" si="21"/>
        <v>0.22375015059981407</v>
      </c>
      <c r="Z25" s="312">
        <f t="shared" si="22"/>
        <v>5.3291095187892656E-2</v>
      </c>
      <c r="AA25" s="312">
        <f t="shared" si="23"/>
        <v>8.3987479512613872E-2</v>
      </c>
      <c r="AB25" s="312">
        <f t="shared" si="24"/>
        <v>-0.38819643519666747</v>
      </c>
    </row>
    <row r="26" spans="1:28" x14ac:dyDescent="0.3">
      <c r="B26" s="305"/>
      <c r="C26" s="305"/>
      <c r="D26" s="305"/>
      <c r="E26" s="305"/>
      <c r="F26" s="305"/>
      <c r="G26" s="305"/>
      <c r="H26" s="305"/>
      <c r="I26" s="305"/>
      <c r="J26" s="305"/>
      <c r="M26" s="305"/>
      <c r="N26" s="305"/>
      <c r="O26" s="305"/>
      <c r="P26" s="305"/>
      <c r="Q26" s="305"/>
      <c r="R26" s="305"/>
      <c r="S26" s="305"/>
      <c r="T26" s="305"/>
    </row>
    <row r="27" spans="1:28" x14ac:dyDescent="0.3">
      <c r="A27" s="289" t="s">
        <v>23</v>
      </c>
      <c r="B27" s="305"/>
      <c r="C27" s="305"/>
      <c r="D27" s="305"/>
      <c r="E27" s="305"/>
      <c r="F27" s="305"/>
      <c r="G27" s="305"/>
      <c r="H27" s="305"/>
      <c r="I27" s="305"/>
      <c r="J27" s="305"/>
      <c r="M27" s="305"/>
      <c r="N27" s="305"/>
      <c r="O27" s="305"/>
      <c r="P27" s="305"/>
      <c r="Q27" s="305"/>
      <c r="R27" s="305"/>
      <c r="S27" s="305"/>
      <c r="T27" s="305"/>
    </row>
    <row r="28" spans="1:28" x14ac:dyDescent="0.3">
      <c r="A28" s="289" t="s">
        <v>24</v>
      </c>
      <c r="B28" s="305"/>
      <c r="C28" s="305"/>
      <c r="D28" s="305"/>
      <c r="E28" s="305"/>
      <c r="F28" s="305"/>
      <c r="G28" s="305"/>
      <c r="H28" s="305"/>
      <c r="I28" s="305"/>
      <c r="J28" s="305"/>
      <c r="M28" s="472" t="s">
        <v>24</v>
      </c>
      <c r="N28" s="472"/>
      <c r="O28" s="472"/>
      <c r="P28" s="472"/>
      <c r="Q28" s="472"/>
      <c r="R28" s="472"/>
      <c r="S28" s="472"/>
      <c r="T28" s="472"/>
      <c r="V28" s="472" t="s">
        <v>24</v>
      </c>
      <c r="W28" s="472"/>
      <c r="X28" s="472"/>
      <c r="Y28" s="472"/>
      <c r="Z28" s="472"/>
      <c r="AA28" s="472"/>
      <c r="AB28" s="472"/>
    </row>
    <row r="29" spans="1:28" x14ac:dyDescent="0.3">
      <c r="A29" s="300" t="s">
        <v>25</v>
      </c>
      <c r="B29" s="301">
        <v>167713</v>
      </c>
      <c r="C29" s="301">
        <v>443095</v>
      </c>
      <c r="D29" s="301">
        <v>429078</v>
      </c>
      <c r="E29" s="301">
        <v>1376456</v>
      </c>
      <c r="F29" s="301">
        <v>758099</v>
      </c>
      <c r="G29" s="311">
        <v>682182</v>
      </c>
      <c r="H29" s="311">
        <v>1269423</v>
      </c>
      <c r="I29" s="311">
        <v>653308</v>
      </c>
      <c r="J29" s="301">
        <f>+'TNA1. Formulado'!F29</f>
        <v>269423</v>
      </c>
      <c r="K29" s="315"/>
      <c r="L29" s="298"/>
      <c r="M29" s="303">
        <f t="shared" ref="M29:M36" si="29">+IFERROR(B29/$B$48,0)</f>
        <v>1.8202919578419633E-2</v>
      </c>
      <c r="N29" s="303">
        <f t="shared" ref="N29:N36" si="30">+IFERROR(C29/$C$48,0)</f>
        <v>3.9759141767122218E-2</v>
      </c>
      <c r="O29" s="303">
        <f t="shared" ref="O29:O36" si="31">+IFERROR(D29/$D$48,0)</f>
        <v>3.8079275514178668E-2</v>
      </c>
      <c r="P29" s="303">
        <f t="shared" ref="P29:P36" si="32">+IFERROR(E29/$E$48,0)</f>
        <v>0.11460622946607443</v>
      </c>
      <c r="Q29" s="303">
        <f t="shared" ref="Q29:Q36" si="33">+IFERROR(F29/$F$48,0)</f>
        <v>5.1579729092100998E-2</v>
      </c>
      <c r="R29" s="304">
        <f t="shared" ref="R29:R36" si="34">+IFERROR(G29/$G$48,0)</f>
        <v>4.40661366059149E-2</v>
      </c>
      <c r="S29" s="304">
        <f t="shared" ref="S29:S36" si="35">+IFERROR(H29/$H$48,0)</f>
        <v>7.56461478668876E-2</v>
      </c>
      <c r="T29" s="304">
        <f t="shared" ref="T29:T36" si="36">+IFERROR(I29/$I$48,0)</f>
        <v>6.3633590332098408E-2</v>
      </c>
      <c r="V29" s="303">
        <f t="shared" ref="V29:AB36" si="37">+IFERROR((C29/B29)-1,"")</f>
        <v>1.641983626791006</v>
      </c>
      <c r="W29" s="303">
        <f t="shared" si="37"/>
        <v>-3.1634299642288921E-2</v>
      </c>
      <c r="X29" s="303">
        <f t="shared" si="37"/>
        <v>2.2079388829070705</v>
      </c>
      <c r="Y29" s="303">
        <f t="shared" si="37"/>
        <v>-0.44923847910866743</v>
      </c>
      <c r="Z29" s="303">
        <f t="shared" si="37"/>
        <v>-0.10014127442458043</v>
      </c>
      <c r="AA29" s="303">
        <f t="shared" si="37"/>
        <v>0.86082746246602815</v>
      </c>
      <c r="AB29" s="303">
        <f t="shared" si="37"/>
        <v>-0.48535043086504659</v>
      </c>
    </row>
    <row r="30" spans="1:28" x14ac:dyDescent="0.3">
      <c r="A30" s="300" t="s">
        <v>26</v>
      </c>
      <c r="B30" s="301">
        <v>0</v>
      </c>
      <c r="C30" s="301">
        <v>264650</v>
      </c>
      <c r="D30" s="301">
        <v>250000</v>
      </c>
      <c r="E30" s="301">
        <v>300000</v>
      </c>
      <c r="F30" s="301">
        <v>300000</v>
      </c>
      <c r="G30" s="311">
        <v>250000</v>
      </c>
      <c r="H30" s="311">
        <v>199030</v>
      </c>
      <c r="I30" s="311">
        <v>0</v>
      </c>
      <c r="J30" s="301">
        <f>+'TNA1. Formulado'!F30</f>
        <v>199030</v>
      </c>
      <c r="K30" s="315"/>
      <c r="M30" s="303">
        <f t="shared" si="29"/>
        <v>0</v>
      </c>
      <c r="N30" s="303">
        <f t="shared" si="30"/>
        <v>2.3747180330784358E-2</v>
      </c>
      <c r="O30" s="303">
        <f t="shared" si="31"/>
        <v>2.2186686053688762E-2</v>
      </c>
      <c r="P30" s="303">
        <f t="shared" si="32"/>
        <v>2.4978545510951553E-2</v>
      </c>
      <c r="Q30" s="303">
        <f t="shared" si="33"/>
        <v>2.0411474922972198E-2</v>
      </c>
      <c r="R30" s="303">
        <f t="shared" si="34"/>
        <v>1.6148966333733118E-2</v>
      </c>
      <c r="S30" s="303">
        <f t="shared" si="35"/>
        <v>1.1860390752291899E-2</v>
      </c>
      <c r="T30" s="303">
        <f t="shared" si="36"/>
        <v>0</v>
      </c>
      <c r="V30" s="303" t="str">
        <f t="shared" si="37"/>
        <v/>
      </c>
      <c r="W30" s="303">
        <f t="shared" si="37"/>
        <v>-5.5356130738711484E-2</v>
      </c>
      <c r="X30" s="303">
        <f t="shared" si="37"/>
        <v>0.19999999999999996</v>
      </c>
      <c r="Y30" s="303">
        <f t="shared" si="37"/>
        <v>0</v>
      </c>
      <c r="Z30" s="303">
        <f t="shared" si="37"/>
        <v>-0.16666666666666663</v>
      </c>
      <c r="AA30" s="303">
        <f t="shared" si="37"/>
        <v>-0.20387999999999995</v>
      </c>
      <c r="AB30" s="303">
        <f t="shared" si="37"/>
        <v>-1</v>
      </c>
    </row>
    <row r="31" spans="1:28" x14ac:dyDescent="0.3">
      <c r="A31" s="300" t="s">
        <v>27</v>
      </c>
      <c r="B31" s="301">
        <v>0</v>
      </c>
      <c r="C31" s="301">
        <v>0</v>
      </c>
      <c r="D31" s="301">
        <v>0</v>
      </c>
      <c r="E31" s="301">
        <v>0</v>
      </c>
      <c r="F31" s="301">
        <v>0</v>
      </c>
      <c r="G31" s="311">
        <v>0</v>
      </c>
      <c r="H31" s="311">
        <f>224002</f>
        <v>224002</v>
      </c>
      <c r="I31" s="316">
        <v>77200</v>
      </c>
      <c r="J31" s="301">
        <f>+'TNA1. Formulado'!F31</f>
        <v>224002</v>
      </c>
      <c r="K31" s="315"/>
      <c r="M31" s="303">
        <f t="shared" si="29"/>
        <v>0</v>
      </c>
      <c r="N31" s="303">
        <f t="shared" si="30"/>
        <v>0</v>
      </c>
      <c r="O31" s="303">
        <f t="shared" si="31"/>
        <v>0</v>
      </c>
      <c r="P31" s="303">
        <f t="shared" si="32"/>
        <v>0</v>
      </c>
      <c r="Q31" s="303">
        <f t="shared" si="33"/>
        <v>0</v>
      </c>
      <c r="R31" s="303">
        <f t="shared" si="34"/>
        <v>0</v>
      </c>
      <c r="S31" s="303">
        <f t="shared" si="35"/>
        <v>1.3348496454277697E-2</v>
      </c>
      <c r="T31" s="303">
        <f t="shared" si="36"/>
        <v>7.5194443870854125E-3</v>
      </c>
      <c r="V31" s="303" t="str">
        <f t="shared" si="37"/>
        <v/>
      </c>
      <c r="W31" s="303" t="str">
        <f t="shared" si="37"/>
        <v/>
      </c>
      <c r="X31" s="303" t="str">
        <f t="shared" si="37"/>
        <v/>
      </c>
      <c r="Y31" s="303" t="str">
        <f t="shared" si="37"/>
        <v/>
      </c>
      <c r="Z31" s="303" t="str">
        <f t="shared" si="37"/>
        <v/>
      </c>
      <c r="AA31" s="303" t="str">
        <f t="shared" si="37"/>
        <v/>
      </c>
      <c r="AB31" s="303">
        <f t="shared" si="37"/>
        <v>-0.65536021999803573</v>
      </c>
    </row>
    <row r="32" spans="1:28" x14ac:dyDescent="0.3">
      <c r="A32" s="300" t="s">
        <v>28</v>
      </c>
      <c r="B32" s="301">
        <v>445305</v>
      </c>
      <c r="C32" s="301">
        <v>550014</v>
      </c>
      <c r="D32" s="301">
        <v>498601</v>
      </c>
      <c r="E32" s="301">
        <v>848692</v>
      </c>
      <c r="F32" s="301">
        <v>606263</v>
      </c>
      <c r="G32" s="311">
        <v>500749</v>
      </c>
      <c r="H32" s="311">
        <v>618347</v>
      </c>
      <c r="I32" s="311">
        <v>560779</v>
      </c>
      <c r="J32" s="301">
        <f>+'TNA1. Formulado'!F32</f>
        <v>610106</v>
      </c>
      <c r="K32" s="315"/>
      <c r="L32" s="298"/>
      <c r="M32" s="303">
        <f t="shared" si="29"/>
        <v>4.8331680328109056E-2</v>
      </c>
      <c r="N32" s="303">
        <f t="shared" si="30"/>
        <v>4.9353038512964402E-2</v>
      </c>
      <c r="O32" s="303">
        <f t="shared" si="31"/>
        <v>4.4249215412221085E-2</v>
      </c>
      <c r="P32" s="303">
        <f t="shared" si="32"/>
        <v>7.0663639155934987E-2</v>
      </c>
      <c r="Q32" s="303">
        <f t="shared" si="33"/>
        <v>4.124907340408631E-2</v>
      </c>
      <c r="R32" s="304">
        <f t="shared" si="34"/>
        <v>3.23463149706021E-2</v>
      </c>
      <c r="S32" s="304">
        <f t="shared" si="35"/>
        <v>3.684789750543857E-2</v>
      </c>
      <c r="T32" s="304">
        <f t="shared" si="36"/>
        <v>5.4621068703955576E-2</v>
      </c>
      <c r="V32" s="303">
        <f t="shared" si="37"/>
        <v>0.23513996025196215</v>
      </c>
      <c r="W32" s="303">
        <f t="shared" si="37"/>
        <v>-9.3475802434119903E-2</v>
      </c>
      <c r="X32" s="303">
        <f t="shared" si="37"/>
        <v>0.70214660620415925</v>
      </c>
      <c r="Y32" s="303">
        <f t="shared" si="37"/>
        <v>-0.2856501534125454</v>
      </c>
      <c r="Z32" s="303">
        <f t="shared" si="37"/>
        <v>-0.17403997934889648</v>
      </c>
      <c r="AA32" s="303">
        <f t="shared" si="37"/>
        <v>0.23484420338333178</v>
      </c>
      <c r="AB32" s="303">
        <f t="shared" si="37"/>
        <v>-9.3099829060381945E-2</v>
      </c>
    </row>
    <row r="33" spans="1:28" x14ac:dyDescent="0.3">
      <c r="A33" s="300" t="s">
        <v>29</v>
      </c>
      <c r="B33" s="301">
        <v>35633</v>
      </c>
      <c r="C33" s="301">
        <v>81199</v>
      </c>
      <c r="D33" s="301">
        <v>119222</v>
      </c>
      <c r="E33" s="301">
        <v>227108</v>
      </c>
      <c r="F33" s="301">
        <v>194225</v>
      </c>
      <c r="G33" s="311">
        <v>46445</v>
      </c>
      <c r="H33" s="311">
        <v>121499</v>
      </c>
      <c r="I33" s="311">
        <v>124320</v>
      </c>
      <c r="J33" s="301">
        <f>+'TNA1. Formulado'!F33</f>
        <v>120603</v>
      </c>
      <c r="K33" s="315"/>
      <c r="L33" s="298"/>
      <c r="M33" s="303">
        <f t="shared" si="29"/>
        <v>3.8674678369466095E-3</v>
      </c>
      <c r="N33" s="303">
        <f t="shared" si="30"/>
        <v>7.2860279451326627E-3</v>
      </c>
      <c r="O33" s="303">
        <f t="shared" si="31"/>
        <v>1.0580564338771527E-2</v>
      </c>
      <c r="P33" s="303">
        <f t="shared" si="32"/>
        <v>1.8909425046337282E-2</v>
      </c>
      <c r="Q33" s="303">
        <f t="shared" si="33"/>
        <v>1.3214729056380917E-2</v>
      </c>
      <c r="R33" s="304">
        <f t="shared" si="34"/>
        <v>3.0001549654809384E-3</v>
      </c>
      <c r="S33" s="304">
        <f t="shared" si="35"/>
        <v>7.2402432598739552E-3</v>
      </c>
      <c r="T33" s="304">
        <f t="shared" si="36"/>
        <v>1.2109032722829774E-2</v>
      </c>
      <c r="V33" s="303">
        <f t="shared" si="37"/>
        <v>1.2787584542418546</v>
      </c>
      <c r="W33" s="303">
        <f t="shared" si="37"/>
        <v>0.46826931366149838</v>
      </c>
      <c r="X33" s="303">
        <f t="shared" si="37"/>
        <v>0.90491687775746077</v>
      </c>
      <c r="Y33" s="303">
        <f t="shared" si="37"/>
        <v>-0.14479014389629608</v>
      </c>
      <c r="Z33" s="303">
        <f t="shared" si="37"/>
        <v>-0.76087012485519367</v>
      </c>
      <c r="AA33" s="303">
        <f t="shared" si="37"/>
        <v>1.6159758854559154</v>
      </c>
      <c r="AB33" s="303">
        <f t="shared" si="37"/>
        <v>2.3218298092988476E-2</v>
      </c>
    </row>
    <row r="34" spans="1:28" x14ac:dyDescent="0.3">
      <c r="A34" s="300" t="s">
        <v>30</v>
      </c>
      <c r="B34" s="301">
        <v>12516</v>
      </c>
      <c r="C34" s="301">
        <v>16749</v>
      </c>
      <c r="D34" s="301">
        <v>32924</v>
      </c>
      <c r="E34" s="301">
        <v>30121</v>
      </c>
      <c r="F34" s="301">
        <v>28520</v>
      </c>
      <c r="G34" s="311">
        <v>36419</v>
      </c>
      <c r="H34" s="311">
        <v>38470</v>
      </c>
      <c r="I34" s="311">
        <v>51106</v>
      </c>
      <c r="J34" s="301">
        <f>+'TNA1. Formulado'!F34</f>
        <v>38470</v>
      </c>
      <c r="K34" s="315"/>
      <c r="L34" s="298"/>
      <c r="M34" s="303">
        <f t="shared" si="29"/>
        <v>1.3584381738058475E-3</v>
      </c>
      <c r="N34" s="303">
        <f t="shared" si="30"/>
        <v>1.5028963663718392E-3</v>
      </c>
      <c r="O34" s="303">
        <f t="shared" si="31"/>
        <v>2.9218978065265952E-3</v>
      </c>
      <c r="P34" s="303">
        <f t="shared" si="32"/>
        <v>2.5079292311179055E-3</v>
      </c>
      <c r="Q34" s="303">
        <f t="shared" si="33"/>
        <v>1.9404508826772234E-3</v>
      </c>
      <c r="R34" s="304">
        <f t="shared" si="34"/>
        <v>2.3525168196329056E-3</v>
      </c>
      <c r="S34" s="304">
        <f t="shared" si="35"/>
        <v>2.2924646145840795E-3</v>
      </c>
      <c r="T34" s="304">
        <f t="shared" si="36"/>
        <v>4.9778332233987969E-3</v>
      </c>
      <c r="V34" s="303">
        <f t="shared" si="37"/>
        <v>0.33820709491850431</v>
      </c>
      <c r="W34" s="303">
        <f t="shared" si="37"/>
        <v>0.96572929727147883</v>
      </c>
      <c r="X34" s="303">
        <f t="shared" si="37"/>
        <v>-8.5135463491677776E-2</v>
      </c>
      <c r="Y34" s="303">
        <f t="shared" si="37"/>
        <v>-5.3152285780684538E-2</v>
      </c>
      <c r="Z34" s="303">
        <f t="shared" si="37"/>
        <v>0.27696353436185128</v>
      </c>
      <c r="AA34" s="303">
        <f t="shared" si="37"/>
        <v>5.6316757736346368E-2</v>
      </c>
      <c r="AB34" s="303">
        <f t="shared" si="37"/>
        <v>0.32846373797764494</v>
      </c>
    </row>
    <row r="35" spans="1:28" x14ac:dyDescent="0.3">
      <c r="A35" s="300" t="s">
        <v>31</v>
      </c>
      <c r="B35" s="301">
        <v>89170</v>
      </c>
      <c r="C35" s="301">
        <v>134486</v>
      </c>
      <c r="D35" s="301">
        <v>202687</v>
      </c>
      <c r="E35" s="301">
        <v>265960</v>
      </c>
      <c r="F35" s="301">
        <v>266636</v>
      </c>
      <c r="G35" s="311">
        <v>249145</v>
      </c>
      <c r="H35" s="311">
        <v>322083</v>
      </c>
      <c r="I35" s="311">
        <v>302963</v>
      </c>
      <c r="J35" s="301">
        <f>+'TNA1. Formulado'!F35</f>
        <v>296220</v>
      </c>
      <c r="K35" s="315"/>
      <c r="M35" s="303">
        <f t="shared" si="29"/>
        <v>9.6781665035368669E-3</v>
      </c>
      <c r="N35" s="303">
        <f t="shared" si="30"/>
        <v>1.2067497804518667E-2</v>
      </c>
      <c r="O35" s="303">
        <f t="shared" si="31"/>
        <v>1.7987811344656057E-2</v>
      </c>
      <c r="P35" s="303">
        <f t="shared" si="32"/>
        <v>2.2144313213642249E-2</v>
      </c>
      <c r="Q35" s="303">
        <f t="shared" si="33"/>
        <v>1.8141446758538717E-2</v>
      </c>
      <c r="R35" s="304">
        <f t="shared" si="34"/>
        <v>1.609373686887175E-2</v>
      </c>
      <c r="S35" s="304">
        <f t="shared" si="35"/>
        <v>1.9193238379492699E-2</v>
      </c>
      <c r="T35" s="304">
        <f t="shared" si="36"/>
        <v>2.9509241319230023E-2</v>
      </c>
      <c r="V35" s="303">
        <f t="shared" si="37"/>
        <v>0.50819782438039707</v>
      </c>
      <c r="W35" s="303">
        <f t="shared" si="37"/>
        <v>0.50712341805094963</v>
      </c>
      <c r="X35" s="303">
        <f t="shared" si="37"/>
        <v>0.31217098284547107</v>
      </c>
      <c r="Y35" s="303">
        <f t="shared" si="37"/>
        <v>2.5417355993382351E-3</v>
      </c>
      <c r="Z35" s="303">
        <f t="shared" si="37"/>
        <v>-6.559879386129408E-2</v>
      </c>
      <c r="AA35" s="303">
        <f t="shared" si="37"/>
        <v>0.29275321599871562</v>
      </c>
      <c r="AB35" s="303">
        <f t="shared" si="37"/>
        <v>-5.9363580195167076E-2</v>
      </c>
    </row>
    <row r="36" spans="1:28" ht="15" x14ac:dyDescent="0.3">
      <c r="A36" s="306" t="s">
        <v>32</v>
      </c>
      <c r="B36" s="307">
        <f t="shared" ref="B36:J36" si="38">SUM(B29:B35)</f>
        <v>750337</v>
      </c>
      <c r="C36" s="307">
        <f t="shared" si="38"/>
        <v>1490193</v>
      </c>
      <c r="D36" s="307">
        <f t="shared" si="38"/>
        <v>1532512</v>
      </c>
      <c r="E36" s="307">
        <f t="shared" si="38"/>
        <v>3048337</v>
      </c>
      <c r="F36" s="307">
        <f t="shared" si="38"/>
        <v>2153743</v>
      </c>
      <c r="G36" s="307">
        <f t="shared" si="38"/>
        <v>1764940</v>
      </c>
      <c r="H36" s="307">
        <f t="shared" si="38"/>
        <v>2792854</v>
      </c>
      <c r="I36" s="307">
        <f t="shared" si="38"/>
        <v>1769676</v>
      </c>
      <c r="J36" s="307">
        <f t="shared" si="38"/>
        <v>1757854</v>
      </c>
      <c r="K36" s="315"/>
      <c r="M36" s="309">
        <f t="shared" si="29"/>
        <v>8.1438672420818009E-2</v>
      </c>
      <c r="N36" s="309">
        <f t="shared" si="30"/>
        <v>0.13371578272689413</v>
      </c>
      <c r="O36" s="309">
        <f t="shared" si="31"/>
        <v>0.1360054504700427</v>
      </c>
      <c r="P36" s="309">
        <f t="shared" si="32"/>
        <v>0.25381008162405838</v>
      </c>
      <c r="Q36" s="309">
        <f t="shared" si="33"/>
        <v>0.14653690411675635</v>
      </c>
      <c r="R36" s="309">
        <f t="shared" si="34"/>
        <v>0.11400782656423571</v>
      </c>
      <c r="S36" s="309">
        <f t="shared" si="35"/>
        <v>0.16642887883284649</v>
      </c>
      <c r="T36" s="309">
        <f t="shared" si="36"/>
        <v>0.17237021068859798</v>
      </c>
      <c r="V36" s="317">
        <f t="shared" si="37"/>
        <v>0.9860316097966646</v>
      </c>
      <c r="W36" s="317">
        <f t="shared" si="37"/>
        <v>2.8398334980771045E-2</v>
      </c>
      <c r="X36" s="317">
        <f t="shared" si="37"/>
        <v>0.98911134137938239</v>
      </c>
      <c r="Y36" s="317">
        <f t="shared" si="37"/>
        <v>-0.29346952125043912</v>
      </c>
      <c r="Z36" s="317">
        <f t="shared" si="37"/>
        <v>-0.18052432439710775</v>
      </c>
      <c r="AA36" s="317">
        <f t="shared" si="37"/>
        <v>0.58240733396036126</v>
      </c>
      <c r="AB36" s="317">
        <f t="shared" si="37"/>
        <v>-0.36635570638493808</v>
      </c>
    </row>
    <row r="37" spans="1:28" x14ac:dyDescent="0.3">
      <c r="A37" s="289" t="s">
        <v>33</v>
      </c>
      <c r="B37" s="305"/>
      <c r="C37" s="305"/>
      <c r="D37" s="305"/>
      <c r="E37" s="305"/>
      <c r="F37" s="305"/>
      <c r="G37" s="305"/>
      <c r="H37" s="305"/>
      <c r="I37" s="305"/>
      <c r="J37" s="305"/>
      <c r="M37" s="471" t="s">
        <v>33</v>
      </c>
      <c r="N37" s="471"/>
      <c r="O37" s="471"/>
      <c r="P37" s="471"/>
      <c r="Q37" s="471"/>
      <c r="R37" s="471"/>
      <c r="S37" s="471"/>
      <c r="T37" s="471"/>
      <c r="V37" s="474" t="s">
        <v>33</v>
      </c>
      <c r="W37" s="474"/>
      <c r="X37" s="474"/>
      <c r="Y37" s="474"/>
      <c r="Z37" s="474"/>
      <c r="AA37" s="474"/>
      <c r="AB37" s="474"/>
    </row>
    <row r="38" spans="1:28" x14ac:dyDescent="0.3">
      <c r="A38" s="300" t="s">
        <v>25</v>
      </c>
      <c r="B38" s="301">
        <v>605043</v>
      </c>
      <c r="C38" s="301">
        <v>1194499</v>
      </c>
      <c r="D38" s="301">
        <v>1140789</v>
      </c>
      <c r="E38" s="301">
        <v>1251583</v>
      </c>
      <c r="F38" s="301">
        <v>959660</v>
      </c>
      <c r="G38" s="311">
        <v>700167</v>
      </c>
      <c r="H38" s="311">
        <v>719717</v>
      </c>
      <c r="I38" s="311">
        <v>369717</v>
      </c>
      <c r="J38" s="301">
        <f>+'TNA1. Formulado'!F38</f>
        <v>719717</v>
      </c>
      <c r="K38" s="315"/>
      <c r="L38" s="298"/>
      <c r="M38" s="303">
        <f t="shared" ref="M38:M48" si="39">+IFERROR(B38/$B$48,0)</f>
        <v>6.5669024288431715E-2</v>
      </c>
      <c r="N38" s="303">
        <f t="shared" ref="N38:N48" si="40">+IFERROR(C38/$C$48,0)</f>
        <v>0.10718300834287393</v>
      </c>
      <c r="O38" s="303">
        <f t="shared" ref="O38:O48" si="41">+IFERROR(D38/$D$48,0)</f>
        <v>0.1012413095860062</v>
      </c>
      <c r="P38" s="303">
        <f t="shared" ref="P38:P48" si="42">+IFERROR(E38/$E$48,0)</f>
        <v>0.10420907642077759</v>
      </c>
      <c r="Q38" s="303">
        <f t="shared" ref="Q38:Q48" si="43">+IFERROR(F38/$F$48,0)</f>
        <v>6.5293586748598323E-2</v>
      </c>
      <c r="R38" s="304">
        <f t="shared" ref="R38:R48" si="44">+IFERROR(G38/$G$48,0)</f>
        <v>4.522789324396366E-2</v>
      </c>
      <c r="S38" s="304">
        <f t="shared" ref="S38:S48" si="45">+IFERROR(H38/$H$48,0)</f>
        <v>4.2888634130871066E-2</v>
      </c>
      <c r="T38" s="304">
        <f t="shared" ref="T38:T48" si="46">+IFERROR(I38/$I$48,0)</f>
        <v>3.6011223062954116E-2</v>
      </c>
      <c r="V38" s="303">
        <f t="shared" ref="V38:V48" si="47">+IFERROR((C38/B38)-1,"")</f>
        <v>0.97423819464071149</v>
      </c>
      <c r="W38" s="303">
        <f t="shared" ref="W38:W48" si="48">+IFERROR((D38/C38)-1,"")</f>
        <v>-4.4964457902434418E-2</v>
      </c>
      <c r="X38" s="303">
        <f t="shared" ref="X38:X48" si="49">+IFERROR((E38/D38)-1,"")</f>
        <v>9.71205016878669E-2</v>
      </c>
      <c r="Y38" s="303">
        <f t="shared" ref="Y38:Y48" si="50">+IFERROR((F38/E38)-1,"")</f>
        <v>-0.23324302103815731</v>
      </c>
      <c r="Z38" s="303">
        <f t="shared" ref="Z38:Z48" si="51">+IFERROR((G38/F38)-1,"")</f>
        <v>-0.27040097534543484</v>
      </c>
      <c r="AA38" s="303">
        <f t="shared" ref="AA38:AA48" si="52">+IFERROR((H38/G38)-1,"")</f>
        <v>2.7921910058600341E-2</v>
      </c>
      <c r="AB38" s="303">
        <f t="shared" ref="AB38:AB48" si="53">+IFERROR((I38/H38)-1,"")</f>
        <v>-0.4863022549140843</v>
      </c>
    </row>
    <row r="39" spans="1:28" x14ac:dyDescent="0.3">
      <c r="A39" s="300" t="s">
        <v>29</v>
      </c>
      <c r="B39" s="301">
        <v>0</v>
      </c>
      <c r="C39" s="301">
        <v>0</v>
      </c>
      <c r="D39" s="301">
        <v>0</v>
      </c>
      <c r="E39" s="301">
        <v>0</v>
      </c>
      <c r="F39" s="301">
        <v>0</v>
      </c>
      <c r="G39" s="311">
        <v>0</v>
      </c>
      <c r="H39" s="311">
        <v>63481</v>
      </c>
      <c r="I39" s="311">
        <v>30745</v>
      </c>
      <c r="J39" s="301">
        <f>+'TNA1. Formulado'!F39</f>
        <v>63481</v>
      </c>
      <c r="K39" s="315"/>
      <c r="M39" s="303">
        <f t="shared" si="39"/>
        <v>0</v>
      </c>
      <c r="N39" s="303">
        <f t="shared" si="40"/>
        <v>0</v>
      </c>
      <c r="O39" s="303">
        <f t="shared" si="41"/>
        <v>0</v>
      </c>
      <c r="P39" s="303">
        <f t="shared" si="42"/>
        <v>0</v>
      </c>
      <c r="Q39" s="303">
        <f t="shared" si="43"/>
        <v>0</v>
      </c>
      <c r="R39" s="304">
        <f t="shared" si="44"/>
        <v>0</v>
      </c>
      <c r="S39" s="304">
        <f t="shared" si="45"/>
        <v>3.7828943643985428E-3</v>
      </c>
      <c r="T39" s="304">
        <f t="shared" si="46"/>
        <v>2.9946284673697024E-3</v>
      </c>
      <c r="V39" s="303" t="str">
        <f t="shared" si="47"/>
        <v/>
      </c>
      <c r="W39" s="303" t="str">
        <f t="shared" si="48"/>
        <v/>
      </c>
      <c r="X39" s="303" t="str">
        <f t="shared" si="49"/>
        <v/>
      </c>
      <c r="Y39" s="303" t="str">
        <f t="shared" si="50"/>
        <v/>
      </c>
      <c r="Z39" s="303" t="str">
        <f t="shared" si="51"/>
        <v/>
      </c>
      <c r="AA39" s="303" t="str">
        <f t="shared" si="52"/>
        <v/>
      </c>
      <c r="AB39" s="303">
        <f t="shared" si="53"/>
        <v>-0.51568185756368046</v>
      </c>
    </row>
    <row r="40" spans="1:28" x14ac:dyDescent="0.3">
      <c r="A40" s="300" t="s">
        <v>28</v>
      </c>
      <c r="B40" s="301">
        <v>0</v>
      </c>
      <c r="C40" s="301">
        <v>314053</v>
      </c>
      <c r="D40" s="301">
        <v>243972</v>
      </c>
      <c r="E40" s="301">
        <v>224584</v>
      </c>
      <c r="F40" s="301">
        <v>175395</v>
      </c>
      <c r="G40" s="311">
        <v>136850</v>
      </c>
      <c r="H40" s="311">
        <v>111122</v>
      </c>
      <c r="I40" s="311">
        <v>75857</v>
      </c>
      <c r="J40" s="301">
        <f>+'TNA1. Formulado'!F40</f>
        <v>111122</v>
      </c>
      <c r="K40" s="315"/>
      <c r="M40" s="303">
        <f t="shared" si="39"/>
        <v>0</v>
      </c>
      <c r="N40" s="303">
        <f t="shared" si="40"/>
        <v>2.8180136876719518E-2</v>
      </c>
      <c r="O40" s="303">
        <f t="shared" si="41"/>
        <v>2.1651720679562218E-2</v>
      </c>
      <c r="P40" s="303">
        <f t="shared" si="42"/>
        <v>1.8699272216771812E-2</v>
      </c>
      <c r="Q40" s="303">
        <f t="shared" si="43"/>
        <v>1.1933568813715694E-2</v>
      </c>
      <c r="R40" s="304">
        <f t="shared" si="44"/>
        <v>8.8399441710855075E-3</v>
      </c>
      <c r="S40" s="304">
        <f t="shared" si="45"/>
        <v>6.6218677645389157E-3</v>
      </c>
      <c r="T40" s="304">
        <f t="shared" si="46"/>
        <v>7.3886333273463492E-3</v>
      </c>
      <c r="V40" s="303" t="str">
        <f t="shared" si="47"/>
        <v/>
      </c>
      <c r="W40" s="303">
        <f t="shared" si="48"/>
        <v>-0.22315023260405087</v>
      </c>
      <c r="X40" s="303">
        <f t="shared" si="49"/>
        <v>-7.9468135687701835E-2</v>
      </c>
      <c r="Y40" s="303">
        <f t="shared" si="50"/>
        <v>-0.21902272646314969</v>
      </c>
      <c r="Z40" s="303">
        <f t="shared" si="51"/>
        <v>-0.21976111063599302</v>
      </c>
      <c r="AA40" s="303">
        <f t="shared" si="52"/>
        <v>-0.18800146145414687</v>
      </c>
      <c r="AB40" s="303">
        <f t="shared" si="53"/>
        <v>-0.31735389931786684</v>
      </c>
    </row>
    <row r="41" spans="1:28" x14ac:dyDescent="0.3">
      <c r="A41" s="300" t="s">
        <v>27</v>
      </c>
      <c r="B41" s="301">
        <v>470565</v>
      </c>
      <c r="C41" s="301">
        <v>476370</v>
      </c>
      <c r="D41" s="301">
        <v>583580</v>
      </c>
      <c r="E41" s="301">
        <v>585222</v>
      </c>
      <c r="F41" s="301">
        <v>1226864</v>
      </c>
      <c r="G41" s="311">
        <v>1228506</v>
      </c>
      <c r="H41" s="311">
        <v>1006146</v>
      </c>
      <c r="I41" s="311">
        <v>1930588</v>
      </c>
      <c r="J41" s="301">
        <f>+'TNA1. Formulado'!F41</f>
        <v>2006146</v>
      </c>
      <c r="K41" s="315"/>
      <c r="L41" s="298"/>
      <c r="M41" s="303">
        <f t="shared" si="39"/>
        <v>5.1073302912827474E-2</v>
      </c>
      <c r="N41" s="303">
        <f t="shared" si="40"/>
        <v>4.2744924595411848E-2</v>
      </c>
      <c r="O41" s="303">
        <f t="shared" si="41"/>
        <v>5.1790824988846754E-2</v>
      </c>
      <c r="P41" s="303">
        <f t="shared" si="42"/>
        <v>4.8726647870033633E-2</v>
      </c>
      <c r="Q41" s="303">
        <f t="shared" si="43"/>
        <v>8.3473679232991205E-2</v>
      </c>
      <c r="R41" s="304">
        <f t="shared" si="44"/>
        <v>7.9356408139156551E-2</v>
      </c>
      <c r="S41" s="304">
        <f t="shared" si="45"/>
        <v>5.9957216067203362E-2</v>
      </c>
      <c r="T41" s="304">
        <f t="shared" si="46"/>
        <v>0.18804338212920277</v>
      </c>
      <c r="V41" s="303">
        <f t="shared" si="47"/>
        <v>1.2336234101558707E-2</v>
      </c>
      <c r="W41" s="303">
        <f t="shared" si="48"/>
        <v>0.22505615383000599</v>
      </c>
      <c r="X41" s="303">
        <f t="shared" si="49"/>
        <v>2.813667363514849E-3</v>
      </c>
      <c r="Y41" s="303">
        <f t="shared" si="50"/>
        <v>1.0964078588979906</v>
      </c>
      <c r="Z41" s="303">
        <f t="shared" si="51"/>
        <v>1.3383716532557877E-3</v>
      </c>
      <c r="AA41" s="303">
        <f t="shared" si="52"/>
        <v>-0.18100033699469109</v>
      </c>
      <c r="AB41" s="303">
        <f t="shared" si="53"/>
        <v>0.91879508540510035</v>
      </c>
    </row>
    <row r="42" spans="1:28" x14ac:dyDescent="0.3">
      <c r="A42" s="300" t="s">
        <v>30</v>
      </c>
      <c r="B42" s="301">
        <v>194615</v>
      </c>
      <c r="C42" s="301">
        <v>205660</v>
      </c>
      <c r="D42" s="301">
        <v>199819</v>
      </c>
      <c r="E42" s="301">
        <v>216176</v>
      </c>
      <c r="F42" s="301">
        <v>222826</v>
      </c>
      <c r="G42" s="311">
        <v>224990</v>
      </c>
      <c r="H42" s="311">
        <v>253366</v>
      </c>
      <c r="I42" s="311">
        <v>255627</v>
      </c>
      <c r="J42" s="301">
        <f>+'TNA1. Formulado'!F42</f>
        <v>253366</v>
      </c>
      <c r="K42" s="315"/>
      <c r="M42" s="303">
        <f t="shared" si="39"/>
        <v>2.112275848475751E-2</v>
      </c>
      <c r="N42" s="303">
        <f t="shared" si="40"/>
        <v>1.8453977354351451E-2</v>
      </c>
      <c r="O42" s="303">
        <f t="shared" si="41"/>
        <v>1.7733285682248141E-2</v>
      </c>
      <c r="P42" s="303">
        <f t="shared" si="42"/>
        <v>1.7999206847918208E-2</v>
      </c>
      <c r="Q42" s="303">
        <f t="shared" si="43"/>
        <v>1.5160691037287342E-2</v>
      </c>
      <c r="R42" s="304">
        <f t="shared" si="44"/>
        <v>1.4533423741706457E-2</v>
      </c>
      <c r="S42" s="304">
        <f t="shared" si="45"/>
        <v>1.5098325696353259E-2</v>
      </c>
      <c r="T42" s="304">
        <f t="shared" si="46"/>
        <v>2.4898614123542523E-2</v>
      </c>
      <c r="V42" s="303">
        <f t="shared" si="47"/>
        <v>5.675307658710782E-2</v>
      </c>
      <c r="W42" s="303">
        <f t="shared" si="48"/>
        <v>-2.840124477292616E-2</v>
      </c>
      <c r="X42" s="303">
        <f t="shared" si="49"/>
        <v>8.1859082469635025E-2</v>
      </c>
      <c r="Y42" s="303">
        <f t="shared" si="50"/>
        <v>3.0761971726741111E-2</v>
      </c>
      <c r="Z42" s="303">
        <f t="shared" si="51"/>
        <v>9.7116135459955899E-3</v>
      </c>
      <c r="AA42" s="303">
        <f t="shared" si="52"/>
        <v>0.1261211609404862</v>
      </c>
      <c r="AB42" s="303">
        <f t="shared" si="53"/>
        <v>8.9238492931174029E-3</v>
      </c>
    </row>
    <row r="43" spans="1:28" x14ac:dyDescent="0.3">
      <c r="A43" s="300" t="s">
        <v>34</v>
      </c>
      <c r="B43" s="301">
        <v>197288</v>
      </c>
      <c r="C43" s="301">
        <v>317089</v>
      </c>
      <c r="D43" s="301">
        <v>261965</v>
      </c>
      <c r="E43" s="301">
        <v>163609</v>
      </c>
      <c r="F43" s="301">
        <v>131623</v>
      </c>
      <c r="G43" s="311">
        <v>160869</v>
      </c>
      <c r="H43" s="311">
        <v>135676</v>
      </c>
      <c r="I43" s="311">
        <v>38166</v>
      </c>
      <c r="J43" s="301">
        <f>+'TNA1. Formulado'!F43</f>
        <v>135676</v>
      </c>
      <c r="K43" s="315"/>
      <c r="M43" s="303">
        <f t="shared" si="39"/>
        <v>2.1412875553995528E-2</v>
      </c>
      <c r="N43" s="303">
        <f t="shared" si="40"/>
        <v>2.8452558714937015E-2</v>
      </c>
      <c r="O43" s="303">
        <f t="shared" si="41"/>
        <v>2.3248540848218306E-2</v>
      </c>
      <c r="P43" s="303">
        <f t="shared" si="42"/>
        <v>1.3622382841670909E-2</v>
      </c>
      <c r="Q43" s="303">
        <f t="shared" si="43"/>
        <v>8.9553985459545644E-3</v>
      </c>
      <c r="R43" s="304">
        <f t="shared" si="44"/>
        <v>1.039147226056525E-2</v>
      </c>
      <c r="S43" s="304">
        <f t="shared" si="45"/>
        <v>8.0850644410790113E-3</v>
      </c>
      <c r="T43" s="304">
        <f t="shared" si="46"/>
        <v>3.7174496693976925E-3</v>
      </c>
      <c r="V43" s="303">
        <f t="shared" si="47"/>
        <v>0.60723916305097125</v>
      </c>
      <c r="W43" s="303">
        <f t="shared" si="48"/>
        <v>-0.17384393656039787</v>
      </c>
      <c r="X43" s="303">
        <f t="shared" si="49"/>
        <v>-0.37545473631973736</v>
      </c>
      <c r="Y43" s="303">
        <f t="shared" si="50"/>
        <v>-0.19550269239467266</v>
      </c>
      <c r="Z43" s="303">
        <f t="shared" si="51"/>
        <v>0.22219520904401202</v>
      </c>
      <c r="AA43" s="303">
        <f t="shared" si="52"/>
        <v>-0.15660568537132702</v>
      </c>
      <c r="AB43" s="303">
        <f t="shared" si="53"/>
        <v>-0.7186974851852943</v>
      </c>
    </row>
    <row r="44" spans="1:28" x14ac:dyDescent="0.3">
      <c r="A44" s="300" t="s">
        <v>31</v>
      </c>
      <c r="B44" s="301">
        <v>4532</v>
      </c>
      <c r="C44" s="301">
        <v>16383</v>
      </c>
      <c r="D44" s="301">
        <v>18919</v>
      </c>
      <c r="E44" s="301">
        <v>0</v>
      </c>
      <c r="F44" s="301">
        <v>0</v>
      </c>
      <c r="G44" s="301">
        <v>0</v>
      </c>
      <c r="H44" s="301">
        <v>0</v>
      </c>
      <c r="I44" s="301">
        <v>0</v>
      </c>
      <c r="J44" s="301">
        <f>+'TNA1. Formulado'!F44</f>
        <v>0</v>
      </c>
      <c r="K44" s="315"/>
      <c r="M44" s="303">
        <f t="shared" si="39"/>
        <v>4.9188573055993141E-4</v>
      </c>
      <c r="N44" s="303">
        <f t="shared" si="40"/>
        <v>1.4700549985234843E-3</v>
      </c>
      <c r="O44" s="303">
        <f t="shared" si="41"/>
        <v>1.6789996537989508E-3</v>
      </c>
      <c r="P44" s="303">
        <f t="shared" si="42"/>
        <v>0</v>
      </c>
      <c r="Q44" s="303">
        <f t="shared" si="43"/>
        <v>0</v>
      </c>
      <c r="R44" s="304">
        <f t="shared" si="44"/>
        <v>0</v>
      </c>
      <c r="S44" s="304">
        <f t="shared" si="45"/>
        <v>0</v>
      </c>
      <c r="T44" s="304">
        <f t="shared" si="46"/>
        <v>0</v>
      </c>
      <c r="V44" s="303">
        <f t="shared" si="47"/>
        <v>2.6149602824360105</v>
      </c>
      <c r="W44" s="303">
        <f t="shared" si="48"/>
        <v>0.15479460416285185</v>
      </c>
      <c r="X44" s="303">
        <f t="shared" si="49"/>
        <v>-1</v>
      </c>
      <c r="Y44" s="303" t="str">
        <f t="shared" si="50"/>
        <v/>
      </c>
      <c r="Z44" s="303" t="str">
        <f t="shared" si="51"/>
        <v/>
      </c>
      <c r="AA44" s="303" t="str">
        <f t="shared" si="52"/>
        <v/>
      </c>
      <c r="AB44" s="303" t="str">
        <f t="shared" si="53"/>
        <v/>
      </c>
    </row>
    <row r="45" spans="1:28" ht="15" x14ac:dyDescent="0.3">
      <c r="A45" s="306" t="s">
        <v>35</v>
      </c>
      <c r="B45" s="307">
        <f t="shared" ref="B45:H45" si="54">SUM(B38:B44)</f>
        <v>1472043</v>
      </c>
      <c r="C45" s="307">
        <f t="shared" si="54"/>
        <v>2524054</v>
      </c>
      <c r="D45" s="307">
        <f t="shared" si="54"/>
        <v>2449044</v>
      </c>
      <c r="E45" s="307">
        <f t="shared" si="54"/>
        <v>2441174</v>
      </c>
      <c r="F45" s="307">
        <f t="shared" si="54"/>
        <v>2716368</v>
      </c>
      <c r="G45" s="307">
        <f t="shared" si="54"/>
        <v>2451382</v>
      </c>
      <c r="H45" s="307">
        <f t="shared" si="54"/>
        <v>2289508</v>
      </c>
      <c r="I45" s="307">
        <f>SUM(I38:I44)</f>
        <v>2700700</v>
      </c>
      <c r="J45" s="307">
        <f t="shared" ref="J45" si="55">SUM(J38:J44)</f>
        <v>3289508</v>
      </c>
      <c r="M45" s="312">
        <f t="shared" si="39"/>
        <v>0.15976984697057217</v>
      </c>
      <c r="N45" s="312">
        <f t="shared" si="40"/>
        <v>0.22648466088281724</v>
      </c>
      <c r="O45" s="312">
        <f t="shared" si="41"/>
        <v>0.21734468143868058</v>
      </c>
      <c r="P45" s="312">
        <f t="shared" si="42"/>
        <v>0.20325658619717216</v>
      </c>
      <c r="Q45" s="312">
        <f t="shared" si="43"/>
        <v>0.18481692437854713</v>
      </c>
      <c r="R45" s="312">
        <f t="shared" si="44"/>
        <v>0.15834914155647742</v>
      </c>
      <c r="S45" s="312">
        <f t="shared" si="45"/>
        <v>0.13643400246444415</v>
      </c>
      <c r="T45" s="312">
        <f t="shared" si="46"/>
        <v>0.26305393077981315</v>
      </c>
      <c r="V45" s="312">
        <f t="shared" si="47"/>
        <v>0.71466050923784152</v>
      </c>
      <c r="W45" s="312">
        <f t="shared" si="48"/>
        <v>-2.971806466898097E-2</v>
      </c>
      <c r="X45" s="312">
        <f t="shared" si="49"/>
        <v>-3.2134988183144531E-3</v>
      </c>
      <c r="Y45" s="312">
        <f t="shared" si="50"/>
        <v>0.11273018637753807</v>
      </c>
      <c r="Z45" s="312">
        <f t="shared" si="51"/>
        <v>-9.7551583585140156E-2</v>
      </c>
      <c r="AA45" s="312">
        <f t="shared" si="52"/>
        <v>-6.6033771970260058E-2</v>
      </c>
      <c r="AB45" s="312">
        <f t="shared" si="53"/>
        <v>0.1795984115364524</v>
      </c>
    </row>
    <row r="46" spans="1:28" x14ac:dyDescent="0.3">
      <c r="A46" s="318" t="s">
        <v>36</v>
      </c>
      <c r="B46" s="319">
        <f t="shared" ref="B46:H46" si="56">B36+B45</f>
        <v>2222380</v>
      </c>
      <c r="C46" s="319">
        <f t="shared" si="56"/>
        <v>4014247</v>
      </c>
      <c r="D46" s="319">
        <f t="shared" si="56"/>
        <v>3981556</v>
      </c>
      <c r="E46" s="319">
        <f t="shared" si="56"/>
        <v>5489511</v>
      </c>
      <c r="F46" s="319">
        <f t="shared" si="56"/>
        <v>4870111</v>
      </c>
      <c r="G46" s="319">
        <f t="shared" si="56"/>
        <v>4216322</v>
      </c>
      <c r="H46" s="319">
        <f t="shared" si="56"/>
        <v>5082362</v>
      </c>
      <c r="I46" s="319">
        <f>I36+I45</f>
        <v>4470376</v>
      </c>
      <c r="J46" s="319">
        <f t="shared" ref="J46" si="57">J36+J45</f>
        <v>5047362</v>
      </c>
      <c r="K46" s="320"/>
      <c r="M46" s="312">
        <f t="shared" si="39"/>
        <v>0.24120851939139018</v>
      </c>
      <c r="N46" s="312">
        <f t="shared" si="40"/>
        <v>0.36020044360971137</v>
      </c>
      <c r="O46" s="312">
        <f t="shared" si="41"/>
        <v>0.35335013190872328</v>
      </c>
      <c r="P46" s="312">
        <f t="shared" si="42"/>
        <v>0.45706666782123057</v>
      </c>
      <c r="Q46" s="312">
        <f t="shared" si="43"/>
        <v>0.33135382849530348</v>
      </c>
      <c r="R46" s="312">
        <f t="shared" si="44"/>
        <v>0.27235696812071314</v>
      </c>
      <c r="S46" s="312">
        <f t="shared" si="45"/>
        <v>0.30286288129729066</v>
      </c>
      <c r="T46" s="312">
        <f t="shared" si="46"/>
        <v>0.43542414146841113</v>
      </c>
      <c r="V46" s="312">
        <f t="shared" si="47"/>
        <v>0.80628290391382218</v>
      </c>
      <c r="W46" s="312">
        <f t="shared" si="48"/>
        <v>-8.1437440197377198E-3</v>
      </c>
      <c r="X46" s="312">
        <f t="shared" si="49"/>
        <v>0.37873509753473256</v>
      </c>
      <c r="Y46" s="312">
        <f t="shared" si="50"/>
        <v>-0.11283336530339405</v>
      </c>
      <c r="Z46" s="312">
        <f t="shared" si="51"/>
        <v>-0.13424519482204822</v>
      </c>
      <c r="AA46" s="312">
        <f t="shared" si="52"/>
        <v>0.20540176959919099</v>
      </c>
      <c r="AB46" s="312">
        <f t="shared" si="53"/>
        <v>-0.12041369741077079</v>
      </c>
    </row>
    <row r="47" spans="1:28" x14ac:dyDescent="0.3">
      <c r="A47" s="318" t="s">
        <v>37</v>
      </c>
      <c r="B47" s="319">
        <f t="shared" ref="B47:I47" si="58">B25-B46</f>
        <v>6991142</v>
      </c>
      <c r="C47" s="319">
        <f t="shared" si="58"/>
        <v>7130234</v>
      </c>
      <c r="D47" s="319">
        <f t="shared" si="58"/>
        <v>7286463</v>
      </c>
      <c r="E47" s="319">
        <f t="shared" si="58"/>
        <v>6520796</v>
      </c>
      <c r="F47" s="319">
        <f t="shared" si="58"/>
        <v>9827504</v>
      </c>
      <c r="G47" s="319">
        <f t="shared" si="58"/>
        <v>11264545</v>
      </c>
      <c r="H47" s="319">
        <f t="shared" si="58"/>
        <v>11698704</v>
      </c>
      <c r="I47" s="319">
        <f t="shared" si="58"/>
        <v>5796340</v>
      </c>
      <c r="J47" s="319">
        <f t="shared" ref="J47" si="59">J25-J46</f>
        <v>5873001</v>
      </c>
      <c r="K47" s="320"/>
      <c r="M47" s="312">
        <f t="shared" si="39"/>
        <v>0.75879148060860979</v>
      </c>
      <c r="N47" s="312">
        <f t="shared" si="40"/>
        <v>0.63979955639028863</v>
      </c>
      <c r="O47" s="312">
        <f t="shared" si="41"/>
        <v>0.64664986809127678</v>
      </c>
      <c r="P47" s="312">
        <f t="shared" si="42"/>
        <v>0.54293333217876949</v>
      </c>
      <c r="Q47" s="312">
        <f t="shared" si="43"/>
        <v>0.66864617150469652</v>
      </c>
      <c r="R47" s="312">
        <f t="shared" si="44"/>
        <v>0.72764303187928692</v>
      </c>
      <c r="S47" s="312">
        <f t="shared" si="45"/>
        <v>0.69713711870270934</v>
      </c>
      <c r="T47" s="312">
        <f t="shared" si="46"/>
        <v>0.56457585853158887</v>
      </c>
      <c r="V47" s="312">
        <f t="shared" si="47"/>
        <v>1.9895462000342645E-2</v>
      </c>
      <c r="W47" s="312">
        <f t="shared" si="48"/>
        <v>2.1910781609691954E-2</v>
      </c>
      <c r="X47" s="312">
        <f t="shared" si="49"/>
        <v>-0.10508075042719633</v>
      </c>
      <c r="Y47" s="312">
        <f t="shared" si="50"/>
        <v>0.50710189369518699</v>
      </c>
      <c r="Z47" s="312">
        <f t="shared" si="51"/>
        <v>0.1462264477328119</v>
      </c>
      <c r="AA47" s="312">
        <f t="shared" si="52"/>
        <v>3.8542080483499275E-2</v>
      </c>
      <c r="AB47" s="312">
        <f t="shared" si="53"/>
        <v>-0.50453144211529755</v>
      </c>
    </row>
    <row r="48" spans="1:28" x14ac:dyDescent="0.3">
      <c r="A48" s="318" t="s">
        <v>38</v>
      </c>
      <c r="B48" s="319">
        <f>B47+B46</f>
        <v>9213522</v>
      </c>
      <c r="C48" s="319">
        <f t="shared" ref="C48" si="60">C47+C46</f>
        <v>11144481</v>
      </c>
      <c r="D48" s="319">
        <f>D47+D46</f>
        <v>11268019</v>
      </c>
      <c r="E48" s="319">
        <f>E47+E46</f>
        <v>12010307</v>
      </c>
      <c r="F48" s="319">
        <f>F47+F46</f>
        <v>14697615</v>
      </c>
      <c r="G48" s="319">
        <f>G47+G46</f>
        <v>15480867</v>
      </c>
      <c r="H48" s="319">
        <f t="shared" ref="H48:I48" si="61">H47+H46</f>
        <v>16781066</v>
      </c>
      <c r="I48" s="319">
        <f t="shared" si="61"/>
        <v>10266716</v>
      </c>
      <c r="J48" s="319">
        <f t="shared" ref="J48" si="62">J47+J46</f>
        <v>10920363</v>
      </c>
      <c r="K48" s="321"/>
      <c r="M48" s="312">
        <f t="shared" si="39"/>
        <v>1</v>
      </c>
      <c r="N48" s="312">
        <f t="shared" si="40"/>
        <v>1</v>
      </c>
      <c r="O48" s="312">
        <f t="shared" si="41"/>
        <v>1</v>
      </c>
      <c r="P48" s="312">
        <f t="shared" si="42"/>
        <v>1</v>
      </c>
      <c r="Q48" s="312">
        <f t="shared" si="43"/>
        <v>1</v>
      </c>
      <c r="R48" s="312">
        <f t="shared" si="44"/>
        <v>1</v>
      </c>
      <c r="S48" s="312">
        <f t="shared" si="45"/>
        <v>1</v>
      </c>
      <c r="T48" s="312">
        <f t="shared" si="46"/>
        <v>1</v>
      </c>
      <c r="V48" s="312">
        <f t="shared" si="47"/>
        <v>0.20957881253227595</v>
      </c>
      <c r="W48" s="312">
        <f t="shared" si="48"/>
        <v>1.1085128145492007E-2</v>
      </c>
      <c r="X48" s="312">
        <f t="shared" si="49"/>
        <v>6.5875643269682094E-2</v>
      </c>
      <c r="Y48" s="312">
        <f t="shared" si="50"/>
        <v>0.22375015059981407</v>
      </c>
      <c r="Z48" s="312">
        <f t="shared" si="51"/>
        <v>5.3291095187892656E-2</v>
      </c>
      <c r="AA48" s="312">
        <f t="shared" si="52"/>
        <v>8.3987479512613872E-2</v>
      </c>
      <c r="AB48" s="312">
        <f t="shared" si="53"/>
        <v>-0.38819643519666747</v>
      </c>
    </row>
    <row r="49" spans="1:20" x14ac:dyDescent="0.3">
      <c r="D49" s="305"/>
      <c r="E49" s="305"/>
      <c r="F49" s="305"/>
      <c r="G49" s="305"/>
      <c r="H49" s="305"/>
      <c r="I49" s="305"/>
      <c r="J49" s="305"/>
      <c r="O49" s="305"/>
      <c r="P49" s="305"/>
      <c r="Q49" s="305"/>
      <c r="R49" s="305"/>
      <c r="S49" s="305"/>
      <c r="T49" s="305"/>
    </row>
    <row r="50" spans="1:20" x14ac:dyDescent="0.3">
      <c r="B50" s="302"/>
      <c r="C50" s="322"/>
      <c r="D50" s="298"/>
      <c r="E50" s="298"/>
      <c r="F50" s="298"/>
      <c r="G50" s="298"/>
      <c r="H50" s="298"/>
      <c r="I50" s="323"/>
      <c r="J50" s="302"/>
      <c r="O50" s="305"/>
      <c r="P50" s="305"/>
      <c r="Q50" s="305"/>
      <c r="R50" s="305"/>
      <c r="S50" s="305"/>
      <c r="T50" s="305"/>
    </row>
    <row r="51" spans="1:20" x14ac:dyDescent="0.3">
      <c r="A51" s="289"/>
      <c r="B51" s="324"/>
      <c r="C51" s="325"/>
      <c r="D51" s="298"/>
      <c r="E51" s="298"/>
      <c r="F51" s="298"/>
      <c r="G51" s="298"/>
      <c r="H51" s="298"/>
      <c r="I51" s="323"/>
      <c r="J51" s="324"/>
      <c r="O51" s="305"/>
      <c r="P51" s="305"/>
      <c r="Q51" s="305"/>
      <c r="R51" s="305"/>
      <c r="S51" s="305"/>
      <c r="T51" s="305"/>
    </row>
    <row r="52" spans="1:20" x14ac:dyDescent="0.3">
      <c r="C52" s="305"/>
      <c r="D52" s="305"/>
      <c r="E52" s="305"/>
      <c r="F52" s="305"/>
      <c r="G52" s="305"/>
      <c r="H52" s="305"/>
      <c r="I52" s="305"/>
      <c r="J52" s="305"/>
      <c r="M52" s="298"/>
      <c r="N52" s="298"/>
      <c r="O52" s="298"/>
      <c r="P52" s="298"/>
      <c r="Q52" s="298"/>
      <c r="R52" s="298"/>
      <c r="S52" s="298"/>
      <c r="T52" s="298"/>
    </row>
    <row r="53" spans="1:20" x14ac:dyDescent="0.3">
      <c r="D53" s="305"/>
      <c r="E53" s="305"/>
      <c r="F53" s="305"/>
      <c r="G53" s="305"/>
      <c r="H53" s="305"/>
      <c r="I53" s="299"/>
      <c r="J53" s="299"/>
      <c r="M53" s="298"/>
      <c r="N53" s="298"/>
      <c r="O53" s="298"/>
      <c r="P53" s="298"/>
      <c r="Q53" s="298"/>
      <c r="R53" s="298"/>
      <c r="S53" s="298"/>
      <c r="T53" s="298"/>
    </row>
    <row r="54" spans="1:20" x14ac:dyDescent="0.3">
      <c r="D54" s="305"/>
      <c r="E54" s="305"/>
      <c r="F54" s="305"/>
      <c r="G54" s="305"/>
      <c r="H54" s="305"/>
      <c r="I54" s="305"/>
      <c r="J54" s="305"/>
      <c r="O54" s="305"/>
      <c r="P54" s="305"/>
      <c r="Q54" s="305"/>
      <c r="R54" s="305"/>
      <c r="S54" s="305"/>
      <c r="T54" s="305"/>
    </row>
    <row r="55" spans="1:20" x14ac:dyDescent="0.3">
      <c r="A55" s="289"/>
      <c r="D55" s="305"/>
      <c r="E55" s="305"/>
      <c r="F55" s="305"/>
      <c r="G55" s="305"/>
      <c r="H55" s="305"/>
      <c r="I55" s="305"/>
      <c r="J55" s="305"/>
      <c r="O55" s="305"/>
      <c r="P55" s="305"/>
      <c r="Q55" s="305"/>
      <c r="R55" s="305"/>
      <c r="S55" s="305"/>
      <c r="T55" s="305"/>
    </row>
    <row r="56" spans="1:20" x14ac:dyDescent="0.3">
      <c r="D56" s="305"/>
      <c r="E56" s="305"/>
      <c r="F56" s="305"/>
      <c r="G56" s="305"/>
      <c r="H56" s="305"/>
      <c r="I56" s="305"/>
      <c r="J56" s="305"/>
      <c r="M56" s="320"/>
      <c r="N56" s="320"/>
      <c r="O56" s="320"/>
      <c r="P56" s="320"/>
      <c r="Q56" s="320"/>
      <c r="R56" s="320"/>
      <c r="S56" s="320"/>
      <c r="T56" s="320"/>
    </row>
    <row r="57" spans="1:20" x14ac:dyDescent="0.3">
      <c r="D57" s="305"/>
      <c r="E57" s="305"/>
      <c r="F57" s="305"/>
      <c r="G57" s="305"/>
      <c r="H57" s="305"/>
      <c r="I57" s="305"/>
      <c r="J57" s="305"/>
      <c r="M57" s="320"/>
      <c r="N57" s="320"/>
      <c r="O57" s="320"/>
      <c r="P57" s="320"/>
      <c r="Q57" s="320"/>
      <c r="R57" s="320"/>
      <c r="S57" s="320"/>
      <c r="T57" s="320"/>
    </row>
    <row r="58" spans="1:20" x14ac:dyDescent="0.3">
      <c r="D58" s="305"/>
      <c r="E58" s="305"/>
      <c r="F58" s="305"/>
      <c r="G58" s="305"/>
      <c r="H58" s="305"/>
      <c r="I58" s="305"/>
      <c r="J58" s="305"/>
      <c r="M58" s="320"/>
      <c r="N58" s="320"/>
      <c r="O58" s="320"/>
      <c r="P58" s="320"/>
      <c r="Q58" s="320"/>
      <c r="R58" s="320"/>
      <c r="S58" s="320"/>
      <c r="T58" s="320"/>
    </row>
    <row r="59" spans="1:20" s="289" customFormat="1" x14ac:dyDescent="0.3">
      <c r="D59" s="326"/>
      <c r="E59" s="326"/>
      <c r="F59" s="326"/>
      <c r="G59" s="326"/>
      <c r="H59" s="326"/>
      <c r="I59" s="326"/>
      <c r="J59" s="326"/>
      <c r="M59" s="327"/>
      <c r="N59" s="327"/>
      <c r="O59" s="327"/>
      <c r="P59" s="327"/>
      <c r="Q59" s="327"/>
      <c r="R59" s="327"/>
      <c r="S59" s="327"/>
      <c r="T59" s="327"/>
    </row>
    <row r="60" spans="1:20" x14ac:dyDescent="0.3">
      <c r="D60" s="305"/>
      <c r="E60" s="305"/>
      <c r="F60" s="305"/>
      <c r="G60" s="305"/>
      <c r="H60" s="305"/>
      <c r="I60" s="305"/>
      <c r="J60" s="305"/>
      <c r="O60" s="305"/>
      <c r="P60" s="305"/>
      <c r="Q60" s="305"/>
      <c r="R60" s="305"/>
      <c r="S60" s="305"/>
      <c r="T60" s="305"/>
    </row>
    <row r="61" spans="1:20" x14ac:dyDescent="0.3">
      <c r="D61" s="305"/>
      <c r="E61" s="305"/>
      <c r="F61" s="305"/>
      <c r="G61" s="305"/>
      <c r="H61" s="305"/>
      <c r="I61" s="305"/>
      <c r="J61" s="305"/>
      <c r="O61" s="305"/>
      <c r="P61" s="305"/>
      <c r="Q61" s="305"/>
      <c r="R61" s="305"/>
      <c r="S61" s="305"/>
      <c r="T61" s="305"/>
    </row>
    <row r="62" spans="1:20" x14ac:dyDescent="0.3">
      <c r="D62" s="305"/>
      <c r="E62" s="305"/>
      <c r="F62" s="305"/>
      <c r="G62" s="305"/>
      <c r="H62" s="305"/>
      <c r="I62" s="305"/>
      <c r="J62" s="305"/>
      <c r="O62" s="305"/>
      <c r="P62" s="305"/>
      <c r="Q62" s="305"/>
      <c r="R62" s="305"/>
      <c r="S62" s="305"/>
      <c r="T62" s="305"/>
    </row>
    <row r="63" spans="1:20" x14ac:dyDescent="0.3">
      <c r="D63" s="305"/>
      <c r="E63" s="305"/>
      <c r="F63" s="305"/>
      <c r="G63" s="305"/>
      <c r="H63" s="305"/>
      <c r="I63" s="305"/>
      <c r="J63" s="305"/>
      <c r="O63" s="305"/>
      <c r="P63" s="305"/>
      <c r="Q63" s="305"/>
      <c r="R63" s="305"/>
      <c r="S63" s="305"/>
      <c r="T63" s="305"/>
    </row>
    <row r="64" spans="1:20" x14ac:dyDescent="0.3">
      <c r="D64" s="305"/>
      <c r="E64" s="305"/>
      <c r="F64" s="305"/>
      <c r="G64" s="305"/>
      <c r="H64" s="305"/>
      <c r="I64" s="305"/>
      <c r="J64" s="305"/>
      <c r="O64" s="305"/>
      <c r="P64" s="305"/>
      <c r="Q64" s="305"/>
      <c r="R64" s="305"/>
      <c r="S64" s="305"/>
      <c r="T64" s="305"/>
    </row>
    <row r="65" spans="4:20" x14ac:dyDescent="0.3">
      <c r="D65" s="305"/>
      <c r="E65" s="305"/>
      <c r="F65" s="305"/>
      <c r="G65" s="305"/>
      <c r="H65" s="305"/>
      <c r="I65" s="305"/>
      <c r="J65" s="305"/>
      <c r="O65" s="305"/>
      <c r="P65" s="305"/>
      <c r="Q65" s="305"/>
      <c r="R65" s="305"/>
      <c r="S65" s="305"/>
      <c r="T65" s="305"/>
    </row>
    <row r="66" spans="4:20" x14ac:dyDescent="0.3">
      <c r="D66" s="305"/>
      <c r="E66" s="305"/>
      <c r="F66" s="305"/>
      <c r="G66" s="305"/>
      <c r="H66" s="305"/>
      <c r="I66" s="305"/>
      <c r="J66" s="305"/>
      <c r="O66" s="305"/>
      <c r="P66" s="305"/>
      <c r="Q66" s="305"/>
      <c r="R66" s="305"/>
      <c r="S66" s="305"/>
      <c r="T66" s="305"/>
    </row>
    <row r="67" spans="4:20" x14ac:dyDescent="0.3">
      <c r="D67" s="305"/>
      <c r="E67" s="305"/>
      <c r="F67" s="305"/>
      <c r="G67" s="305"/>
      <c r="H67" s="305"/>
      <c r="I67" s="305"/>
      <c r="J67" s="305"/>
      <c r="O67" s="305"/>
      <c r="P67" s="305"/>
      <c r="Q67" s="305"/>
      <c r="R67" s="305"/>
      <c r="S67" s="305"/>
      <c r="T67" s="305"/>
    </row>
    <row r="68" spans="4:20" x14ac:dyDescent="0.3">
      <c r="D68" s="305"/>
      <c r="E68" s="305"/>
      <c r="F68" s="305"/>
      <c r="G68" s="305"/>
      <c r="H68" s="305"/>
      <c r="I68" s="305"/>
      <c r="J68" s="305"/>
      <c r="O68" s="305"/>
      <c r="P68" s="305"/>
      <c r="Q68" s="305"/>
      <c r="R68" s="305"/>
      <c r="S68" s="305"/>
      <c r="T68" s="305"/>
    </row>
    <row r="69" spans="4:20" x14ac:dyDescent="0.3">
      <c r="D69" s="305"/>
      <c r="E69" s="305"/>
      <c r="F69" s="305"/>
      <c r="G69" s="305"/>
      <c r="H69" s="305"/>
      <c r="I69" s="305"/>
      <c r="J69" s="305"/>
      <c r="O69" s="305"/>
      <c r="P69" s="305"/>
      <c r="Q69" s="305"/>
      <c r="R69" s="305"/>
      <c r="S69" s="305"/>
      <c r="T69" s="305"/>
    </row>
    <row r="70" spans="4:20" x14ac:dyDescent="0.3">
      <c r="D70" s="305"/>
      <c r="E70" s="305"/>
      <c r="F70" s="305"/>
      <c r="G70" s="305"/>
      <c r="H70" s="305"/>
      <c r="I70" s="305"/>
      <c r="J70" s="305"/>
      <c r="O70" s="305"/>
      <c r="P70" s="305"/>
      <c r="Q70" s="305"/>
      <c r="R70" s="305"/>
      <c r="S70" s="305"/>
      <c r="T70" s="305"/>
    </row>
    <row r="71" spans="4:20" x14ac:dyDescent="0.3">
      <c r="D71" s="305"/>
      <c r="E71" s="305"/>
      <c r="F71" s="305"/>
      <c r="G71" s="305"/>
      <c r="H71" s="305"/>
      <c r="I71" s="305"/>
      <c r="J71" s="305"/>
      <c r="O71" s="305"/>
      <c r="P71" s="305"/>
      <c r="Q71" s="305"/>
      <c r="R71" s="305"/>
      <c r="S71" s="305"/>
      <c r="T71" s="305"/>
    </row>
    <row r="72" spans="4:20" x14ac:dyDescent="0.3">
      <c r="D72" s="305"/>
      <c r="E72" s="305"/>
      <c r="F72" s="305"/>
      <c r="G72" s="305"/>
      <c r="H72" s="305"/>
      <c r="I72" s="305"/>
      <c r="J72" s="305"/>
      <c r="O72" s="305"/>
      <c r="P72" s="305"/>
      <c r="Q72" s="305"/>
      <c r="R72" s="305"/>
      <c r="S72" s="305"/>
      <c r="T72" s="305"/>
    </row>
    <row r="73" spans="4:20" x14ac:dyDescent="0.3">
      <c r="D73" s="305"/>
      <c r="E73" s="305"/>
      <c r="F73" s="305"/>
      <c r="G73" s="305"/>
      <c r="H73" s="305"/>
      <c r="I73" s="305"/>
      <c r="J73" s="305"/>
      <c r="O73" s="305"/>
      <c r="P73" s="305"/>
      <c r="Q73" s="305"/>
      <c r="R73" s="305"/>
      <c r="S73" s="305"/>
      <c r="T73" s="305"/>
    </row>
    <row r="74" spans="4:20" x14ac:dyDescent="0.3">
      <c r="D74" s="305"/>
      <c r="E74" s="305"/>
      <c r="F74" s="305"/>
      <c r="G74" s="305"/>
      <c r="H74" s="305"/>
      <c r="I74" s="305"/>
      <c r="J74" s="305"/>
      <c r="O74" s="305"/>
      <c r="P74" s="305"/>
      <c r="Q74" s="305"/>
      <c r="R74" s="305"/>
      <c r="S74" s="305"/>
      <c r="T74" s="305"/>
    </row>
    <row r="75" spans="4:20" x14ac:dyDescent="0.3">
      <c r="D75" s="305"/>
      <c r="E75" s="305"/>
      <c r="F75" s="305"/>
      <c r="G75" s="305"/>
      <c r="H75" s="305"/>
      <c r="I75" s="305"/>
      <c r="J75" s="305"/>
      <c r="O75" s="305"/>
      <c r="P75" s="305"/>
      <c r="Q75" s="305"/>
      <c r="R75" s="305"/>
      <c r="S75" s="305"/>
      <c r="T75" s="305"/>
    </row>
    <row r="76" spans="4:20" x14ac:dyDescent="0.3">
      <c r="D76" s="305"/>
      <c r="E76" s="305"/>
      <c r="F76" s="305"/>
      <c r="G76" s="305"/>
      <c r="H76" s="305"/>
      <c r="I76" s="305"/>
      <c r="J76" s="305"/>
      <c r="O76" s="305"/>
      <c r="P76" s="305"/>
      <c r="Q76" s="305"/>
      <c r="R76" s="305"/>
      <c r="S76" s="305"/>
      <c r="T76" s="305"/>
    </row>
    <row r="77" spans="4:20" x14ac:dyDescent="0.3">
      <c r="D77" s="305"/>
      <c r="E77" s="305"/>
      <c r="F77" s="305"/>
      <c r="G77" s="305"/>
      <c r="H77" s="305"/>
      <c r="I77" s="305"/>
      <c r="J77" s="305"/>
      <c r="O77" s="305"/>
      <c r="P77" s="305"/>
      <c r="Q77" s="305"/>
      <c r="R77" s="305"/>
      <c r="S77" s="305"/>
      <c r="T77" s="305"/>
    </row>
    <row r="78" spans="4:20" x14ac:dyDescent="0.3">
      <c r="D78" s="305"/>
      <c r="E78" s="305"/>
      <c r="F78" s="305"/>
      <c r="G78" s="305"/>
      <c r="H78" s="305"/>
      <c r="I78" s="305"/>
      <c r="J78" s="305"/>
      <c r="O78" s="305"/>
      <c r="P78" s="305"/>
      <c r="Q78" s="305"/>
      <c r="R78" s="305"/>
      <c r="S78" s="305"/>
      <c r="T78" s="305"/>
    </row>
    <row r="79" spans="4:20" x14ac:dyDescent="0.3">
      <c r="D79" s="305"/>
      <c r="E79" s="305"/>
      <c r="F79" s="305"/>
      <c r="G79" s="305"/>
      <c r="H79" s="305"/>
      <c r="I79" s="305"/>
      <c r="J79" s="305"/>
      <c r="O79" s="305"/>
      <c r="P79" s="305"/>
      <c r="Q79" s="305"/>
      <c r="R79" s="305"/>
      <c r="S79" s="305"/>
      <c r="T79" s="305"/>
    </row>
    <row r="80" spans="4:20" x14ac:dyDescent="0.3">
      <c r="D80" s="305"/>
      <c r="E80" s="305"/>
      <c r="F80" s="305"/>
      <c r="G80" s="305"/>
      <c r="H80" s="305"/>
      <c r="I80" s="305"/>
      <c r="J80" s="305"/>
      <c r="O80" s="305"/>
      <c r="P80" s="305"/>
      <c r="Q80" s="305"/>
      <c r="R80" s="305"/>
      <c r="S80" s="305"/>
      <c r="T80" s="305"/>
    </row>
    <row r="81" spans="4:20" x14ac:dyDescent="0.3">
      <c r="D81" s="305"/>
      <c r="E81" s="305"/>
      <c r="F81" s="305"/>
      <c r="G81" s="305"/>
      <c r="H81" s="305"/>
      <c r="I81" s="305"/>
      <c r="J81" s="305"/>
      <c r="O81" s="305"/>
      <c r="P81" s="305"/>
      <c r="Q81" s="305"/>
      <c r="R81" s="305"/>
      <c r="S81" s="305"/>
      <c r="T81" s="305"/>
    </row>
    <row r="82" spans="4:20" x14ac:dyDescent="0.3">
      <c r="D82" s="305"/>
      <c r="E82" s="305"/>
      <c r="F82" s="305"/>
      <c r="G82" s="305"/>
      <c r="H82" s="305"/>
      <c r="I82" s="305"/>
      <c r="J82" s="305"/>
      <c r="O82" s="305"/>
      <c r="P82" s="305"/>
      <c r="Q82" s="305"/>
      <c r="R82" s="305"/>
      <c r="S82" s="305"/>
      <c r="T82" s="305"/>
    </row>
    <row r="83" spans="4:20" x14ac:dyDescent="0.3">
      <c r="D83" s="305"/>
      <c r="E83" s="305"/>
      <c r="F83" s="305"/>
      <c r="G83" s="305"/>
      <c r="H83" s="305"/>
      <c r="I83" s="305"/>
      <c r="J83" s="305"/>
      <c r="O83" s="305"/>
      <c r="P83" s="305"/>
      <c r="Q83" s="305"/>
      <c r="R83" s="305"/>
      <c r="S83" s="305"/>
      <c r="T83" s="305"/>
    </row>
    <row r="84" spans="4:20" x14ac:dyDescent="0.3">
      <c r="D84" s="305"/>
      <c r="E84" s="305"/>
      <c r="F84" s="305"/>
      <c r="G84" s="305"/>
      <c r="H84" s="305"/>
      <c r="I84" s="305"/>
      <c r="J84" s="305"/>
      <c r="O84" s="305"/>
      <c r="P84" s="305"/>
      <c r="Q84" s="305"/>
      <c r="R84" s="305"/>
      <c r="S84" s="305"/>
      <c r="T84" s="305"/>
    </row>
    <row r="85" spans="4:20" x14ac:dyDescent="0.3">
      <c r="D85" s="305"/>
      <c r="E85" s="305"/>
      <c r="F85" s="305"/>
      <c r="G85" s="305"/>
      <c r="H85" s="305"/>
      <c r="I85" s="305"/>
      <c r="J85" s="305"/>
      <c r="O85" s="305"/>
      <c r="P85" s="305"/>
      <c r="Q85" s="305"/>
      <c r="R85" s="305"/>
      <c r="S85" s="305"/>
      <c r="T85" s="305"/>
    </row>
    <row r="86" spans="4:20" x14ac:dyDescent="0.3">
      <c r="D86" s="305"/>
      <c r="E86" s="305"/>
      <c r="F86" s="305"/>
      <c r="G86" s="305"/>
      <c r="H86" s="305"/>
      <c r="I86" s="305"/>
      <c r="J86" s="305"/>
      <c r="O86" s="305"/>
      <c r="P86" s="305"/>
      <c r="Q86" s="305"/>
      <c r="R86" s="305"/>
      <c r="S86" s="305"/>
      <c r="T86" s="305"/>
    </row>
    <row r="87" spans="4:20" x14ac:dyDescent="0.3">
      <c r="D87" s="305"/>
      <c r="E87" s="305"/>
      <c r="F87" s="305"/>
      <c r="G87" s="305"/>
      <c r="H87" s="305"/>
      <c r="I87" s="305"/>
      <c r="J87" s="305"/>
      <c r="O87" s="305"/>
      <c r="P87" s="305"/>
      <c r="Q87" s="305"/>
      <c r="R87" s="305"/>
      <c r="S87" s="305"/>
      <c r="T87" s="305"/>
    </row>
    <row r="88" spans="4:20" x14ac:dyDescent="0.3">
      <c r="D88" s="305"/>
      <c r="E88" s="305"/>
      <c r="F88" s="305"/>
      <c r="G88" s="305"/>
      <c r="H88" s="305"/>
      <c r="I88" s="305"/>
      <c r="J88" s="305"/>
      <c r="O88" s="305"/>
      <c r="P88" s="305"/>
      <c r="Q88" s="305"/>
      <c r="R88" s="305"/>
      <c r="S88" s="305"/>
      <c r="T88" s="305"/>
    </row>
    <row r="89" spans="4:20" x14ac:dyDescent="0.3">
      <c r="D89" s="305"/>
      <c r="E89" s="305"/>
      <c r="F89" s="305"/>
      <c r="G89" s="305"/>
      <c r="H89" s="305"/>
      <c r="I89" s="305"/>
      <c r="J89" s="305"/>
      <c r="O89" s="305"/>
      <c r="P89" s="305"/>
      <c r="Q89" s="305"/>
      <c r="R89" s="305"/>
      <c r="S89" s="305"/>
      <c r="T89" s="305"/>
    </row>
    <row r="90" spans="4:20" x14ac:dyDescent="0.3">
      <c r="D90" s="305"/>
      <c r="E90" s="305"/>
      <c r="F90" s="305"/>
      <c r="G90" s="305"/>
      <c r="H90" s="305"/>
      <c r="I90" s="305"/>
      <c r="J90" s="305"/>
      <c r="O90" s="305"/>
      <c r="P90" s="305"/>
      <c r="Q90" s="305"/>
      <c r="R90" s="305"/>
      <c r="S90" s="305"/>
      <c r="T90" s="305"/>
    </row>
    <row r="91" spans="4:20" x14ac:dyDescent="0.3">
      <c r="D91" s="305"/>
      <c r="E91" s="305"/>
      <c r="F91" s="305"/>
      <c r="G91" s="305"/>
      <c r="H91" s="305"/>
      <c r="I91" s="305"/>
      <c r="J91" s="305"/>
      <c r="O91" s="305"/>
      <c r="P91" s="305"/>
      <c r="Q91" s="305"/>
      <c r="R91" s="305"/>
      <c r="S91" s="305"/>
      <c r="T91" s="305"/>
    </row>
    <row r="92" spans="4:20" x14ac:dyDescent="0.3">
      <c r="D92" s="305"/>
      <c r="E92" s="305"/>
      <c r="F92" s="305"/>
      <c r="G92" s="305"/>
      <c r="H92" s="305"/>
      <c r="I92" s="305"/>
      <c r="J92" s="305"/>
      <c r="O92" s="305"/>
      <c r="P92" s="305"/>
      <c r="Q92" s="305"/>
      <c r="R92" s="305"/>
      <c r="S92" s="305"/>
      <c r="T92" s="305"/>
    </row>
    <row r="93" spans="4:20" x14ac:dyDescent="0.3">
      <c r="D93" s="305"/>
      <c r="E93" s="305"/>
      <c r="F93" s="305"/>
      <c r="G93" s="305"/>
      <c r="H93" s="305"/>
      <c r="I93" s="305"/>
      <c r="J93" s="305"/>
      <c r="O93" s="305"/>
      <c r="P93" s="305"/>
      <c r="Q93" s="305"/>
      <c r="R93" s="305"/>
      <c r="S93" s="305"/>
      <c r="T93" s="305"/>
    </row>
    <row r="94" spans="4:20" x14ac:dyDescent="0.3">
      <c r="D94" s="305"/>
      <c r="E94" s="305"/>
      <c r="F94" s="305"/>
      <c r="G94" s="305"/>
      <c r="H94" s="305"/>
      <c r="I94" s="305"/>
      <c r="J94" s="305"/>
      <c r="O94" s="305"/>
      <c r="P94" s="305"/>
      <c r="Q94" s="305"/>
      <c r="R94" s="305"/>
      <c r="S94" s="305"/>
      <c r="T94" s="305"/>
    </row>
    <row r="95" spans="4:20" x14ac:dyDescent="0.3">
      <c r="D95" s="305"/>
      <c r="E95" s="305"/>
      <c r="F95" s="305"/>
      <c r="G95" s="305"/>
      <c r="H95" s="305"/>
      <c r="I95" s="305"/>
      <c r="J95" s="305"/>
      <c r="O95" s="305"/>
      <c r="P95" s="305"/>
      <c r="Q95" s="305"/>
      <c r="R95" s="305"/>
      <c r="S95" s="305"/>
      <c r="T95" s="305"/>
    </row>
    <row r="96" spans="4:20" x14ac:dyDescent="0.3">
      <c r="D96" s="305"/>
      <c r="E96" s="305"/>
      <c r="F96" s="305"/>
      <c r="G96" s="305"/>
      <c r="H96" s="305"/>
      <c r="I96" s="305"/>
      <c r="J96" s="305"/>
      <c r="O96" s="305"/>
      <c r="P96" s="305"/>
      <c r="Q96" s="305"/>
      <c r="R96" s="305"/>
      <c r="S96" s="305"/>
      <c r="T96" s="305"/>
    </row>
    <row r="97" spans="4:20" x14ac:dyDescent="0.3">
      <c r="D97" s="305"/>
      <c r="E97" s="305"/>
      <c r="F97" s="305"/>
      <c r="G97" s="305"/>
      <c r="H97" s="305"/>
      <c r="I97" s="305"/>
      <c r="J97" s="305"/>
      <c r="O97" s="305"/>
      <c r="P97" s="305"/>
      <c r="Q97" s="305"/>
      <c r="R97" s="305"/>
      <c r="S97" s="305"/>
      <c r="T97" s="305"/>
    </row>
    <row r="98" spans="4:20" x14ac:dyDescent="0.3">
      <c r="D98" s="305"/>
      <c r="E98" s="305"/>
      <c r="F98" s="305"/>
      <c r="G98" s="305"/>
      <c r="H98" s="305"/>
      <c r="I98" s="305"/>
      <c r="J98" s="305"/>
      <c r="O98" s="305"/>
      <c r="P98" s="305"/>
      <c r="Q98" s="305"/>
      <c r="R98" s="305"/>
      <c r="S98" s="305"/>
      <c r="T98" s="305"/>
    </row>
    <row r="99" spans="4:20" x14ac:dyDescent="0.3">
      <c r="D99" s="305"/>
      <c r="E99" s="305"/>
      <c r="F99" s="305"/>
      <c r="G99" s="305"/>
      <c r="H99" s="305"/>
      <c r="I99" s="305"/>
      <c r="J99" s="305"/>
      <c r="O99" s="305"/>
      <c r="P99" s="305"/>
      <c r="Q99" s="305"/>
      <c r="R99" s="305"/>
      <c r="S99" s="305"/>
      <c r="T99" s="305"/>
    </row>
    <row r="100" spans="4:20" x14ac:dyDescent="0.3">
      <c r="D100" s="305"/>
      <c r="E100" s="305"/>
      <c r="F100" s="305"/>
      <c r="G100" s="305"/>
      <c r="H100" s="305"/>
      <c r="I100" s="305"/>
      <c r="J100" s="305"/>
      <c r="O100" s="305"/>
      <c r="P100" s="305"/>
      <c r="Q100" s="305"/>
      <c r="R100" s="305"/>
      <c r="S100" s="305"/>
      <c r="T100" s="305"/>
    </row>
    <row r="101" spans="4:20" x14ac:dyDescent="0.3">
      <c r="D101" s="305"/>
      <c r="E101" s="305"/>
      <c r="F101" s="305"/>
      <c r="G101" s="305"/>
      <c r="H101" s="305"/>
      <c r="I101" s="305"/>
      <c r="J101" s="305"/>
      <c r="O101" s="305"/>
      <c r="P101" s="305"/>
      <c r="Q101" s="305"/>
      <c r="R101" s="305"/>
      <c r="S101" s="305"/>
      <c r="T101" s="305"/>
    </row>
    <row r="102" spans="4:20" x14ac:dyDescent="0.3">
      <c r="D102" s="305"/>
      <c r="E102" s="305"/>
      <c r="F102" s="305"/>
      <c r="G102" s="305"/>
      <c r="H102" s="305"/>
      <c r="I102" s="305"/>
      <c r="J102" s="305"/>
      <c r="O102" s="305"/>
      <c r="P102" s="305"/>
      <c r="Q102" s="305"/>
      <c r="R102" s="305"/>
      <c r="S102" s="305"/>
      <c r="T102" s="305"/>
    </row>
    <row r="103" spans="4:20" x14ac:dyDescent="0.3">
      <c r="D103" s="305"/>
      <c r="E103" s="305"/>
      <c r="F103" s="305"/>
      <c r="G103" s="305"/>
      <c r="H103" s="305"/>
      <c r="I103" s="305"/>
      <c r="J103" s="305"/>
      <c r="O103" s="305"/>
      <c r="P103" s="305"/>
      <c r="Q103" s="305"/>
      <c r="R103" s="305"/>
      <c r="S103" s="305"/>
      <c r="T103" s="305"/>
    </row>
    <row r="104" spans="4:20" x14ac:dyDescent="0.3">
      <c r="D104" s="305"/>
      <c r="E104" s="305"/>
      <c r="F104" s="305"/>
      <c r="G104" s="305"/>
      <c r="H104" s="305"/>
      <c r="I104" s="305"/>
      <c r="J104" s="305"/>
      <c r="O104" s="305"/>
      <c r="P104" s="305"/>
      <c r="Q104" s="305"/>
      <c r="R104" s="305"/>
      <c r="S104" s="305"/>
      <c r="T104" s="305"/>
    </row>
    <row r="105" spans="4:20" x14ac:dyDescent="0.3">
      <c r="D105" s="305"/>
      <c r="E105" s="305"/>
      <c r="F105" s="305"/>
      <c r="G105" s="305"/>
      <c r="H105" s="305"/>
      <c r="I105" s="305"/>
      <c r="J105" s="305"/>
      <c r="O105" s="305"/>
      <c r="P105" s="305"/>
      <c r="Q105" s="305"/>
      <c r="R105" s="305"/>
      <c r="S105" s="305"/>
      <c r="T105" s="305"/>
    </row>
    <row r="106" spans="4:20" x14ac:dyDescent="0.3">
      <c r="D106" s="305"/>
      <c r="E106" s="305"/>
      <c r="F106" s="305"/>
      <c r="G106" s="305"/>
      <c r="H106" s="305"/>
      <c r="I106" s="305"/>
      <c r="J106" s="305"/>
      <c r="O106" s="305"/>
      <c r="P106" s="305"/>
      <c r="Q106" s="305"/>
      <c r="R106" s="305"/>
      <c r="S106" s="305"/>
      <c r="T106" s="305"/>
    </row>
    <row r="107" spans="4:20" x14ac:dyDescent="0.3">
      <c r="D107" s="305"/>
      <c r="E107" s="305"/>
      <c r="F107" s="305"/>
      <c r="G107" s="305"/>
      <c r="H107" s="305"/>
      <c r="I107" s="305"/>
      <c r="J107" s="305"/>
      <c r="O107" s="305"/>
      <c r="P107" s="305"/>
      <c r="Q107" s="305"/>
      <c r="R107" s="305"/>
      <c r="S107" s="305"/>
      <c r="T107" s="305"/>
    </row>
    <row r="108" spans="4:20" x14ac:dyDescent="0.3">
      <c r="D108" s="305"/>
      <c r="E108" s="305"/>
      <c r="F108" s="305"/>
      <c r="G108" s="305"/>
      <c r="H108" s="305"/>
      <c r="I108" s="305"/>
      <c r="J108" s="305"/>
      <c r="O108" s="305"/>
      <c r="P108" s="305"/>
      <c r="Q108" s="305"/>
      <c r="R108" s="305"/>
      <c r="S108" s="305"/>
      <c r="T108" s="305"/>
    </row>
    <row r="109" spans="4:20" x14ac:dyDescent="0.3">
      <c r="D109" s="305"/>
      <c r="E109" s="305"/>
      <c r="F109" s="305"/>
      <c r="G109" s="305"/>
      <c r="H109" s="305"/>
      <c r="I109" s="305"/>
      <c r="J109" s="305"/>
      <c r="O109" s="305"/>
      <c r="P109" s="305"/>
      <c r="Q109" s="305"/>
      <c r="R109" s="305"/>
      <c r="S109" s="305"/>
      <c r="T109" s="305"/>
    </row>
    <row r="110" spans="4:20" x14ac:dyDescent="0.3">
      <c r="D110" s="305"/>
      <c r="E110" s="305"/>
      <c r="F110" s="305"/>
      <c r="G110" s="305"/>
      <c r="H110" s="305"/>
      <c r="I110" s="305"/>
      <c r="J110" s="305"/>
      <c r="O110" s="305"/>
      <c r="P110" s="305"/>
      <c r="Q110" s="305"/>
      <c r="R110" s="305"/>
      <c r="S110" s="305"/>
      <c r="T110" s="305"/>
    </row>
    <row r="111" spans="4:20" x14ac:dyDescent="0.3">
      <c r="D111" s="305"/>
      <c r="E111" s="305"/>
      <c r="F111" s="305"/>
      <c r="G111" s="305"/>
      <c r="H111" s="305"/>
      <c r="I111" s="305"/>
      <c r="J111" s="305"/>
      <c r="O111" s="305"/>
      <c r="P111" s="305"/>
      <c r="Q111" s="305"/>
      <c r="R111" s="305"/>
      <c r="S111" s="305"/>
      <c r="T111" s="305"/>
    </row>
    <row r="112" spans="4:20" x14ac:dyDescent="0.3">
      <c r="D112" s="305"/>
      <c r="E112" s="305"/>
      <c r="F112" s="305"/>
      <c r="G112" s="305"/>
      <c r="H112" s="305"/>
      <c r="I112" s="305"/>
      <c r="J112" s="305"/>
      <c r="O112" s="305"/>
      <c r="P112" s="305"/>
      <c r="Q112" s="305"/>
      <c r="R112" s="305"/>
      <c r="S112" s="305"/>
      <c r="T112" s="305"/>
    </row>
    <row r="113" spans="4:20" x14ac:dyDescent="0.3">
      <c r="D113" s="305"/>
      <c r="E113" s="305"/>
      <c r="F113" s="305"/>
      <c r="G113" s="305"/>
      <c r="H113" s="305"/>
      <c r="I113" s="305"/>
      <c r="J113" s="305"/>
      <c r="O113" s="305"/>
      <c r="P113" s="305"/>
      <c r="Q113" s="305"/>
      <c r="R113" s="305"/>
      <c r="S113" s="305"/>
      <c r="T113" s="305"/>
    </row>
    <row r="114" spans="4:20" x14ac:dyDescent="0.3">
      <c r="D114" s="305"/>
      <c r="E114" s="305"/>
      <c r="F114" s="305"/>
      <c r="G114" s="305"/>
      <c r="H114" s="305"/>
      <c r="I114" s="305"/>
      <c r="J114" s="305"/>
      <c r="O114" s="305"/>
      <c r="P114" s="305"/>
      <c r="Q114" s="305"/>
      <c r="R114" s="305"/>
      <c r="S114" s="305"/>
      <c r="T114" s="305"/>
    </row>
    <row r="115" spans="4:20" x14ac:dyDescent="0.3">
      <c r="D115" s="305"/>
      <c r="E115" s="305"/>
      <c r="F115" s="305"/>
      <c r="G115" s="305"/>
      <c r="H115" s="305"/>
      <c r="I115" s="305"/>
      <c r="J115" s="305"/>
      <c r="O115" s="305"/>
      <c r="P115" s="305"/>
      <c r="Q115" s="305"/>
      <c r="R115" s="305"/>
      <c r="S115" s="305"/>
      <c r="T115" s="305"/>
    </row>
    <row r="116" spans="4:20" x14ac:dyDescent="0.3">
      <c r="D116" s="305"/>
      <c r="E116" s="305"/>
      <c r="F116" s="305"/>
      <c r="G116" s="305"/>
      <c r="H116" s="305"/>
      <c r="I116" s="305"/>
      <c r="J116" s="305"/>
      <c r="O116" s="305"/>
      <c r="P116" s="305"/>
      <c r="Q116" s="305"/>
      <c r="R116" s="305"/>
      <c r="S116" s="305"/>
      <c r="T116" s="305"/>
    </row>
    <row r="117" spans="4:20" x14ac:dyDescent="0.3">
      <c r="D117" s="305"/>
      <c r="E117" s="305"/>
      <c r="F117" s="305"/>
      <c r="G117" s="305"/>
      <c r="H117" s="305"/>
      <c r="I117" s="305"/>
      <c r="J117" s="305"/>
      <c r="O117" s="305"/>
      <c r="P117" s="305"/>
      <c r="Q117" s="305"/>
      <c r="R117" s="305"/>
      <c r="S117" s="305"/>
      <c r="T117" s="305"/>
    </row>
    <row r="118" spans="4:20" x14ac:dyDescent="0.3">
      <c r="D118" s="305"/>
      <c r="E118" s="305"/>
      <c r="F118" s="305"/>
      <c r="G118" s="305"/>
      <c r="H118" s="305"/>
      <c r="I118" s="305"/>
      <c r="J118" s="305"/>
      <c r="O118" s="305"/>
      <c r="P118" s="305"/>
      <c r="Q118" s="305"/>
      <c r="R118" s="305"/>
      <c r="S118" s="305"/>
      <c r="T118" s="305"/>
    </row>
    <row r="119" spans="4:20" x14ac:dyDescent="0.3">
      <c r="D119" s="305"/>
      <c r="E119" s="305"/>
      <c r="F119" s="305"/>
      <c r="G119" s="305"/>
      <c r="H119" s="305"/>
      <c r="I119" s="305"/>
      <c r="J119" s="305"/>
      <c r="O119" s="305"/>
      <c r="P119" s="305"/>
      <c r="Q119" s="305"/>
      <c r="R119" s="305"/>
      <c r="S119" s="305"/>
      <c r="T119" s="305"/>
    </row>
    <row r="120" spans="4:20" x14ac:dyDescent="0.3">
      <c r="D120" s="305"/>
      <c r="E120" s="305"/>
      <c r="F120" s="305"/>
      <c r="G120" s="305"/>
      <c r="H120" s="305"/>
      <c r="I120" s="305"/>
      <c r="J120" s="305"/>
      <c r="O120" s="305"/>
      <c r="P120" s="305"/>
      <c r="Q120" s="305"/>
      <c r="R120" s="305"/>
      <c r="S120" s="305"/>
      <c r="T120" s="305"/>
    </row>
    <row r="121" spans="4:20" x14ac:dyDescent="0.3">
      <c r="D121" s="305"/>
      <c r="E121" s="305"/>
      <c r="F121" s="305"/>
      <c r="G121" s="305"/>
      <c r="H121" s="305"/>
      <c r="I121" s="305"/>
      <c r="J121" s="305"/>
      <c r="O121" s="305"/>
      <c r="P121" s="305"/>
      <c r="Q121" s="305"/>
      <c r="R121" s="305"/>
      <c r="S121" s="305"/>
      <c r="T121" s="305"/>
    </row>
    <row r="122" spans="4:20" x14ac:dyDescent="0.3">
      <c r="D122" s="305"/>
      <c r="E122" s="305"/>
      <c r="F122" s="305"/>
      <c r="G122" s="305"/>
      <c r="H122" s="305"/>
      <c r="I122" s="305"/>
      <c r="J122" s="305"/>
      <c r="O122" s="305"/>
      <c r="P122" s="305"/>
      <c r="Q122" s="305"/>
      <c r="R122" s="305"/>
      <c r="S122" s="305"/>
      <c r="T122" s="305"/>
    </row>
    <row r="123" spans="4:20" x14ac:dyDescent="0.3">
      <c r="D123" s="305"/>
      <c r="E123" s="305"/>
      <c r="F123" s="305"/>
      <c r="G123" s="305"/>
      <c r="H123" s="305"/>
      <c r="I123" s="305"/>
      <c r="J123" s="305"/>
      <c r="O123" s="305"/>
      <c r="P123" s="305"/>
      <c r="Q123" s="305"/>
      <c r="R123" s="305"/>
      <c r="S123" s="305"/>
      <c r="T123" s="305"/>
    </row>
    <row r="124" spans="4:20" x14ac:dyDescent="0.3">
      <c r="D124" s="305"/>
      <c r="E124" s="305"/>
      <c r="F124" s="305"/>
      <c r="G124" s="305"/>
      <c r="H124" s="305"/>
      <c r="I124" s="305"/>
      <c r="J124" s="305"/>
      <c r="O124" s="305"/>
      <c r="P124" s="305"/>
      <c r="Q124" s="305"/>
      <c r="R124" s="305"/>
      <c r="S124" s="305"/>
      <c r="T124" s="305"/>
    </row>
    <row r="125" spans="4:20" x14ac:dyDescent="0.3">
      <c r="D125" s="305"/>
      <c r="E125" s="305"/>
      <c r="F125" s="305"/>
      <c r="G125" s="305"/>
      <c r="H125" s="305"/>
      <c r="I125" s="305"/>
      <c r="J125" s="305"/>
      <c r="O125" s="305"/>
      <c r="P125" s="305"/>
      <c r="Q125" s="305"/>
      <c r="R125" s="305"/>
      <c r="S125" s="305"/>
      <c r="T125" s="305"/>
    </row>
    <row r="126" spans="4:20" x14ac:dyDescent="0.3">
      <c r="D126" s="305"/>
      <c r="E126" s="305"/>
      <c r="F126" s="305"/>
      <c r="G126" s="305"/>
      <c r="H126" s="305"/>
      <c r="I126" s="305"/>
      <c r="J126" s="305"/>
      <c r="O126" s="305"/>
      <c r="P126" s="305"/>
      <c r="Q126" s="305"/>
      <c r="R126" s="305"/>
      <c r="S126" s="305"/>
      <c r="T126" s="305"/>
    </row>
    <row r="127" spans="4:20" x14ac:dyDescent="0.3">
      <c r="D127" s="305"/>
      <c r="E127" s="305"/>
      <c r="F127" s="305"/>
      <c r="G127" s="305"/>
      <c r="H127" s="305"/>
      <c r="I127" s="305"/>
      <c r="J127" s="305"/>
      <c r="O127" s="305"/>
      <c r="P127" s="305"/>
      <c r="Q127" s="305"/>
      <c r="R127" s="305"/>
      <c r="S127" s="305"/>
      <c r="T127" s="305"/>
    </row>
    <row r="128" spans="4:20" x14ac:dyDescent="0.3">
      <c r="D128" s="305"/>
      <c r="E128" s="305"/>
      <c r="F128" s="305"/>
      <c r="G128" s="305"/>
      <c r="H128" s="305"/>
      <c r="I128" s="305"/>
      <c r="J128" s="305"/>
      <c r="O128" s="305"/>
      <c r="P128" s="305"/>
      <c r="Q128" s="305"/>
      <c r="R128" s="305"/>
      <c r="S128" s="305"/>
      <c r="T128" s="305"/>
    </row>
    <row r="129" spans="4:20" x14ac:dyDescent="0.3">
      <c r="D129" s="305"/>
      <c r="E129" s="305"/>
      <c r="F129" s="305"/>
      <c r="G129" s="305"/>
      <c r="H129" s="305"/>
      <c r="I129" s="305"/>
      <c r="J129" s="305"/>
      <c r="O129" s="305"/>
      <c r="P129" s="305"/>
      <c r="Q129" s="305"/>
      <c r="R129" s="305"/>
      <c r="S129" s="305"/>
      <c r="T129" s="305"/>
    </row>
    <row r="130" spans="4:20" x14ac:dyDescent="0.3">
      <c r="D130" s="305"/>
      <c r="E130" s="305"/>
      <c r="F130" s="305"/>
      <c r="G130" s="305"/>
      <c r="H130" s="305"/>
      <c r="I130" s="305"/>
      <c r="J130" s="305"/>
      <c r="O130" s="305"/>
      <c r="P130" s="305"/>
      <c r="Q130" s="305"/>
      <c r="R130" s="305"/>
      <c r="S130" s="305"/>
      <c r="T130" s="305"/>
    </row>
    <row r="131" spans="4:20" x14ac:dyDescent="0.3">
      <c r="D131" s="305"/>
      <c r="E131" s="305"/>
      <c r="F131" s="305"/>
      <c r="G131" s="305"/>
      <c r="H131" s="305"/>
      <c r="I131" s="305"/>
      <c r="J131" s="305"/>
      <c r="O131" s="305"/>
      <c r="P131" s="305"/>
      <c r="Q131" s="305"/>
      <c r="R131" s="305"/>
      <c r="S131" s="305"/>
      <c r="T131" s="305"/>
    </row>
    <row r="132" spans="4:20" x14ac:dyDescent="0.3">
      <c r="D132" s="305"/>
      <c r="E132" s="305"/>
      <c r="F132" s="305"/>
      <c r="G132" s="305"/>
      <c r="H132" s="305"/>
      <c r="I132" s="305"/>
      <c r="J132" s="305"/>
      <c r="O132" s="305"/>
      <c r="P132" s="305"/>
      <c r="Q132" s="305"/>
      <c r="R132" s="305"/>
      <c r="S132" s="305"/>
      <c r="T132" s="305"/>
    </row>
    <row r="133" spans="4:20" x14ac:dyDescent="0.3">
      <c r="D133" s="305"/>
      <c r="E133" s="305"/>
      <c r="F133" s="305"/>
      <c r="G133" s="305"/>
      <c r="H133" s="305"/>
      <c r="I133" s="305"/>
      <c r="J133" s="305"/>
      <c r="O133" s="305"/>
      <c r="P133" s="305"/>
      <c r="Q133" s="305"/>
      <c r="R133" s="305"/>
      <c r="S133" s="305"/>
      <c r="T133" s="305"/>
    </row>
    <row r="134" spans="4:20" x14ac:dyDescent="0.3">
      <c r="D134" s="305"/>
      <c r="E134" s="305"/>
      <c r="F134" s="305"/>
      <c r="G134" s="305"/>
      <c r="H134" s="305"/>
      <c r="I134" s="305"/>
      <c r="J134" s="305"/>
      <c r="O134" s="305"/>
      <c r="P134" s="305"/>
      <c r="Q134" s="305"/>
      <c r="R134" s="305"/>
      <c r="S134" s="305"/>
      <c r="T134" s="305"/>
    </row>
    <row r="135" spans="4:20" x14ac:dyDescent="0.3">
      <c r="D135" s="305"/>
      <c r="E135" s="305"/>
      <c r="F135" s="305"/>
      <c r="G135" s="305"/>
      <c r="H135" s="305"/>
      <c r="I135" s="305"/>
      <c r="J135" s="305"/>
      <c r="O135" s="305"/>
      <c r="P135" s="305"/>
      <c r="Q135" s="305"/>
      <c r="R135" s="305"/>
      <c r="S135" s="305"/>
      <c r="T135" s="305"/>
    </row>
    <row r="136" spans="4:20" x14ac:dyDescent="0.3">
      <c r="D136" s="305"/>
      <c r="E136" s="305"/>
      <c r="F136" s="305"/>
      <c r="G136" s="305"/>
      <c r="H136" s="305"/>
      <c r="I136" s="305"/>
      <c r="J136" s="305"/>
      <c r="O136" s="305"/>
      <c r="P136" s="305"/>
      <c r="Q136" s="305"/>
      <c r="R136" s="305"/>
      <c r="S136" s="305"/>
      <c r="T136" s="305"/>
    </row>
    <row r="137" spans="4:20" x14ac:dyDescent="0.3">
      <c r="D137" s="305"/>
      <c r="E137" s="305"/>
      <c r="F137" s="305"/>
      <c r="G137" s="305"/>
      <c r="H137" s="305"/>
      <c r="I137" s="305"/>
      <c r="J137" s="305"/>
      <c r="O137" s="305"/>
      <c r="P137" s="305"/>
      <c r="Q137" s="305"/>
      <c r="R137" s="305"/>
      <c r="S137" s="305"/>
      <c r="T137" s="305"/>
    </row>
    <row r="138" spans="4:20" x14ac:dyDescent="0.3">
      <c r="D138" s="305"/>
      <c r="E138" s="305"/>
      <c r="F138" s="305"/>
      <c r="G138" s="305"/>
      <c r="H138" s="305"/>
      <c r="I138" s="305"/>
      <c r="J138" s="305"/>
      <c r="O138" s="305"/>
      <c r="P138" s="305"/>
      <c r="Q138" s="305"/>
      <c r="R138" s="305"/>
      <c r="S138" s="305"/>
      <c r="T138" s="305"/>
    </row>
    <row r="139" spans="4:20" x14ac:dyDescent="0.3">
      <c r="D139" s="305"/>
      <c r="E139" s="305"/>
      <c r="F139" s="305"/>
      <c r="G139" s="305"/>
      <c r="H139" s="305"/>
      <c r="I139" s="305"/>
      <c r="J139" s="305"/>
      <c r="O139" s="305"/>
      <c r="P139" s="305"/>
      <c r="Q139" s="305"/>
      <c r="R139" s="305"/>
      <c r="S139" s="305"/>
      <c r="T139" s="305"/>
    </row>
    <row r="140" spans="4:20" x14ac:dyDescent="0.3">
      <c r="D140" s="305"/>
      <c r="E140" s="305"/>
      <c r="F140" s="305"/>
      <c r="G140" s="305"/>
      <c r="H140" s="305"/>
      <c r="I140" s="305"/>
      <c r="J140" s="305"/>
      <c r="O140" s="305"/>
      <c r="P140" s="305"/>
      <c r="Q140" s="305"/>
      <c r="R140" s="305"/>
      <c r="S140" s="305"/>
      <c r="T140" s="305"/>
    </row>
    <row r="141" spans="4:20" x14ac:dyDescent="0.3">
      <c r="D141" s="305"/>
      <c r="E141" s="305"/>
      <c r="F141" s="305"/>
      <c r="G141" s="305"/>
      <c r="H141" s="305"/>
      <c r="I141" s="305"/>
      <c r="J141" s="305"/>
      <c r="O141" s="305"/>
      <c r="P141" s="305"/>
      <c r="Q141" s="305"/>
      <c r="R141" s="305"/>
      <c r="S141" s="305"/>
      <c r="T141" s="305"/>
    </row>
    <row r="142" spans="4:20" x14ac:dyDescent="0.3">
      <c r="D142" s="305"/>
      <c r="E142" s="305"/>
      <c r="F142" s="305"/>
      <c r="G142" s="305"/>
      <c r="H142" s="305"/>
      <c r="I142" s="305"/>
      <c r="J142" s="305"/>
      <c r="O142" s="305"/>
      <c r="P142" s="305"/>
      <c r="Q142" s="305"/>
      <c r="R142" s="305"/>
      <c r="S142" s="305"/>
      <c r="T142" s="305"/>
    </row>
    <row r="143" spans="4:20" x14ac:dyDescent="0.3">
      <c r="D143" s="305"/>
      <c r="E143" s="305"/>
      <c r="F143" s="305"/>
      <c r="G143" s="305"/>
      <c r="H143" s="305"/>
      <c r="I143" s="305"/>
      <c r="J143" s="305"/>
      <c r="O143" s="305"/>
      <c r="P143" s="305"/>
      <c r="Q143" s="305"/>
      <c r="R143" s="305"/>
      <c r="S143" s="305"/>
      <c r="T143" s="305"/>
    </row>
    <row r="144" spans="4:20" x14ac:dyDescent="0.3">
      <c r="D144" s="305"/>
      <c r="E144" s="305"/>
      <c r="F144" s="305"/>
      <c r="G144" s="305"/>
      <c r="H144" s="305"/>
      <c r="I144" s="305"/>
      <c r="J144" s="305"/>
      <c r="O144" s="305"/>
      <c r="P144" s="305"/>
      <c r="Q144" s="305"/>
      <c r="R144" s="305"/>
      <c r="S144" s="305"/>
      <c r="T144" s="305"/>
    </row>
    <row r="145" spans="4:20" x14ac:dyDescent="0.3">
      <c r="D145" s="305"/>
      <c r="E145" s="305"/>
      <c r="F145" s="305"/>
      <c r="G145" s="305"/>
      <c r="H145" s="305"/>
      <c r="I145" s="305"/>
      <c r="J145" s="305"/>
      <c r="O145" s="305"/>
      <c r="P145" s="305"/>
      <c r="Q145" s="305"/>
      <c r="R145" s="305"/>
      <c r="S145" s="305"/>
      <c r="T145" s="305"/>
    </row>
    <row r="146" spans="4:20" x14ac:dyDescent="0.3">
      <c r="D146" s="305"/>
      <c r="E146" s="305"/>
      <c r="F146" s="305"/>
      <c r="G146" s="305"/>
      <c r="H146" s="305"/>
      <c r="I146" s="305"/>
      <c r="J146" s="305"/>
      <c r="O146" s="305"/>
      <c r="P146" s="305"/>
      <c r="Q146" s="305"/>
      <c r="R146" s="305"/>
      <c r="S146" s="305"/>
      <c r="T146" s="305"/>
    </row>
    <row r="147" spans="4:20" x14ac:dyDescent="0.3">
      <c r="D147" s="305"/>
      <c r="E147" s="305"/>
      <c r="F147" s="305"/>
      <c r="G147" s="305"/>
      <c r="H147" s="305"/>
      <c r="I147" s="305"/>
      <c r="J147" s="305"/>
      <c r="O147" s="305"/>
      <c r="P147" s="305"/>
      <c r="Q147" s="305"/>
      <c r="R147" s="305"/>
      <c r="S147" s="305"/>
      <c r="T147" s="305"/>
    </row>
    <row r="148" spans="4:20" x14ac:dyDescent="0.3">
      <c r="D148" s="305"/>
      <c r="E148" s="305"/>
      <c r="F148" s="305"/>
      <c r="G148" s="305"/>
      <c r="H148" s="305"/>
      <c r="I148" s="305"/>
      <c r="J148" s="305"/>
      <c r="O148" s="305"/>
      <c r="P148" s="305"/>
      <c r="Q148" s="305"/>
      <c r="R148" s="305"/>
      <c r="S148" s="305"/>
      <c r="T148" s="305"/>
    </row>
    <row r="149" spans="4:20" x14ac:dyDescent="0.3">
      <c r="D149" s="305"/>
      <c r="E149" s="305"/>
      <c r="F149" s="305"/>
      <c r="G149" s="305"/>
      <c r="H149" s="305"/>
      <c r="I149" s="305"/>
      <c r="J149" s="305"/>
      <c r="O149" s="305"/>
      <c r="P149" s="305"/>
      <c r="Q149" s="305"/>
      <c r="R149" s="305"/>
      <c r="S149" s="305"/>
      <c r="T149" s="305"/>
    </row>
    <row r="150" spans="4:20" x14ac:dyDescent="0.3">
      <c r="D150" s="305"/>
      <c r="E150" s="305"/>
      <c r="F150" s="305"/>
      <c r="G150" s="305"/>
      <c r="H150" s="305"/>
      <c r="I150" s="305"/>
      <c r="J150" s="305"/>
      <c r="O150" s="305"/>
      <c r="P150" s="305"/>
      <c r="Q150" s="305"/>
      <c r="R150" s="305"/>
      <c r="S150" s="305"/>
      <c r="T150" s="305"/>
    </row>
    <row r="151" spans="4:20" x14ac:dyDescent="0.3">
      <c r="D151" s="305"/>
      <c r="E151" s="305"/>
      <c r="F151" s="305"/>
      <c r="G151" s="305"/>
      <c r="H151" s="305"/>
      <c r="I151" s="305"/>
      <c r="J151" s="305"/>
      <c r="O151" s="305"/>
      <c r="P151" s="305"/>
      <c r="Q151" s="305"/>
      <c r="R151" s="305"/>
      <c r="S151" s="305"/>
      <c r="T151" s="305"/>
    </row>
    <row r="152" spans="4:20" x14ac:dyDescent="0.3">
      <c r="D152" s="305"/>
      <c r="E152" s="305"/>
      <c r="F152" s="305"/>
      <c r="G152" s="305"/>
      <c r="H152" s="305"/>
      <c r="I152" s="305"/>
      <c r="J152" s="305"/>
      <c r="O152" s="305"/>
      <c r="P152" s="305"/>
      <c r="Q152" s="305"/>
      <c r="R152" s="305"/>
      <c r="S152" s="305"/>
      <c r="T152" s="305"/>
    </row>
    <row r="153" spans="4:20" x14ac:dyDescent="0.3">
      <c r="D153" s="305"/>
      <c r="E153" s="305"/>
      <c r="F153" s="305"/>
      <c r="G153" s="305"/>
      <c r="H153" s="305"/>
      <c r="I153" s="305"/>
      <c r="J153" s="305"/>
      <c r="O153" s="305"/>
      <c r="P153" s="305"/>
      <c r="Q153" s="305"/>
      <c r="R153" s="305"/>
      <c r="S153" s="305"/>
      <c r="T153" s="305"/>
    </row>
    <row r="154" spans="4:20" x14ac:dyDescent="0.3">
      <c r="D154" s="305"/>
      <c r="E154" s="305"/>
      <c r="F154" s="305"/>
      <c r="G154" s="305"/>
      <c r="H154" s="305"/>
      <c r="I154" s="305"/>
      <c r="J154" s="305"/>
      <c r="O154" s="305"/>
      <c r="P154" s="305"/>
      <c r="Q154" s="305"/>
      <c r="R154" s="305"/>
      <c r="S154" s="305"/>
      <c r="T154" s="305"/>
    </row>
    <row r="155" spans="4:20" x14ac:dyDescent="0.3">
      <c r="D155" s="305"/>
      <c r="E155" s="305"/>
      <c r="F155" s="305"/>
      <c r="G155" s="305"/>
      <c r="H155" s="305"/>
      <c r="I155" s="305"/>
      <c r="J155" s="305"/>
      <c r="O155" s="305"/>
      <c r="P155" s="305"/>
      <c r="Q155" s="305"/>
      <c r="R155" s="305"/>
      <c r="S155" s="305"/>
      <c r="T155" s="305"/>
    </row>
    <row r="156" spans="4:20" x14ac:dyDescent="0.3">
      <c r="D156" s="305"/>
      <c r="E156" s="305"/>
      <c r="F156" s="305"/>
      <c r="G156" s="305"/>
      <c r="H156" s="305"/>
      <c r="I156" s="305"/>
      <c r="J156" s="305"/>
      <c r="O156" s="305"/>
      <c r="P156" s="305"/>
      <c r="Q156" s="305"/>
      <c r="R156" s="305"/>
      <c r="S156" s="305"/>
      <c r="T156" s="305"/>
    </row>
    <row r="157" spans="4:20" x14ac:dyDescent="0.3">
      <c r="D157" s="305"/>
      <c r="E157" s="305"/>
      <c r="F157" s="305"/>
      <c r="G157" s="305"/>
      <c r="H157" s="305"/>
      <c r="I157" s="305"/>
      <c r="J157" s="305"/>
      <c r="O157" s="305"/>
      <c r="P157" s="305"/>
      <c r="Q157" s="305"/>
      <c r="R157" s="305"/>
      <c r="S157" s="305"/>
      <c r="T157" s="305"/>
    </row>
    <row r="158" spans="4:20" x14ac:dyDescent="0.3">
      <c r="D158" s="305"/>
      <c r="E158" s="305"/>
      <c r="F158" s="305"/>
      <c r="G158" s="305"/>
      <c r="H158" s="305"/>
      <c r="I158" s="305"/>
      <c r="J158" s="305"/>
      <c r="O158" s="305"/>
      <c r="P158" s="305"/>
      <c r="Q158" s="305"/>
      <c r="R158" s="305"/>
      <c r="S158" s="305"/>
      <c r="T158" s="305"/>
    </row>
    <row r="159" spans="4:20" x14ac:dyDescent="0.3">
      <c r="D159" s="305"/>
      <c r="E159" s="305"/>
      <c r="F159" s="305"/>
      <c r="G159" s="305"/>
      <c r="H159" s="305"/>
      <c r="I159" s="305"/>
      <c r="J159" s="305"/>
      <c r="O159" s="305"/>
      <c r="P159" s="305"/>
      <c r="Q159" s="305"/>
      <c r="R159" s="305"/>
      <c r="S159" s="305"/>
      <c r="T159" s="305"/>
    </row>
    <row r="160" spans="4:20" x14ac:dyDescent="0.3">
      <c r="D160" s="305"/>
      <c r="E160" s="305"/>
      <c r="F160" s="305"/>
      <c r="G160" s="305"/>
      <c r="H160" s="305"/>
      <c r="I160" s="305"/>
      <c r="J160" s="305"/>
      <c r="O160" s="305"/>
      <c r="P160" s="305"/>
      <c r="Q160" s="305"/>
      <c r="R160" s="305"/>
      <c r="S160" s="305"/>
      <c r="T160" s="305"/>
    </row>
    <row r="161" spans="4:20" x14ac:dyDescent="0.3">
      <c r="D161" s="305"/>
      <c r="E161" s="305"/>
      <c r="F161" s="305"/>
      <c r="G161" s="305"/>
      <c r="H161" s="305"/>
      <c r="I161" s="305"/>
      <c r="J161" s="305"/>
      <c r="O161" s="305"/>
      <c r="P161" s="305"/>
      <c r="Q161" s="305"/>
      <c r="R161" s="305"/>
      <c r="S161" s="305"/>
      <c r="T161" s="305"/>
    </row>
    <row r="162" spans="4:20" x14ac:dyDescent="0.3">
      <c r="D162" s="305"/>
      <c r="E162" s="305"/>
      <c r="F162" s="305"/>
      <c r="G162" s="305"/>
      <c r="H162" s="305"/>
      <c r="I162" s="305"/>
      <c r="J162" s="305"/>
      <c r="O162" s="305"/>
      <c r="P162" s="305"/>
      <c r="Q162" s="305"/>
      <c r="R162" s="305"/>
      <c r="S162" s="305"/>
      <c r="T162" s="305"/>
    </row>
    <row r="163" spans="4:20" x14ac:dyDescent="0.3">
      <c r="D163" s="305"/>
      <c r="E163" s="305"/>
      <c r="F163" s="305"/>
      <c r="G163" s="305"/>
      <c r="H163" s="305"/>
      <c r="I163" s="305"/>
      <c r="J163" s="305"/>
      <c r="O163" s="305"/>
      <c r="P163" s="305"/>
      <c r="Q163" s="305"/>
      <c r="R163" s="305"/>
      <c r="S163" s="305"/>
      <c r="T163" s="305"/>
    </row>
    <row r="164" spans="4:20" x14ac:dyDescent="0.3">
      <c r="D164" s="305"/>
      <c r="E164" s="305"/>
      <c r="F164" s="305"/>
      <c r="G164" s="305"/>
      <c r="H164" s="305"/>
      <c r="I164" s="305"/>
      <c r="J164" s="305"/>
      <c r="O164" s="305"/>
      <c r="P164" s="305"/>
      <c r="Q164" s="305"/>
      <c r="R164" s="305"/>
      <c r="S164" s="305"/>
      <c r="T164" s="305"/>
    </row>
    <row r="165" spans="4:20" x14ac:dyDescent="0.3">
      <c r="D165" s="305"/>
      <c r="E165" s="305"/>
      <c r="F165" s="305"/>
      <c r="G165" s="305"/>
      <c r="H165" s="305"/>
      <c r="I165" s="305"/>
      <c r="J165" s="305"/>
      <c r="O165" s="305"/>
      <c r="P165" s="305"/>
      <c r="Q165" s="305"/>
      <c r="R165" s="305"/>
      <c r="S165" s="305"/>
      <c r="T165" s="305"/>
    </row>
    <row r="166" spans="4:20" x14ac:dyDescent="0.3">
      <c r="D166" s="305"/>
      <c r="E166" s="305"/>
      <c r="F166" s="305"/>
      <c r="G166" s="305"/>
      <c r="H166" s="305"/>
      <c r="I166" s="305"/>
      <c r="J166" s="305"/>
      <c r="O166" s="305"/>
      <c r="P166" s="305"/>
      <c r="Q166" s="305"/>
      <c r="R166" s="305"/>
      <c r="S166" s="305"/>
      <c r="T166" s="305"/>
    </row>
    <row r="167" spans="4:20" x14ac:dyDescent="0.3">
      <c r="D167" s="305"/>
      <c r="E167" s="305"/>
      <c r="F167" s="305"/>
      <c r="G167" s="305"/>
      <c r="H167" s="305"/>
      <c r="I167" s="305"/>
      <c r="J167" s="305"/>
      <c r="O167" s="305"/>
      <c r="P167" s="305"/>
      <c r="Q167" s="305"/>
      <c r="R167" s="305"/>
      <c r="S167" s="305"/>
      <c r="T167" s="305"/>
    </row>
    <row r="168" spans="4:20" x14ac:dyDescent="0.3">
      <c r="D168" s="305"/>
      <c r="E168" s="305"/>
      <c r="F168" s="305"/>
      <c r="G168" s="305"/>
      <c r="H168" s="305"/>
      <c r="I168" s="305"/>
      <c r="J168" s="305"/>
      <c r="O168" s="305"/>
      <c r="P168" s="305"/>
      <c r="Q168" s="305"/>
      <c r="R168" s="305"/>
      <c r="S168" s="305"/>
      <c r="T168" s="305"/>
    </row>
    <row r="169" spans="4:20" x14ac:dyDescent="0.3">
      <c r="D169" s="305"/>
      <c r="E169" s="305"/>
      <c r="F169" s="305"/>
      <c r="G169" s="305"/>
      <c r="H169" s="305"/>
      <c r="I169" s="305"/>
      <c r="J169" s="305"/>
      <c r="O169" s="305"/>
      <c r="P169" s="305"/>
      <c r="Q169" s="305"/>
      <c r="R169" s="305"/>
      <c r="S169" s="305"/>
      <c r="T169" s="305"/>
    </row>
    <row r="170" spans="4:20" x14ac:dyDescent="0.3">
      <c r="D170" s="305"/>
      <c r="E170" s="305"/>
      <c r="F170" s="305"/>
      <c r="G170" s="305"/>
      <c r="H170" s="305"/>
      <c r="I170" s="305"/>
      <c r="J170" s="305"/>
      <c r="O170" s="305"/>
      <c r="P170" s="305"/>
      <c r="Q170" s="305"/>
      <c r="R170" s="305"/>
      <c r="S170" s="305"/>
      <c r="T170" s="305"/>
    </row>
    <row r="171" spans="4:20" x14ac:dyDescent="0.3">
      <c r="D171" s="305"/>
      <c r="E171" s="305"/>
      <c r="F171" s="305"/>
      <c r="G171" s="305"/>
      <c r="H171" s="305"/>
      <c r="I171" s="305"/>
      <c r="J171" s="305"/>
      <c r="O171" s="305"/>
      <c r="P171" s="305"/>
      <c r="Q171" s="305"/>
      <c r="R171" s="305"/>
      <c r="S171" s="305"/>
      <c r="T171" s="305"/>
    </row>
    <row r="172" spans="4:20" x14ac:dyDescent="0.3">
      <c r="D172" s="305"/>
      <c r="E172" s="305"/>
      <c r="F172" s="305"/>
      <c r="G172" s="305"/>
      <c r="H172" s="305"/>
      <c r="I172" s="305"/>
      <c r="J172" s="305"/>
      <c r="O172" s="305"/>
      <c r="P172" s="305"/>
      <c r="Q172" s="305"/>
      <c r="R172" s="305"/>
      <c r="S172" s="305"/>
      <c r="T172" s="305"/>
    </row>
    <row r="173" spans="4:20" x14ac:dyDescent="0.3">
      <c r="D173" s="305"/>
      <c r="E173" s="305"/>
      <c r="F173" s="305"/>
      <c r="G173" s="305"/>
      <c r="H173" s="305"/>
      <c r="I173" s="305"/>
      <c r="J173" s="305"/>
      <c r="O173" s="305"/>
      <c r="P173" s="305"/>
      <c r="Q173" s="305"/>
      <c r="R173" s="305"/>
      <c r="S173" s="305"/>
      <c r="T173" s="305"/>
    </row>
    <row r="174" spans="4:20" x14ac:dyDescent="0.3">
      <c r="D174" s="305"/>
      <c r="E174" s="305"/>
      <c r="F174" s="305"/>
      <c r="G174" s="305"/>
      <c r="H174" s="305"/>
      <c r="I174" s="305"/>
      <c r="J174" s="305"/>
      <c r="O174" s="305"/>
      <c r="P174" s="305"/>
      <c r="Q174" s="305"/>
      <c r="R174" s="305"/>
      <c r="S174" s="305"/>
      <c r="T174" s="305"/>
    </row>
    <row r="175" spans="4:20" x14ac:dyDescent="0.3">
      <c r="D175" s="305"/>
      <c r="E175" s="305"/>
      <c r="F175" s="305"/>
      <c r="G175" s="305"/>
      <c r="H175" s="305"/>
      <c r="I175" s="305"/>
      <c r="J175" s="305"/>
      <c r="O175" s="305"/>
      <c r="P175" s="305"/>
      <c r="Q175" s="305"/>
      <c r="R175" s="305"/>
      <c r="S175" s="305"/>
      <c r="T175" s="305"/>
    </row>
    <row r="176" spans="4:20" x14ac:dyDescent="0.3">
      <c r="D176" s="305"/>
      <c r="E176" s="305"/>
      <c r="F176" s="305"/>
      <c r="G176" s="305"/>
      <c r="H176" s="305"/>
      <c r="I176" s="305"/>
      <c r="J176" s="305"/>
      <c r="O176" s="305"/>
      <c r="P176" s="305"/>
      <c r="Q176" s="305"/>
      <c r="R176" s="305"/>
      <c r="S176" s="305"/>
      <c r="T176" s="305"/>
    </row>
    <row r="177" spans="4:20" x14ac:dyDescent="0.3">
      <c r="D177" s="305"/>
      <c r="E177" s="305"/>
      <c r="F177" s="305"/>
      <c r="G177" s="305"/>
      <c r="H177" s="305"/>
      <c r="I177" s="305"/>
      <c r="J177" s="305"/>
      <c r="O177" s="305"/>
      <c r="P177" s="305"/>
      <c r="Q177" s="305"/>
      <c r="R177" s="305"/>
      <c r="S177" s="305"/>
      <c r="T177" s="305"/>
    </row>
    <row r="178" spans="4:20" x14ac:dyDescent="0.3">
      <c r="D178" s="305"/>
      <c r="E178" s="305"/>
      <c r="F178" s="305"/>
      <c r="G178" s="305"/>
      <c r="H178" s="305"/>
      <c r="I178" s="305"/>
      <c r="J178" s="305"/>
      <c r="O178" s="305"/>
      <c r="P178" s="305"/>
      <c r="Q178" s="305"/>
      <c r="R178" s="305"/>
      <c r="S178" s="305"/>
      <c r="T178" s="305"/>
    </row>
    <row r="179" spans="4:20" x14ac:dyDescent="0.3">
      <c r="D179" s="305"/>
      <c r="E179" s="305"/>
      <c r="F179" s="305"/>
      <c r="G179" s="305"/>
      <c r="H179" s="305"/>
      <c r="I179" s="305"/>
      <c r="J179" s="305"/>
      <c r="O179" s="305"/>
      <c r="P179" s="305"/>
      <c r="Q179" s="305"/>
      <c r="R179" s="305"/>
      <c r="S179" s="305"/>
      <c r="T179" s="305"/>
    </row>
    <row r="180" spans="4:20" x14ac:dyDescent="0.3">
      <c r="D180" s="305"/>
      <c r="E180" s="305"/>
      <c r="F180" s="305"/>
      <c r="G180" s="305"/>
      <c r="H180" s="305"/>
      <c r="I180" s="305"/>
      <c r="J180" s="305"/>
      <c r="O180" s="305"/>
      <c r="P180" s="305"/>
      <c r="Q180" s="305"/>
      <c r="R180" s="305"/>
      <c r="S180" s="305"/>
      <c r="T180" s="305"/>
    </row>
    <row r="181" spans="4:20" x14ac:dyDescent="0.3">
      <c r="D181" s="305"/>
      <c r="E181" s="305"/>
      <c r="F181" s="305"/>
      <c r="G181" s="305"/>
      <c r="H181" s="305"/>
      <c r="I181" s="305"/>
      <c r="J181" s="305"/>
      <c r="O181" s="305"/>
      <c r="P181" s="305"/>
      <c r="Q181" s="305"/>
      <c r="R181" s="305"/>
      <c r="S181" s="305"/>
      <c r="T181" s="305"/>
    </row>
  </sheetData>
  <mergeCells count="12">
    <mergeCell ref="M16:T16"/>
    <mergeCell ref="M28:T28"/>
    <mergeCell ref="M37:T37"/>
    <mergeCell ref="V16:AB16"/>
    <mergeCell ref="V28:AB28"/>
    <mergeCell ref="V37:AB37"/>
    <mergeCell ref="M3:T3"/>
    <mergeCell ref="M6:T6"/>
    <mergeCell ref="M7:T7"/>
    <mergeCell ref="V6:AB6"/>
    <mergeCell ref="V7:AB7"/>
    <mergeCell ref="V3:AB3"/>
  </mergeCells>
  <phoneticPr fontId="8" type="noConversion"/>
  <pageMargins left="0.7" right="0.7" top="0.75" bottom="0.75" header="0.3" footer="0.3"/>
  <pageSetup paperSize="9" orientation="portrait" r:id="rId1"/>
  <customProperties>
    <customPr name="EpmWorksheetKeyString_GUID" r:id="rId2"/>
  </customProperties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249977111117893"/>
  </sheetPr>
  <dimension ref="A1:AB83"/>
  <sheetViews>
    <sheetView showGridLines="0" zoomScale="120" zoomScaleNormal="120" zoomScaleSheetLayoutView="100" workbookViewId="0">
      <pane xSplit="1" ySplit="4" topLeftCell="B5" activePane="bottomRight" state="frozen"/>
      <selection sqref="A1:XFD1048576"/>
      <selection pane="topRight" sqref="A1:XFD1048576"/>
      <selection pane="bottomLeft" sqref="A1:XFD1048576"/>
      <selection pane="bottomRight" activeCell="B5" sqref="B5"/>
    </sheetView>
  </sheetViews>
  <sheetFormatPr defaultColWidth="11.453125" defaultRowHeight="15" customHeight="1" outlineLevelCol="1" x14ac:dyDescent="0.3"/>
  <cols>
    <col min="1" max="1" width="54.453125" style="364" customWidth="1"/>
    <col min="2" max="2" width="12.453125" style="364" bestFit="1" customWidth="1" outlineLevel="1"/>
    <col min="3" max="4" width="12" style="364" customWidth="1" outlineLevel="1"/>
    <col min="5" max="6" width="12" style="364" bestFit="1" customWidth="1"/>
    <col min="7" max="7" width="12.453125" style="364" bestFit="1" customWidth="1"/>
    <col min="8" max="10" width="12.453125" style="364" customWidth="1"/>
    <col min="11" max="11" width="12.453125" style="290" customWidth="1"/>
    <col min="12" max="12" width="4" style="364" customWidth="1"/>
    <col min="13" max="15" width="7.1796875" style="364" customWidth="1" outlineLevel="1"/>
    <col min="16" max="18" width="7.1796875" style="364" bestFit="1" customWidth="1"/>
    <col min="19" max="20" width="7.1796875" style="364" customWidth="1"/>
    <col min="21" max="21" width="5" style="364" customWidth="1"/>
    <col min="22" max="24" width="10.81640625" style="364" customWidth="1" outlineLevel="1"/>
    <col min="25" max="26" width="10.81640625" style="364" bestFit="1" customWidth="1"/>
    <col min="27" max="28" width="10.81640625" style="364" customWidth="1"/>
    <col min="29" max="16384" width="11.453125" style="364"/>
  </cols>
  <sheetData>
    <row r="1" spans="1:28" ht="25" x14ac:dyDescent="0.3">
      <c r="A1" s="365" t="s">
        <v>237</v>
      </c>
    </row>
    <row r="2" spans="1:28" ht="14.5" customHeight="1" x14ac:dyDescent="0.3">
      <c r="A2" s="367" t="s">
        <v>238</v>
      </c>
      <c r="I2" s="391"/>
      <c r="M2" s="475" t="s">
        <v>225</v>
      </c>
      <c r="N2" s="475"/>
      <c r="O2" s="475"/>
      <c r="P2" s="475"/>
      <c r="Q2" s="475"/>
      <c r="R2" s="475"/>
      <c r="S2" s="475"/>
      <c r="T2" s="475"/>
      <c r="V2" s="475" t="s">
        <v>226</v>
      </c>
      <c r="W2" s="475"/>
      <c r="X2" s="475"/>
      <c r="Y2" s="475"/>
      <c r="Z2" s="475"/>
      <c r="AA2" s="475"/>
      <c r="AB2" s="475"/>
    </row>
    <row r="3" spans="1:28" ht="30" x14ac:dyDescent="0.3">
      <c r="A3" s="366"/>
      <c r="B3" s="294">
        <v>2005</v>
      </c>
      <c r="C3" s="294">
        <v>2006</v>
      </c>
      <c r="D3" s="294">
        <v>2007</v>
      </c>
      <c r="E3" s="294">
        <v>2008</v>
      </c>
      <c r="F3" s="294">
        <v>2009</v>
      </c>
      <c r="G3" s="294">
        <v>2010</v>
      </c>
      <c r="H3" s="294">
        <v>2011</v>
      </c>
      <c r="I3" s="295" t="s">
        <v>227</v>
      </c>
      <c r="J3" s="296" t="s">
        <v>228</v>
      </c>
      <c r="M3" s="294">
        <v>2005</v>
      </c>
      <c r="N3" s="294">
        <v>2006</v>
      </c>
      <c r="O3" s="294">
        <v>2007</v>
      </c>
      <c r="P3" s="294">
        <v>2008</v>
      </c>
      <c r="Q3" s="294">
        <v>2009</v>
      </c>
      <c r="R3" s="294">
        <v>2010</v>
      </c>
      <c r="S3" s="294">
        <v>2011</v>
      </c>
      <c r="T3" s="294">
        <v>2012</v>
      </c>
      <c r="V3" s="294" t="s">
        <v>229</v>
      </c>
      <c r="W3" s="294" t="s">
        <v>230</v>
      </c>
      <c r="X3" s="294" t="s">
        <v>231</v>
      </c>
      <c r="Y3" s="294" t="s">
        <v>232</v>
      </c>
      <c r="Z3" s="294" t="s">
        <v>233</v>
      </c>
      <c r="AA3" s="294" t="s">
        <v>234</v>
      </c>
      <c r="AB3" s="294" t="s">
        <v>235</v>
      </c>
    </row>
    <row r="4" spans="1:28" ht="14" x14ac:dyDescent="0.3">
      <c r="A4" s="367" t="s">
        <v>239</v>
      </c>
      <c r="B4" s="388"/>
      <c r="C4" s="388"/>
      <c r="D4" s="388"/>
      <c r="E4" s="388"/>
      <c r="F4" s="388"/>
      <c r="G4" s="368"/>
      <c r="H4" s="368"/>
      <c r="I4" s="368"/>
      <c r="J4" s="368"/>
    </row>
    <row r="5" spans="1:28" ht="14" x14ac:dyDescent="0.3">
      <c r="A5" s="369" t="s">
        <v>40</v>
      </c>
      <c r="B5" s="373">
        <v>1723519</v>
      </c>
      <c r="C5" s="373">
        <v>3631022</v>
      </c>
      <c r="D5" s="373">
        <v>3787144</v>
      </c>
      <c r="E5" s="373">
        <v>3805007</v>
      </c>
      <c r="F5" s="373">
        <v>3449768</v>
      </c>
      <c r="G5" s="373">
        <v>3023069</v>
      </c>
      <c r="H5" s="373">
        <v>3668610</v>
      </c>
      <c r="I5" s="373">
        <v>4380393</v>
      </c>
      <c r="J5" s="373">
        <f>+VLOOKUP(A5,'TNA2. Formulado '!$A$6:$D$23,4,FALSE)</f>
        <v>4294000</v>
      </c>
      <c r="M5" s="423">
        <f>+IFERROR(B5/$B$5,0)</f>
        <v>1</v>
      </c>
      <c r="N5" s="423">
        <f t="shared" ref="N5:N22" si="0">+IFERROR(C5/$C$5,0)</f>
        <v>1</v>
      </c>
      <c r="O5" s="423">
        <f t="shared" ref="O5:O22" si="1">+IFERROR(D5/$D$5,0)</f>
        <v>1</v>
      </c>
      <c r="P5" s="423">
        <f t="shared" ref="P5:P22" si="2">+IFERROR(E5/$E$5,0)</f>
        <v>1</v>
      </c>
      <c r="Q5" s="423">
        <f t="shared" ref="Q5:Q22" si="3">+IFERROR(F5/$F$5,0)</f>
        <v>1</v>
      </c>
      <c r="R5" s="423">
        <f t="shared" ref="R5:R22" si="4">+IFERROR(G5/$G$5,0)</f>
        <v>1</v>
      </c>
      <c r="S5" s="423">
        <f t="shared" ref="S5:S22" si="5">+IFERROR(H5/$H$5,0)</f>
        <v>1</v>
      </c>
      <c r="T5" s="423">
        <f t="shared" ref="T5:T22" si="6">+IFERROR(I5/$I$5,0)</f>
        <v>1</v>
      </c>
      <c r="V5" s="423">
        <f>+IFERROR((C5/B5)-1,"")</f>
        <v>1.1067490407706559</v>
      </c>
      <c r="W5" s="423">
        <f t="shared" ref="W5" si="7">+IFERROR((D5/C5)-1,"")</f>
        <v>4.2996710017179751E-2</v>
      </c>
      <c r="X5" s="423">
        <f>+IFERROR((E5/D5)-1,"")</f>
        <v>4.7167469734448186E-3</v>
      </c>
      <c r="Y5" s="423">
        <f>+IFERROR((F5/E5)-1,"")</f>
        <v>-9.3360932056103962E-2</v>
      </c>
      <c r="Z5" s="423">
        <f>+IFERROR((G5/F5)-1,"")</f>
        <v>-0.1236891872149084</v>
      </c>
      <c r="AA5" s="423">
        <f t="shared" ref="AA5:AB22" si="8">+IFERROR((H5/G5)-1,"")</f>
        <v>0.21353829502403032</v>
      </c>
      <c r="AB5" s="423">
        <f t="shared" si="8"/>
        <v>0.19401980586652701</v>
      </c>
    </row>
    <row r="6" spans="1:28" ht="14" x14ac:dyDescent="0.3">
      <c r="A6" s="364" t="s">
        <v>41</v>
      </c>
      <c r="B6" s="388">
        <v>1406186</v>
      </c>
      <c r="C6" s="388">
        <v>3052356</v>
      </c>
      <c r="D6" s="388">
        <v>2983399</v>
      </c>
      <c r="E6" s="388">
        <v>3136767</v>
      </c>
      <c r="F6" s="388">
        <v>2693035</v>
      </c>
      <c r="G6" s="388">
        <v>2423433</v>
      </c>
      <c r="H6" s="388">
        <v>2904365</v>
      </c>
      <c r="I6" s="388">
        <v>3468457</v>
      </c>
      <c r="J6" s="373">
        <f>+VLOOKUP(A6,'TNA2. Formulado '!$A$6:$D$23,4,FALSE)</f>
        <v>3399473.727106452</v>
      </c>
      <c r="M6" s="424">
        <f>(IFERROR(B6/$B$5,0))</f>
        <v>0.81588076487697558</v>
      </c>
      <c r="N6" s="424">
        <f>(IFERROR(C6/$C$5,0))</f>
        <v>0.84063274747440253</v>
      </c>
      <c r="O6" s="424">
        <f>(IFERROR(D6/$D$5,0))</f>
        <v>0.78777015080493373</v>
      </c>
      <c r="P6" s="424">
        <f>(IFERROR(E6/$E$5,0))</f>
        <v>0.82437877249634495</v>
      </c>
      <c r="Q6" s="424">
        <f>(IFERROR(F6/$F$5,0))</f>
        <v>0.78064235044211672</v>
      </c>
      <c r="R6" s="424">
        <f>(IFERROR(G6/$G$5,0))</f>
        <v>0.80164660482443506</v>
      </c>
      <c r="S6" s="424">
        <f>(IFERROR(H6/$H$5,0))</f>
        <v>0.79167995507835398</v>
      </c>
      <c r="T6" s="424">
        <f>(IFERROR(I6/$I$5,0))</f>
        <v>0.79181411348251174</v>
      </c>
      <c r="U6" s="379"/>
      <c r="V6" s="423">
        <f t="shared" ref="V6:V23" si="9">+IFERROR((C6/B6)-1,"")</f>
        <v>1.1706630559541908</v>
      </c>
      <c r="W6" s="423">
        <f t="shared" ref="W6:W23" si="10">+IFERROR((D6/C6)-1,"")</f>
        <v>-2.2591401527213728E-2</v>
      </c>
      <c r="X6" s="423">
        <f t="shared" ref="X6:Z23" si="11">+IFERROR((E6/D6)-1,"")</f>
        <v>5.1407136625037486E-2</v>
      </c>
      <c r="Y6" s="423">
        <f t="shared" si="11"/>
        <v>-0.14146157492730571</v>
      </c>
      <c r="Z6" s="423">
        <f t="shared" si="11"/>
        <v>-0.10011084148553584</v>
      </c>
      <c r="AA6" s="423">
        <f t="shared" si="8"/>
        <v>0.19845071021150584</v>
      </c>
      <c r="AB6" s="423">
        <f t="shared" si="8"/>
        <v>0.19422214494390344</v>
      </c>
    </row>
    <row r="7" spans="1:28" ht="14" x14ac:dyDescent="0.3">
      <c r="A7" s="376" t="s">
        <v>42</v>
      </c>
      <c r="B7" s="377">
        <f t="shared" ref="B7:J7" si="12">B5-B6</f>
        <v>317333</v>
      </c>
      <c r="C7" s="377">
        <f t="shared" si="12"/>
        <v>578666</v>
      </c>
      <c r="D7" s="377">
        <f t="shared" si="12"/>
        <v>803745</v>
      </c>
      <c r="E7" s="377">
        <f t="shared" si="12"/>
        <v>668240</v>
      </c>
      <c r="F7" s="377">
        <f t="shared" si="12"/>
        <v>756733</v>
      </c>
      <c r="G7" s="377">
        <f t="shared" si="12"/>
        <v>599636</v>
      </c>
      <c r="H7" s="377">
        <f t="shared" si="12"/>
        <v>764245</v>
      </c>
      <c r="I7" s="377">
        <f t="shared" si="12"/>
        <v>911936</v>
      </c>
      <c r="J7" s="377">
        <f t="shared" si="12"/>
        <v>894526.27289354801</v>
      </c>
      <c r="M7" s="425">
        <f t="shared" ref="M7:M22" si="13">+IFERROR(B7/$B$5,0)</f>
        <v>0.18411923512302447</v>
      </c>
      <c r="N7" s="425">
        <f t="shared" si="0"/>
        <v>0.15936725252559747</v>
      </c>
      <c r="O7" s="425">
        <f t="shared" si="1"/>
        <v>0.21222984919506627</v>
      </c>
      <c r="P7" s="425">
        <f t="shared" si="2"/>
        <v>0.17562122750365505</v>
      </c>
      <c r="Q7" s="425">
        <f t="shared" si="3"/>
        <v>0.21935764955788331</v>
      </c>
      <c r="R7" s="425">
        <f t="shared" si="4"/>
        <v>0.19835339517556497</v>
      </c>
      <c r="S7" s="425">
        <f t="shared" si="5"/>
        <v>0.20832004492164607</v>
      </c>
      <c r="T7" s="425">
        <f t="shared" si="6"/>
        <v>0.20818588651748826</v>
      </c>
      <c r="V7" s="426">
        <f t="shared" si="9"/>
        <v>0.82352922639624615</v>
      </c>
      <c r="W7" s="426">
        <f t="shared" si="10"/>
        <v>0.38896185364268843</v>
      </c>
      <c r="X7" s="426">
        <f t="shared" si="11"/>
        <v>-0.16859202856627409</v>
      </c>
      <c r="Y7" s="426">
        <f t="shared" si="11"/>
        <v>0.13242697234526513</v>
      </c>
      <c r="Z7" s="426">
        <f t="shared" si="11"/>
        <v>-0.20759898141088073</v>
      </c>
      <c r="AA7" s="426">
        <f t="shared" si="8"/>
        <v>0.27451487235589589</v>
      </c>
      <c r="AB7" s="426">
        <f>+IFERROR((I7/H7)-1,"")</f>
        <v>0.19325085541940079</v>
      </c>
    </row>
    <row r="8" spans="1:28" ht="14" x14ac:dyDescent="0.3">
      <c r="A8" s="364" t="s">
        <v>44</v>
      </c>
      <c r="B8" s="388">
        <v>168494</v>
      </c>
      <c r="C8" s="388">
        <v>234925</v>
      </c>
      <c r="D8" s="388">
        <v>305288</v>
      </c>
      <c r="E8" s="388">
        <v>288963</v>
      </c>
      <c r="F8" s="388">
        <v>322030</v>
      </c>
      <c r="G8" s="388">
        <v>253709</v>
      </c>
      <c r="H8" s="388">
        <v>282230</v>
      </c>
      <c r="I8" s="403">
        <v>327095</v>
      </c>
      <c r="J8" s="373">
        <f>+VLOOKUP(A8,'TNA2. Formulado '!$A$6:$D$23,4,FALSE)</f>
        <v>289761.84952493239</v>
      </c>
      <c r="M8" s="424">
        <f t="shared" ref="M8:M10" si="14">(IFERROR(B8/$B$5,0))</f>
        <v>9.7761614464360422E-2</v>
      </c>
      <c r="N8" s="424">
        <f t="shared" ref="N8:N10" si="15">(IFERROR(C8/$C$5,0))</f>
        <v>6.4699415205966809E-2</v>
      </c>
      <c r="O8" s="424">
        <f t="shared" ref="O8:O10" si="16">(IFERROR(D8/$D$5,0))</f>
        <v>8.0611669374071854E-2</v>
      </c>
      <c r="P8" s="424">
        <f t="shared" ref="P8:P10" si="17">(IFERROR(E8/$E$5,0))</f>
        <v>7.5942830065752837E-2</v>
      </c>
      <c r="Q8" s="424">
        <f t="shared" ref="Q8:Q10" si="18">(IFERROR(F8/$F$5,0))</f>
        <v>9.3348306320888821E-2</v>
      </c>
      <c r="R8" s="424">
        <f t="shared" ref="R8:R10" si="19">(IFERROR(G8/$G$5,0))</f>
        <v>8.3924316646427854E-2</v>
      </c>
      <c r="S8" s="424">
        <f t="shared" ref="S8:S10" si="20">(IFERROR(H8/$H$5,0))</f>
        <v>7.6931044728112283E-2</v>
      </c>
      <c r="T8" s="424">
        <f t="shared" ref="T8:T10" si="21">(IFERROR(I8/$I$5,0))</f>
        <v>7.4672523675387112E-2</v>
      </c>
      <c r="U8" s="379"/>
      <c r="V8" s="423">
        <f t="shared" si="9"/>
        <v>0.39426329720939624</v>
      </c>
      <c r="W8" s="423">
        <f>+IFERROR((D8/C8)-1,"")</f>
        <v>0.29951261040757693</v>
      </c>
      <c r="X8" s="423">
        <f t="shared" si="11"/>
        <v>-5.347409659076019E-2</v>
      </c>
      <c r="Y8" s="423">
        <f t="shared" si="11"/>
        <v>0.11443333575578873</v>
      </c>
      <c r="Z8" s="423">
        <f t="shared" si="11"/>
        <v>-0.2121572524298978</v>
      </c>
      <c r="AA8" s="423">
        <f t="shared" si="8"/>
        <v>0.11241619335537956</v>
      </c>
      <c r="AB8" s="423">
        <f t="shared" si="8"/>
        <v>0.15896609148566765</v>
      </c>
    </row>
    <row r="9" spans="1:28" ht="14" x14ac:dyDescent="0.3">
      <c r="A9" s="369" t="s">
        <v>45</v>
      </c>
      <c r="B9" s="373">
        <v>106416</v>
      </c>
      <c r="C9" s="373">
        <v>65266</v>
      </c>
      <c r="D9" s="373">
        <v>169873</v>
      </c>
      <c r="E9" s="373">
        <v>125120</v>
      </c>
      <c r="F9" s="373">
        <v>133896</v>
      </c>
      <c r="G9" s="373">
        <v>127327</v>
      </c>
      <c r="H9" s="373">
        <v>134722</v>
      </c>
      <c r="I9" s="402">
        <v>170274</v>
      </c>
      <c r="J9" s="373">
        <f>+VLOOKUP(A9,'TNA2. Formulado '!$A$6:$D$23,4,FALSE)</f>
        <v>138317.31528079204</v>
      </c>
      <c r="M9" s="424">
        <f t="shared" si="14"/>
        <v>6.1743444661764679E-2</v>
      </c>
      <c r="N9" s="424">
        <f t="shared" si="15"/>
        <v>1.7974553720688003E-2</v>
      </c>
      <c r="O9" s="424">
        <f t="shared" si="16"/>
        <v>4.4855173185915295E-2</v>
      </c>
      <c r="P9" s="424">
        <f t="shared" si="17"/>
        <v>3.2882988125908834E-2</v>
      </c>
      <c r="Q9" s="424">
        <f t="shared" si="18"/>
        <v>3.8813044819245815E-2</v>
      </c>
      <c r="R9" s="424">
        <f t="shared" si="19"/>
        <v>4.2118456442773886E-2</v>
      </c>
      <c r="S9" s="424">
        <f t="shared" si="20"/>
        <v>3.6722900499099112E-2</v>
      </c>
      <c r="T9" s="424">
        <f t="shared" si="21"/>
        <v>3.8871854648658236E-2</v>
      </c>
      <c r="V9" s="423">
        <f t="shared" si="9"/>
        <v>-0.38668997143286721</v>
      </c>
      <c r="W9" s="423">
        <f t="shared" si="10"/>
        <v>1.6027793950908591</v>
      </c>
      <c r="X9" s="423">
        <f t="shared" si="11"/>
        <v>-0.26344975363948364</v>
      </c>
      <c r="Y9" s="423">
        <f t="shared" si="11"/>
        <v>7.0140664961636734E-2</v>
      </c>
      <c r="Z9" s="423">
        <f t="shared" si="11"/>
        <v>-4.9060464838382001E-2</v>
      </c>
      <c r="AA9" s="423">
        <f t="shared" si="8"/>
        <v>5.8078804966739117E-2</v>
      </c>
      <c r="AB9" s="423">
        <f t="shared" si="8"/>
        <v>0.26389156930568136</v>
      </c>
    </row>
    <row r="10" spans="1:28" ht="14" x14ac:dyDescent="0.3">
      <c r="A10" s="364" t="s">
        <v>46</v>
      </c>
      <c r="B10" s="388">
        <v>0</v>
      </c>
      <c r="C10" s="388">
        <v>0</v>
      </c>
      <c r="D10" s="388">
        <v>0</v>
      </c>
      <c r="E10" s="388">
        <v>74786</v>
      </c>
      <c r="F10" s="388">
        <v>81691</v>
      </c>
      <c r="G10" s="388">
        <v>88343</v>
      </c>
      <c r="H10" s="388">
        <v>74460</v>
      </c>
      <c r="I10" s="403">
        <v>0</v>
      </c>
      <c r="J10" s="373">
        <f>+VLOOKUP(A10,'TNA2. Formulado '!$A$6:$D$23,4,FALSE)</f>
        <v>76447.108087823639</v>
      </c>
      <c r="M10" s="424">
        <f t="shared" si="14"/>
        <v>0</v>
      </c>
      <c r="N10" s="424">
        <f t="shared" si="15"/>
        <v>0</v>
      </c>
      <c r="O10" s="424">
        <f t="shared" si="16"/>
        <v>0</v>
      </c>
      <c r="P10" s="424">
        <f t="shared" si="17"/>
        <v>1.9654628756267729E-2</v>
      </c>
      <c r="Q10" s="424">
        <f t="shared" si="18"/>
        <v>2.3680143128465451E-2</v>
      </c>
      <c r="R10" s="424">
        <f t="shared" si="19"/>
        <v>2.9222951907482097E-2</v>
      </c>
      <c r="S10" s="424">
        <f t="shared" si="20"/>
        <v>2.0296515574018497E-2</v>
      </c>
      <c r="T10" s="424">
        <f t="shared" si="21"/>
        <v>0</v>
      </c>
      <c r="V10" s="423" t="str">
        <f t="shared" si="9"/>
        <v/>
      </c>
      <c r="W10" s="423" t="str">
        <f t="shared" si="10"/>
        <v/>
      </c>
      <c r="X10" s="423" t="str">
        <f t="shared" si="11"/>
        <v/>
      </c>
      <c r="Y10" s="423">
        <f t="shared" si="11"/>
        <v>9.2330115262214907E-2</v>
      </c>
      <c r="Z10" s="423">
        <f t="shared" si="11"/>
        <v>8.1428798766082E-2</v>
      </c>
      <c r="AA10" s="423">
        <f t="shared" si="8"/>
        <v>-0.15714884031558807</v>
      </c>
      <c r="AB10" s="423">
        <f t="shared" si="8"/>
        <v>-1</v>
      </c>
    </row>
    <row r="11" spans="1:28" ht="14" x14ac:dyDescent="0.3">
      <c r="A11" s="376" t="s">
        <v>47</v>
      </c>
      <c r="B11" s="377">
        <f t="shared" ref="B11:J11" si="22">B7-B8-B9-B10</f>
        <v>42423</v>
      </c>
      <c r="C11" s="377">
        <f t="shared" si="22"/>
        <v>278475</v>
      </c>
      <c r="D11" s="377">
        <f t="shared" si="22"/>
        <v>328584</v>
      </c>
      <c r="E11" s="377">
        <f t="shared" si="22"/>
        <v>179371</v>
      </c>
      <c r="F11" s="377">
        <f t="shared" si="22"/>
        <v>219116</v>
      </c>
      <c r="G11" s="377">
        <f t="shared" si="22"/>
        <v>130257</v>
      </c>
      <c r="H11" s="377">
        <f t="shared" si="22"/>
        <v>272833</v>
      </c>
      <c r="I11" s="377">
        <f t="shared" si="22"/>
        <v>414567</v>
      </c>
      <c r="J11" s="377">
        <f t="shared" si="22"/>
        <v>389999.99999999988</v>
      </c>
      <c r="M11" s="425">
        <f t="shared" si="13"/>
        <v>2.4614175996899367E-2</v>
      </c>
      <c r="N11" s="425">
        <f t="shared" si="0"/>
        <v>7.669328359894266E-2</v>
      </c>
      <c r="O11" s="425">
        <f t="shared" si="1"/>
        <v>8.6763006635079104E-2</v>
      </c>
      <c r="P11" s="425">
        <f t="shared" si="2"/>
        <v>4.7140780555725653E-2</v>
      </c>
      <c r="Q11" s="425">
        <f t="shared" si="3"/>
        <v>6.3516155289283227E-2</v>
      </c>
      <c r="R11" s="425">
        <f t="shared" si="4"/>
        <v>4.3087670178881134E-2</v>
      </c>
      <c r="S11" s="425">
        <f t="shared" si="5"/>
        <v>7.4369584120416179E-2</v>
      </c>
      <c r="T11" s="425">
        <f t="shared" si="6"/>
        <v>9.4641508193442914E-2</v>
      </c>
      <c r="V11" s="426">
        <f t="shared" si="9"/>
        <v>5.5642458100558656</v>
      </c>
      <c r="W11" s="426">
        <f t="shared" si="10"/>
        <v>0.17994074872071097</v>
      </c>
      <c r="X11" s="426">
        <f t="shared" si="11"/>
        <v>-0.45410914712828376</v>
      </c>
      <c r="Y11" s="426">
        <f t="shared" si="11"/>
        <v>0.22157985404552583</v>
      </c>
      <c r="Z11" s="425">
        <f t="shared" si="11"/>
        <v>-0.40553405502108475</v>
      </c>
      <c r="AA11" s="425">
        <f t="shared" si="8"/>
        <v>1.0945745718080411</v>
      </c>
      <c r="AB11" s="425">
        <f t="shared" si="8"/>
        <v>0.51948994439822171</v>
      </c>
    </row>
    <row r="12" spans="1:28" ht="14" x14ac:dyDescent="0.3">
      <c r="A12" s="369" t="s">
        <v>49</v>
      </c>
      <c r="B12" s="402">
        <v>44095</v>
      </c>
      <c r="C12" s="402">
        <v>25055</v>
      </c>
      <c r="D12" s="402">
        <v>51978</v>
      </c>
      <c r="E12" s="402">
        <v>59528</v>
      </c>
      <c r="F12" s="402">
        <v>38773</v>
      </c>
      <c r="G12" s="402">
        <v>12981</v>
      </c>
      <c r="H12" s="402">
        <v>18785</v>
      </c>
      <c r="I12" s="402">
        <f>12498</f>
        <v>12498</v>
      </c>
      <c r="J12" s="373">
        <f>+VLOOKUP(A12,'TNA2. Formulado '!$A$6:$D$23,4,FALSE)</f>
        <v>13464.485939999355</v>
      </c>
      <c r="M12" s="424">
        <f t="shared" ref="M12:M17" si="23">(IFERROR(B12/$B$5,0))</f>
        <v>2.5584284246358759E-2</v>
      </c>
      <c r="N12" s="424">
        <f t="shared" ref="N12:N17" si="24">(IFERROR(C12/$C$5,0))</f>
        <v>6.9002611385995455E-3</v>
      </c>
      <c r="O12" s="424">
        <f t="shared" ref="O12:O17" si="25">(IFERROR(D12/$D$5,0))</f>
        <v>1.3724854402156348E-2</v>
      </c>
      <c r="P12" s="424">
        <f t="shared" ref="P12:P17" si="26">(IFERROR(E12/$E$5,0))</f>
        <v>1.5644649273969798E-2</v>
      </c>
      <c r="Q12" s="424">
        <f t="shared" ref="Q12:Q17" si="27">(IFERROR(F12/$F$5,0))</f>
        <v>1.1239306527279516E-2</v>
      </c>
      <c r="R12" s="424">
        <f t="shared" ref="R12:R17" si="28">(IFERROR(G12/$G$5,0))</f>
        <v>4.2939807195932342E-3</v>
      </c>
      <c r="S12" s="424">
        <f t="shared" ref="S12:S17" si="29">(IFERROR(H12/$H$5,0))</f>
        <v>5.1204679701576349E-3</v>
      </c>
      <c r="T12" s="424">
        <f t="shared" ref="T12:T16" si="30">(IFERROR(I12/$I$5,0))</f>
        <v>2.8531686540454247E-3</v>
      </c>
      <c r="V12" s="423">
        <f t="shared" si="9"/>
        <v>-0.43179498809388817</v>
      </c>
      <c r="W12" s="423">
        <f t="shared" si="10"/>
        <v>1.0745559768509279</v>
      </c>
      <c r="X12" s="423">
        <f t="shared" si="11"/>
        <v>0.14525376120666444</v>
      </c>
      <c r="Y12" s="423">
        <f t="shared" si="11"/>
        <v>-0.34865945437441204</v>
      </c>
      <c r="Z12" s="423">
        <f t="shared" si="11"/>
        <v>-0.66520516854512168</v>
      </c>
      <c r="AA12" s="423">
        <f t="shared" si="8"/>
        <v>0.4471150142515985</v>
      </c>
      <c r="AB12" s="423">
        <f t="shared" si="8"/>
        <v>-0.33468192706947031</v>
      </c>
    </row>
    <row r="13" spans="1:28" ht="14" x14ac:dyDescent="0.3">
      <c r="A13" s="364" t="s">
        <v>50</v>
      </c>
      <c r="B13" s="403">
        <v>79360</v>
      </c>
      <c r="C13" s="403">
        <v>64006</v>
      </c>
      <c r="D13" s="403">
        <v>61229</v>
      </c>
      <c r="E13" s="403">
        <v>83363</v>
      </c>
      <c r="F13" s="403">
        <v>69957</v>
      </c>
      <c r="G13" s="403">
        <v>81374</v>
      </c>
      <c r="H13" s="403">
        <v>72283</v>
      </c>
      <c r="I13" s="402">
        <v>35512</v>
      </c>
      <c r="J13" s="373">
        <f>+VLOOKUP(A13,'TNA2. Formulado '!$A$6:$D$23,4,FALSE)</f>
        <v>38857.60329522119</v>
      </c>
      <c r="M13" s="424">
        <f t="shared" si="23"/>
        <v>4.6045329352330897E-2</v>
      </c>
      <c r="N13" s="424">
        <f t="shared" si="24"/>
        <v>1.7627543980730492E-2</v>
      </c>
      <c r="O13" s="424">
        <f t="shared" si="25"/>
        <v>1.6167592254215841E-2</v>
      </c>
      <c r="P13" s="424">
        <f t="shared" si="26"/>
        <v>2.190876389977732E-2</v>
      </c>
      <c r="Q13" s="424">
        <f t="shared" si="27"/>
        <v>2.027875497714629E-2</v>
      </c>
      <c r="R13" s="424">
        <f t="shared" si="28"/>
        <v>2.6917678690099367E-2</v>
      </c>
      <c r="S13" s="424">
        <f t="shared" si="29"/>
        <v>1.9703102810056126E-2</v>
      </c>
      <c r="T13" s="424">
        <f t="shared" si="30"/>
        <v>8.1070351450200934E-3</v>
      </c>
      <c r="V13" s="423">
        <f t="shared" si="9"/>
        <v>-0.19347278225806452</v>
      </c>
      <c r="W13" s="423">
        <f t="shared" si="10"/>
        <v>-4.3386557510233459E-2</v>
      </c>
      <c r="X13" s="423">
        <f t="shared" si="11"/>
        <v>0.36149536984108832</v>
      </c>
      <c r="Y13" s="423">
        <f t="shared" si="11"/>
        <v>-0.16081474994901812</v>
      </c>
      <c r="Z13" s="423">
        <f t="shared" si="11"/>
        <v>0.16320025158311524</v>
      </c>
      <c r="AA13" s="423">
        <f t="shared" si="8"/>
        <v>-0.11171873079853512</v>
      </c>
      <c r="AB13" s="423">
        <f t="shared" si="8"/>
        <v>-0.50870882503493209</v>
      </c>
    </row>
    <row r="14" spans="1:28" ht="14" x14ac:dyDescent="0.3">
      <c r="A14" s="364" t="s">
        <v>51</v>
      </c>
      <c r="B14" s="403">
        <f>-73833</f>
        <v>-73833</v>
      </c>
      <c r="C14" s="403">
        <f>-229691</f>
        <v>-229691</v>
      </c>
      <c r="D14" s="403">
        <f>-203490</f>
        <v>-203490</v>
      </c>
      <c r="E14" s="403">
        <f>-256859</f>
        <v>-256859</v>
      </c>
      <c r="F14" s="403">
        <f>-279662</f>
        <v>-279662</v>
      </c>
      <c r="G14" s="403">
        <f>-192208</f>
        <v>-192208</v>
      </c>
      <c r="H14" s="403">
        <f>-195963</f>
        <v>-195963</v>
      </c>
      <c r="I14" s="403">
        <f>-223942</f>
        <v>-223942</v>
      </c>
      <c r="J14" s="373">
        <f>+VLOOKUP(A14,'TNA2. Formulado '!$A$6:$D$23,4,FALSE)</f>
        <v>-200808.09767687827</v>
      </c>
      <c r="M14" s="424">
        <f t="shared" si="23"/>
        <v>-4.2838518171253115E-2</v>
      </c>
      <c r="N14" s="424">
        <f t="shared" si="24"/>
        <v>-6.3257947762365527E-2</v>
      </c>
      <c r="O14" s="424">
        <f t="shared" si="25"/>
        <v>-5.3731783106214077E-2</v>
      </c>
      <c r="P14" s="424">
        <f t="shared" si="26"/>
        <v>-6.7505526271042338E-2</v>
      </c>
      <c r="Q14" s="424">
        <f t="shared" si="27"/>
        <v>-8.1066900730715805E-2</v>
      </c>
      <c r="R14" s="424">
        <f t="shared" si="28"/>
        <v>-6.3580421088635417E-2</v>
      </c>
      <c r="S14" s="424">
        <f t="shared" si="29"/>
        <v>-5.3416143989140304E-2</v>
      </c>
      <c r="T14" s="424">
        <f t="shared" si="30"/>
        <v>-5.1123723373679028E-2</v>
      </c>
      <c r="V14" s="423">
        <f t="shared" si="9"/>
        <v>2.1109530968537102</v>
      </c>
      <c r="W14" s="423">
        <f t="shared" si="10"/>
        <v>-0.11407064273306311</v>
      </c>
      <c r="X14" s="423">
        <f t="shared" si="11"/>
        <v>0.26226841613838525</v>
      </c>
      <c r="Y14" s="423">
        <f t="shared" si="11"/>
        <v>8.8776332540420944E-2</v>
      </c>
      <c r="Z14" s="423">
        <f t="shared" si="11"/>
        <v>-0.31271320379601086</v>
      </c>
      <c r="AA14" s="423">
        <f t="shared" si="8"/>
        <v>1.953612752851086E-2</v>
      </c>
      <c r="AB14" s="423">
        <f t="shared" si="8"/>
        <v>0.14277695279210878</v>
      </c>
    </row>
    <row r="15" spans="1:28" ht="14" x14ac:dyDescent="0.3">
      <c r="A15" s="369" t="s">
        <v>52</v>
      </c>
      <c r="B15" s="402">
        <v>-19199</v>
      </c>
      <c r="C15" s="402">
        <v>11511</v>
      </c>
      <c r="D15" s="402">
        <v>78040</v>
      </c>
      <c r="E15" s="402">
        <v>-206520</v>
      </c>
      <c r="F15" s="402">
        <v>-51360</v>
      </c>
      <c r="G15" s="402">
        <v>758</v>
      </c>
      <c r="H15" s="402">
        <v>-15848</v>
      </c>
      <c r="I15" s="402">
        <v>-1160</v>
      </c>
      <c r="J15" s="373">
        <f>+VLOOKUP(A15,'TNA2. Formulado '!$A$6:$D$23,4,FALSE)</f>
        <v>-5413.2782412720208</v>
      </c>
      <c r="M15" s="424">
        <f t="shared" si="23"/>
        <v>-1.113941882857108E-2</v>
      </c>
      <c r="N15" s="424">
        <f t="shared" si="24"/>
        <v>3.1701818386118286E-3</v>
      </c>
      <c r="O15" s="424">
        <f t="shared" si="25"/>
        <v>2.060655734241951E-2</v>
      </c>
      <c r="P15" s="424">
        <f t="shared" si="26"/>
        <v>-5.4275852843371906E-2</v>
      </c>
      <c r="Q15" s="424">
        <f t="shared" si="27"/>
        <v>-1.4887957682951434E-2</v>
      </c>
      <c r="R15" s="424">
        <f t="shared" si="28"/>
        <v>2.507385706379841E-4</v>
      </c>
      <c r="S15" s="424">
        <f t="shared" si="29"/>
        <v>-4.3198922752759224E-3</v>
      </c>
      <c r="T15" s="424">
        <f t="shared" si="30"/>
        <v>-2.6481642172289106E-4</v>
      </c>
      <c r="V15" s="423">
        <f>+IFERROR((C15/B15)-1,"")</f>
        <v>-1.5995624772123547</v>
      </c>
      <c r="W15" s="423">
        <f t="shared" si="10"/>
        <v>5.7796021197115799</v>
      </c>
      <c r="X15" s="423">
        <f t="shared" si="11"/>
        <v>-3.6463352127114299</v>
      </c>
      <c r="Y15" s="423">
        <f t="shared" si="11"/>
        <v>-0.75130737943056358</v>
      </c>
      <c r="Z15" s="423">
        <f t="shared" si="11"/>
        <v>-1.0147585669781931</v>
      </c>
      <c r="AA15" s="423">
        <f t="shared" si="8"/>
        <v>-21.907651715039577</v>
      </c>
      <c r="AB15" s="423">
        <f t="shared" si="8"/>
        <v>-0.92680464411913177</v>
      </c>
    </row>
    <row r="16" spans="1:28" ht="14" x14ac:dyDescent="0.3">
      <c r="A16" s="369" t="s">
        <v>53</v>
      </c>
      <c r="B16" s="402">
        <f>530911</f>
        <v>530911</v>
      </c>
      <c r="C16" s="402">
        <f>289258+4957</f>
        <v>294215</v>
      </c>
      <c r="D16" s="402">
        <v>223700</v>
      </c>
      <c r="E16" s="402">
        <f>491875</f>
        <v>491875</v>
      </c>
      <c r="F16" s="402">
        <f>697010</f>
        <v>697010</v>
      </c>
      <c r="G16" s="402">
        <v>592268</v>
      </c>
      <c r="H16" s="402">
        <v>746023</v>
      </c>
      <c r="I16" s="402">
        <f>362262</f>
        <v>362262</v>
      </c>
      <c r="J16" s="373">
        <f>+VLOOKUP(A16,'TNA2. Formulado '!$A$6:$D$23,4,FALSE)</f>
        <v>401044.03224977927</v>
      </c>
      <c r="M16" s="424">
        <f t="shared" si="23"/>
        <v>0.30803895982579826</v>
      </c>
      <c r="N16" s="424">
        <f t="shared" si="24"/>
        <v>8.102815130285633E-2</v>
      </c>
      <c r="O16" s="424">
        <f t="shared" si="25"/>
        <v>5.9068258297017485E-2</v>
      </c>
      <c r="P16" s="424">
        <f t="shared" si="26"/>
        <v>0.12927045863516151</v>
      </c>
      <c r="Q16" s="424">
        <f t="shared" si="27"/>
        <v>0.20204547088383915</v>
      </c>
      <c r="R16" s="424">
        <f t="shared" si="28"/>
        <v>0.1959161368794427</v>
      </c>
      <c r="S16" s="424">
        <f t="shared" si="29"/>
        <v>0.20335304107005106</v>
      </c>
      <c r="T16" s="424">
        <f t="shared" si="30"/>
        <v>8.2700798763946523E-2</v>
      </c>
      <c r="V16" s="423">
        <f t="shared" ref="V16:V17" si="31">+IFERROR((C16/B16)-1,"")</f>
        <v>-0.44582990369383946</v>
      </c>
      <c r="W16" s="423">
        <f t="shared" si="10"/>
        <v>-0.23967166867766765</v>
      </c>
      <c r="X16" s="423">
        <f t="shared" si="11"/>
        <v>1.1988153777380419</v>
      </c>
      <c r="Y16" s="423">
        <f t="shared" si="11"/>
        <v>0.41704701397712829</v>
      </c>
      <c r="Z16" s="423">
        <f t="shared" si="11"/>
        <v>-0.15027331028249236</v>
      </c>
      <c r="AA16" s="423">
        <f t="shared" si="8"/>
        <v>0.25960376045979183</v>
      </c>
      <c r="AB16" s="423">
        <f t="shared" si="8"/>
        <v>-0.51440907317870899</v>
      </c>
    </row>
    <row r="17" spans="1:28" ht="14" x14ac:dyDescent="0.3">
      <c r="A17" s="369" t="s">
        <v>54</v>
      </c>
      <c r="B17" s="402">
        <f>-285950-19334</f>
        <v>-305284</v>
      </c>
      <c r="C17" s="402">
        <f>-183418</f>
        <v>-183418</v>
      </c>
      <c r="D17" s="402">
        <v>-238106</v>
      </c>
      <c r="E17" s="402">
        <v>-236730</v>
      </c>
      <c r="F17" s="402">
        <v>-389284</v>
      </c>
      <c r="G17" s="402">
        <v>-295491</v>
      </c>
      <c r="H17" s="402">
        <v>-493335</v>
      </c>
      <c r="I17" s="402">
        <f>-182947</f>
        <v>-182947</v>
      </c>
      <c r="J17" s="373">
        <f>+VLOOKUP(A17,'TNA2. Formulado '!$A$6:$D$23,4,FALSE)</f>
        <v>-168510.82919976854</v>
      </c>
      <c r="M17" s="424">
        <f t="shared" si="23"/>
        <v>-0.17712830551911526</v>
      </c>
      <c r="N17" s="424">
        <f t="shared" si="24"/>
        <v>-5.051415276470371E-2</v>
      </c>
      <c r="O17" s="424">
        <f t="shared" si="25"/>
        <v>-6.287218019700333E-2</v>
      </c>
      <c r="P17" s="424">
        <f t="shared" si="26"/>
        <v>-6.2215391456572879E-2</v>
      </c>
      <c r="Q17" s="424">
        <f t="shared" si="27"/>
        <v>-0.11284353034754802</v>
      </c>
      <c r="R17" s="424">
        <f t="shared" si="28"/>
        <v>-9.7745370681251401E-2</v>
      </c>
      <c r="S17" s="424">
        <f t="shared" si="29"/>
        <v>-0.13447463753301658</v>
      </c>
      <c r="T17" s="424">
        <f>(IFERROR(I17/$I$5,0))</f>
        <v>-4.1764974055980821E-2</v>
      </c>
      <c r="V17" s="423">
        <f t="shared" si="31"/>
        <v>-0.39918895192673054</v>
      </c>
      <c r="W17" s="423">
        <f t="shared" si="10"/>
        <v>0.29816048588470045</v>
      </c>
      <c r="X17" s="423">
        <f t="shared" si="11"/>
        <v>-5.7789387919665591E-3</v>
      </c>
      <c r="Y17" s="423">
        <f t="shared" si="11"/>
        <v>0.6444219152621129</v>
      </c>
      <c r="Z17" s="423">
        <f t="shared" si="11"/>
        <v>-0.24093720779687833</v>
      </c>
      <c r="AA17" s="423">
        <f t="shared" si="8"/>
        <v>0.66954323481933464</v>
      </c>
      <c r="AB17" s="423">
        <f t="shared" si="8"/>
        <v>-0.62916273931506983</v>
      </c>
    </row>
    <row r="18" spans="1:28" ht="14" x14ac:dyDescent="0.3">
      <c r="A18" s="376" t="s">
        <v>55</v>
      </c>
      <c r="B18" s="377">
        <f t="shared" ref="B18:I18" si="32">B11+B14+B12+B16+B17+B15+B13</f>
        <v>298473</v>
      </c>
      <c r="C18" s="377">
        <f t="shared" si="32"/>
        <v>260153</v>
      </c>
      <c r="D18" s="377">
        <f t="shared" si="32"/>
        <v>301935</v>
      </c>
      <c r="E18" s="377">
        <f t="shared" si="32"/>
        <v>114028</v>
      </c>
      <c r="F18" s="377">
        <f t="shared" si="32"/>
        <v>304550</v>
      </c>
      <c r="G18" s="377">
        <f t="shared" si="32"/>
        <v>329939</v>
      </c>
      <c r="H18" s="377">
        <f t="shared" si="32"/>
        <v>404778</v>
      </c>
      <c r="I18" s="377">
        <f t="shared" si="32"/>
        <v>416790</v>
      </c>
      <c r="J18" s="377">
        <f>J11+J14+J12+J16+J17+J15+J13</f>
        <v>468633.91636708082</v>
      </c>
      <c r="M18" s="425">
        <f t="shared" si="13"/>
        <v>0.17317650690244785</v>
      </c>
      <c r="N18" s="425">
        <f t="shared" si="0"/>
        <v>7.1647321332671626E-2</v>
      </c>
      <c r="O18" s="425">
        <f t="shared" si="1"/>
        <v>7.9726305627670885E-2</v>
      </c>
      <c r="P18" s="425">
        <f t="shared" si="2"/>
        <v>2.996788179364716E-2</v>
      </c>
      <c r="Q18" s="425">
        <f t="shared" si="3"/>
        <v>8.828129891633292E-2</v>
      </c>
      <c r="R18" s="425">
        <f t="shared" si="4"/>
        <v>0.1091404132687676</v>
      </c>
      <c r="S18" s="425">
        <f>+IFERROR(H18/$H$5,0)</f>
        <v>0.11033552217324819</v>
      </c>
      <c r="T18" s="425">
        <f t="shared" si="6"/>
        <v>9.5148996905072211E-2</v>
      </c>
      <c r="V18" s="426">
        <f t="shared" si="9"/>
        <v>-0.12838682225862974</v>
      </c>
      <c r="W18" s="426">
        <f>+IFERROR((D18/C18)-1,"")</f>
        <v>0.16060548984635958</v>
      </c>
      <c r="X18" s="426">
        <f t="shared" si="11"/>
        <v>-0.62234255717290143</v>
      </c>
      <c r="Y18" s="426">
        <f t="shared" si="11"/>
        <v>1.6708352334514331</v>
      </c>
      <c r="Z18" s="425">
        <f t="shared" si="11"/>
        <v>8.3365621408635793E-2</v>
      </c>
      <c r="AA18" s="425">
        <f t="shared" si="8"/>
        <v>0.22682677707091314</v>
      </c>
      <c r="AB18" s="425">
        <f t="shared" si="8"/>
        <v>2.9675525843795958E-2</v>
      </c>
    </row>
    <row r="19" spans="1:28" ht="14" x14ac:dyDescent="0.3">
      <c r="A19" s="364" t="s">
        <v>56</v>
      </c>
      <c r="B19" s="403">
        <v>27894</v>
      </c>
      <c r="C19" s="403">
        <v>68771</v>
      </c>
      <c r="D19" s="403">
        <v>68072</v>
      </c>
      <c r="E19" s="403">
        <v>14018</v>
      </c>
      <c r="F19" s="403">
        <v>61738</v>
      </c>
      <c r="G19" s="403">
        <v>31947</v>
      </c>
      <c r="H19" s="403">
        <v>25024</v>
      </c>
      <c r="I19" s="403">
        <v>17083</v>
      </c>
      <c r="J19" s="373">
        <f>+VLOOKUP(A19,'TNA2. Formulado '!$A$6:$D$23,4,FALSE)</f>
        <v>29289.855285789439</v>
      </c>
      <c r="L19" s="368"/>
      <c r="M19" s="424">
        <f>(IFERROR(B19/$B$5,0))</f>
        <v>1.6184329850729814E-2</v>
      </c>
      <c r="N19" s="424">
        <f>(IFERROR(C19/$C$5,0))</f>
        <v>1.8939846687792031E-2</v>
      </c>
      <c r="O19" s="424">
        <f>(IFERROR(D19/$D$5,0))</f>
        <v>1.7974494764392376E-2</v>
      </c>
      <c r="P19" s="424">
        <f>(IFERROR(E19/$E$5,0))</f>
        <v>3.6840930910245367E-3</v>
      </c>
      <c r="Q19" s="424">
        <f>(IFERROR(F19/$F$5,0))</f>
        <v>1.7896275923482391E-2</v>
      </c>
      <c r="R19" s="424">
        <f>(IFERROR(G19/$G$5,0))</f>
        <v>1.0567737620279259E-2</v>
      </c>
      <c r="S19" s="424">
        <f>(IFERROR(H19/$H$5,0))</f>
        <v>6.8211120833231113E-3</v>
      </c>
      <c r="T19" s="424">
        <f>(IFERROR(I19/$I$5,0))</f>
        <v>3.8998783899070245E-3</v>
      </c>
      <c r="V19" s="423">
        <f t="shared" si="9"/>
        <v>1.4654405965440596</v>
      </c>
      <c r="W19" s="423">
        <f t="shared" si="10"/>
        <v>-1.0164168035945331E-2</v>
      </c>
      <c r="X19" s="423">
        <f t="shared" si="11"/>
        <v>-0.79407098366435536</v>
      </c>
      <c r="Y19" s="423">
        <f t="shared" si="11"/>
        <v>3.4041946069339417</v>
      </c>
      <c r="Z19" s="423">
        <f t="shared" si="11"/>
        <v>-0.48253911691340823</v>
      </c>
      <c r="AA19" s="423">
        <f t="shared" si="8"/>
        <v>-0.21670266378689707</v>
      </c>
      <c r="AB19" s="423">
        <f t="shared" si="8"/>
        <v>-0.317335358056266</v>
      </c>
    </row>
    <row r="20" spans="1:28" ht="14" x14ac:dyDescent="0.3">
      <c r="A20" s="376" t="s">
        <v>57</v>
      </c>
      <c r="B20" s="377">
        <f t="shared" ref="B20:J20" si="33">B18-B19</f>
        <v>270579</v>
      </c>
      <c r="C20" s="377">
        <f t="shared" si="33"/>
        <v>191382</v>
      </c>
      <c r="D20" s="377">
        <f t="shared" si="33"/>
        <v>233863</v>
      </c>
      <c r="E20" s="377">
        <f t="shared" si="33"/>
        <v>100010</v>
      </c>
      <c r="F20" s="377">
        <f t="shared" si="33"/>
        <v>242812</v>
      </c>
      <c r="G20" s="377">
        <f t="shared" si="33"/>
        <v>297992</v>
      </c>
      <c r="H20" s="377">
        <f t="shared" si="33"/>
        <v>379754</v>
      </c>
      <c r="I20" s="377">
        <f t="shared" si="33"/>
        <v>399707</v>
      </c>
      <c r="J20" s="377">
        <f t="shared" si="33"/>
        <v>439344.06108129141</v>
      </c>
      <c r="M20" s="425">
        <f t="shared" si="13"/>
        <v>0.15699217705171803</v>
      </c>
      <c r="N20" s="425">
        <f t="shared" si="0"/>
        <v>5.2707474644879598E-2</v>
      </c>
      <c r="O20" s="425">
        <f t="shared" si="1"/>
        <v>6.1751810863278501E-2</v>
      </c>
      <c r="P20" s="425">
        <f t="shared" si="2"/>
        <v>2.6283788702622622E-2</v>
      </c>
      <c r="Q20" s="425">
        <f t="shared" si="3"/>
        <v>7.0385022992850529E-2</v>
      </c>
      <c r="R20" s="425">
        <f t="shared" si="4"/>
        <v>9.8572675648488345E-2</v>
      </c>
      <c r="S20" s="425">
        <f t="shared" si="5"/>
        <v>0.10351441008992507</v>
      </c>
      <c r="T20" s="425">
        <f t="shared" si="6"/>
        <v>9.1249118515165192E-2</v>
      </c>
      <c r="V20" s="426">
        <f t="shared" si="9"/>
        <v>-0.29269455500981234</v>
      </c>
      <c r="W20" s="426">
        <f t="shared" si="10"/>
        <v>0.22196967321900707</v>
      </c>
      <c r="X20" s="426">
        <f t="shared" si="11"/>
        <v>-0.57235646510991478</v>
      </c>
      <c r="Y20" s="426">
        <f t="shared" si="11"/>
        <v>1.427877212278772</v>
      </c>
      <c r="Z20" s="426">
        <f t="shared" si="11"/>
        <v>0.22725400721545896</v>
      </c>
      <c r="AA20" s="426">
        <f t="shared" si="8"/>
        <v>0.27437649332867986</v>
      </c>
      <c r="AB20" s="426">
        <f t="shared" si="8"/>
        <v>5.2541908709322405E-2</v>
      </c>
    </row>
    <row r="21" spans="1:28" ht="28" x14ac:dyDescent="0.3">
      <c r="A21" s="386" t="s">
        <v>58</v>
      </c>
      <c r="B21" s="403">
        <v>-31220</v>
      </c>
      <c r="C21" s="403">
        <v>-29468</v>
      </c>
      <c r="D21" s="403">
        <v>-21827</v>
      </c>
      <c r="E21" s="403">
        <v>-29373</v>
      </c>
      <c r="F21" s="403">
        <v>-32985</v>
      </c>
      <c r="G21" s="403">
        <v>-9114</v>
      </c>
      <c r="H21" s="403">
        <v>-9780</v>
      </c>
      <c r="I21" s="403">
        <v>-12088</v>
      </c>
      <c r="J21" s="373">
        <f>+VLOOKUP(A21,'TNA2. Formulado '!$A$6:$D$23,4,FALSE)</f>
        <v>-11850</v>
      </c>
      <c r="M21" s="424">
        <f>(IFERROR(B21/$B$5,0))</f>
        <v>-1.8114102600551546E-2</v>
      </c>
      <c r="N21" s="424">
        <f>(IFERROR(C21/$C$5,0))</f>
        <v>-8.1156214421173982E-3</v>
      </c>
      <c r="O21" s="424">
        <f>(IFERROR(D21/$D$5,0))</f>
        <v>-5.7634460163120283E-3</v>
      </c>
      <c r="P21" s="424">
        <f>(IFERROR(E21/$E$5,0))</f>
        <v>-7.7195652990914342E-3</v>
      </c>
      <c r="Q21" s="424">
        <f>(IFERROR(F21/$F$5,0))</f>
        <v>-9.5615125422926998E-3</v>
      </c>
      <c r="R21" s="424">
        <f>(IFERROR(G21/$G$5,0))</f>
        <v>-3.0148170617342838E-3</v>
      </c>
      <c r="S21" s="424">
        <f>(IFERROR(H21/$H$5,0))</f>
        <v>-2.6658598215672964E-3</v>
      </c>
      <c r="T21" s="424">
        <f>(IFERROR(I21/$I$5,0))</f>
        <v>-2.7595697463675063E-3</v>
      </c>
      <c r="V21" s="423">
        <f t="shared" si="9"/>
        <v>-5.6117873158231912E-2</v>
      </c>
      <c r="W21" s="423">
        <f t="shared" si="10"/>
        <v>-0.25929822179991857</v>
      </c>
      <c r="X21" s="423">
        <f t="shared" si="11"/>
        <v>0.3457186053969854</v>
      </c>
      <c r="Y21" s="423">
        <f t="shared" si="11"/>
        <v>0.12297007455826781</v>
      </c>
      <c r="Z21" s="423">
        <f t="shared" si="11"/>
        <v>-0.72369258753979082</v>
      </c>
      <c r="AA21" s="423">
        <f t="shared" si="8"/>
        <v>7.3074391046741294E-2</v>
      </c>
      <c r="AB21" s="423">
        <f t="shared" si="8"/>
        <v>0.23599182004089969</v>
      </c>
    </row>
    <row r="22" spans="1:28" ht="14" x14ac:dyDescent="0.3">
      <c r="A22" s="387" t="s">
        <v>59</v>
      </c>
      <c r="B22" s="404">
        <f t="shared" ref="B22:J22" si="34">B20+B21</f>
        <v>239359</v>
      </c>
      <c r="C22" s="404">
        <f t="shared" si="34"/>
        <v>161914</v>
      </c>
      <c r="D22" s="404">
        <f t="shared" si="34"/>
        <v>212036</v>
      </c>
      <c r="E22" s="404">
        <f t="shared" si="34"/>
        <v>70637</v>
      </c>
      <c r="F22" s="404">
        <f t="shared" si="34"/>
        <v>209827</v>
      </c>
      <c r="G22" s="404">
        <f t="shared" si="34"/>
        <v>288878</v>
      </c>
      <c r="H22" s="404">
        <f t="shared" si="34"/>
        <v>369974</v>
      </c>
      <c r="I22" s="404">
        <f t="shared" si="34"/>
        <v>387619</v>
      </c>
      <c r="J22" s="404">
        <f t="shared" si="34"/>
        <v>427494.06108129141</v>
      </c>
      <c r="M22" s="425">
        <f t="shared" si="13"/>
        <v>0.13887807445116648</v>
      </c>
      <c r="N22" s="425">
        <f t="shared" si="0"/>
        <v>4.4591853202762197E-2</v>
      </c>
      <c r="O22" s="425">
        <f t="shared" si="1"/>
        <v>5.5988364846966475E-2</v>
      </c>
      <c r="P22" s="425">
        <f t="shared" si="2"/>
        <v>1.8564223403531189E-2</v>
      </c>
      <c r="Q22" s="425">
        <f t="shared" si="3"/>
        <v>6.0823510450557831E-2</v>
      </c>
      <c r="R22" s="425">
        <f t="shared" si="4"/>
        <v>9.5557858586754058E-2</v>
      </c>
      <c r="S22" s="425">
        <f t="shared" si="5"/>
        <v>0.10084855026835778</v>
      </c>
      <c r="T22" s="425">
        <f t="shared" si="6"/>
        <v>8.848954876879768E-2</v>
      </c>
      <c r="V22" s="426">
        <f t="shared" si="9"/>
        <v>-0.32355165253865537</v>
      </c>
      <c r="W22" s="426">
        <f t="shared" si="10"/>
        <v>0.3095593957285967</v>
      </c>
      <c r="X22" s="426">
        <f t="shared" si="11"/>
        <v>-0.66686317417796981</v>
      </c>
      <c r="Y22" s="426">
        <f t="shared" si="11"/>
        <v>1.9704970482891402</v>
      </c>
      <c r="Z22" s="425">
        <f t="shared" si="11"/>
        <v>0.37674369838009403</v>
      </c>
      <c r="AA22" s="425">
        <f t="shared" si="8"/>
        <v>0.28072750434439442</v>
      </c>
      <c r="AB22" s="425">
        <f t="shared" si="8"/>
        <v>4.7692540556903973E-2</v>
      </c>
    </row>
    <row r="23" spans="1:28" ht="14" x14ac:dyDescent="0.3">
      <c r="B23" s="388"/>
      <c r="C23" s="388"/>
      <c r="D23" s="388"/>
      <c r="E23" s="388"/>
      <c r="F23" s="388"/>
      <c r="G23" s="388"/>
      <c r="H23" s="388"/>
      <c r="I23" s="388"/>
      <c r="J23" s="388"/>
      <c r="M23" s="423"/>
      <c r="N23" s="423"/>
      <c r="O23" s="423"/>
      <c r="P23" s="423"/>
      <c r="Q23" s="423"/>
      <c r="R23" s="423"/>
      <c r="S23" s="423"/>
      <c r="T23" s="423"/>
      <c r="V23" s="423" t="str">
        <f t="shared" si="9"/>
        <v/>
      </c>
      <c r="W23" s="423" t="str">
        <f t="shared" si="10"/>
        <v/>
      </c>
      <c r="X23" s="423" t="str">
        <f t="shared" si="11"/>
        <v/>
      </c>
      <c r="Y23" s="423" t="str">
        <f t="shared" si="11"/>
        <v/>
      </c>
      <c r="Z23" s="423" t="str">
        <f t="shared" si="11"/>
        <v/>
      </c>
      <c r="AA23" s="423"/>
      <c r="AB23" s="423"/>
    </row>
    <row r="24" spans="1:28" ht="14" x14ac:dyDescent="0.3">
      <c r="B24" s="427"/>
      <c r="C24" s="427"/>
      <c r="D24" s="427"/>
      <c r="E24" s="427"/>
      <c r="F24" s="427"/>
      <c r="G24" s="427"/>
      <c r="H24" s="427"/>
      <c r="I24" s="427"/>
      <c r="J24" s="427"/>
    </row>
    <row r="25" spans="1:28" s="428" customFormat="1" ht="14" x14ac:dyDescent="0.3">
      <c r="A25" s="428" t="s">
        <v>240</v>
      </c>
      <c r="B25" s="429">
        <f t="shared" ref="B25:I25" si="35">B8+B9</f>
        <v>274910</v>
      </c>
      <c r="C25" s="429">
        <f t="shared" si="35"/>
        <v>300191</v>
      </c>
      <c r="D25" s="429">
        <f t="shared" si="35"/>
        <v>475161</v>
      </c>
      <c r="E25" s="429">
        <f t="shared" si="35"/>
        <v>414083</v>
      </c>
      <c r="F25" s="429">
        <f t="shared" si="35"/>
        <v>455926</v>
      </c>
      <c r="G25" s="429">
        <f t="shared" si="35"/>
        <v>381036</v>
      </c>
      <c r="H25" s="429">
        <f t="shared" si="35"/>
        <v>416952</v>
      </c>
      <c r="I25" s="429">
        <f t="shared" si="35"/>
        <v>497369</v>
      </c>
      <c r="J25" s="429">
        <f>J8+J9</f>
        <v>428079.1648057244</v>
      </c>
      <c r="K25" s="290"/>
      <c r="M25" s="430">
        <f t="shared" ref="M25:R25" si="36">B25/B5</f>
        <v>0.15950505912612509</v>
      </c>
      <c r="N25" s="430">
        <f t="shared" si="36"/>
        <v>8.2673968926654809E-2</v>
      </c>
      <c r="O25" s="430">
        <f t="shared" si="36"/>
        <v>0.12546684255998716</v>
      </c>
      <c r="P25" s="430">
        <f t="shared" si="36"/>
        <v>0.10882581819166168</v>
      </c>
      <c r="Q25" s="430">
        <f t="shared" si="36"/>
        <v>0.13216135114013464</v>
      </c>
      <c r="R25" s="430">
        <f t="shared" si="36"/>
        <v>0.12604277308920173</v>
      </c>
      <c r="S25" s="430">
        <f t="shared" ref="S25" si="37">H25/H5</f>
        <v>0.11365394522721139</v>
      </c>
      <c r="T25" s="430">
        <f t="shared" ref="T25" si="38">I25/I5</f>
        <v>0.11354437832404535</v>
      </c>
      <c r="V25" s="431">
        <f>+IFERROR((C25/B25)-1,"")</f>
        <v>9.1961005419955555E-2</v>
      </c>
      <c r="W25" s="431">
        <f t="shared" ref="W25:Z25" si="39">+IFERROR((D25/C25)-1,"")</f>
        <v>0.5828622443710838</v>
      </c>
      <c r="X25" s="431">
        <f t="shared" si="39"/>
        <v>-0.12854169428888318</v>
      </c>
      <c r="Y25" s="431">
        <f t="shared" si="39"/>
        <v>0.10104978953494825</v>
      </c>
      <c r="Z25" s="431">
        <f t="shared" si="39"/>
        <v>-0.16425911222435219</v>
      </c>
      <c r="AA25" s="431">
        <f t="shared" ref="AA25" si="40">+IFERROR((H25/G25)-1,"")</f>
        <v>9.4258810191163001E-2</v>
      </c>
      <c r="AB25" s="431">
        <f t="shared" ref="AB25" si="41">+IFERROR((I25/H25)-1,"")</f>
        <v>0.19286872349814854</v>
      </c>
    </row>
    <row r="26" spans="1:28" ht="14" x14ac:dyDescent="0.3">
      <c r="B26" s="388"/>
      <c r="C26" s="388"/>
      <c r="D26" s="388"/>
      <c r="E26" s="389"/>
      <c r="F26" s="389"/>
      <c r="G26" s="389"/>
      <c r="H26" s="389"/>
      <c r="I26" s="389"/>
      <c r="J26" s="389"/>
    </row>
    <row r="27" spans="1:28" ht="14" x14ac:dyDescent="0.3">
      <c r="B27" s="378"/>
      <c r="C27" s="378"/>
      <c r="D27" s="378"/>
      <c r="E27" s="378"/>
      <c r="F27" s="378"/>
      <c r="G27" s="378"/>
      <c r="H27" s="378"/>
      <c r="I27" s="378"/>
      <c r="J27" s="389"/>
    </row>
    <row r="28" spans="1:28" ht="14" x14ac:dyDescent="0.3">
      <c r="B28" s="388"/>
      <c r="C28" s="388"/>
      <c r="D28" s="388"/>
      <c r="E28" s="389"/>
      <c r="F28" s="389"/>
      <c r="G28" s="389"/>
      <c r="H28" s="389"/>
      <c r="I28" s="389"/>
      <c r="J28" s="389"/>
    </row>
    <row r="29" spans="1:28" ht="14" x14ac:dyDescent="0.3">
      <c r="B29" s="388"/>
      <c r="C29" s="388"/>
      <c r="D29" s="388"/>
      <c r="E29" s="389"/>
      <c r="F29" s="389"/>
      <c r="G29" s="389"/>
      <c r="H29" s="389"/>
      <c r="I29" s="389"/>
      <c r="J29" s="389"/>
      <c r="Y29" s="364" t="s">
        <v>241</v>
      </c>
    </row>
    <row r="30" spans="1:28" ht="14" x14ac:dyDescent="0.3">
      <c r="B30" s="388"/>
      <c r="C30" s="388"/>
      <c r="D30" s="388"/>
      <c r="E30" s="389"/>
      <c r="F30" s="389"/>
      <c r="G30" s="389"/>
      <c r="H30" s="389"/>
      <c r="I30" s="389"/>
      <c r="J30" s="389"/>
    </row>
    <row r="31" spans="1:28" ht="14" x14ac:dyDescent="0.3">
      <c r="B31" s="388"/>
      <c r="C31" s="388"/>
      <c r="D31" s="388"/>
      <c r="E31" s="389"/>
      <c r="F31" s="389"/>
      <c r="G31" s="389"/>
      <c r="H31" s="389"/>
      <c r="I31" s="389"/>
      <c r="J31" s="389"/>
    </row>
    <row r="32" spans="1:28" ht="14" x14ac:dyDescent="0.3">
      <c r="B32" s="388"/>
      <c r="C32" s="388"/>
      <c r="D32" s="388"/>
      <c r="E32" s="389"/>
      <c r="F32" s="389"/>
      <c r="G32" s="389"/>
      <c r="H32" s="389"/>
      <c r="I32" s="389"/>
      <c r="J32" s="389"/>
    </row>
    <row r="33" spans="2:10" ht="14" x14ac:dyDescent="0.3">
      <c r="B33" s="388"/>
      <c r="C33" s="388"/>
      <c r="D33" s="388"/>
      <c r="E33" s="389"/>
      <c r="F33" s="389"/>
      <c r="G33" s="389"/>
      <c r="H33" s="389"/>
      <c r="I33" s="389"/>
      <c r="J33" s="389"/>
    </row>
    <row r="34" spans="2:10" ht="14" x14ac:dyDescent="0.3">
      <c r="B34" s="388"/>
      <c r="C34" s="388"/>
      <c r="D34" s="388"/>
      <c r="E34" s="389"/>
      <c r="F34" s="389"/>
      <c r="G34" s="389"/>
      <c r="H34" s="389"/>
      <c r="I34" s="389"/>
      <c r="J34" s="389"/>
    </row>
    <row r="35" spans="2:10" ht="14" x14ac:dyDescent="0.3">
      <c r="B35" s="388"/>
      <c r="C35" s="388"/>
      <c r="D35" s="388"/>
      <c r="E35" s="389"/>
      <c r="F35" s="389"/>
      <c r="G35" s="389"/>
      <c r="H35" s="389"/>
      <c r="I35" s="389"/>
      <c r="J35" s="389"/>
    </row>
    <row r="36" spans="2:10" ht="14" x14ac:dyDescent="0.3">
      <c r="B36" s="388"/>
      <c r="C36" s="388"/>
      <c r="D36" s="388"/>
      <c r="E36" s="389"/>
      <c r="F36" s="389"/>
      <c r="G36" s="389"/>
      <c r="H36" s="389"/>
      <c r="I36" s="389"/>
      <c r="J36" s="389"/>
    </row>
    <row r="37" spans="2:10" ht="14" x14ac:dyDescent="0.3">
      <c r="B37" s="388"/>
      <c r="C37" s="388"/>
      <c r="D37" s="388"/>
      <c r="E37" s="389"/>
      <c r="F37" s="389"/>
      <c r="G37" s="389"/>
      <c r="H37" s="389"/>
      <c r="I37" s="389"/>
      <c r="J37" s="389"/>
    </row>
    <row r="38" spans="2:10" ht="14" x14ac:dyDescent="0.3">
      <c r="B38" s="388"/>
      <c r="C38" s="388"/>
      <c r="D38" s="388"/>
      <c r="E38" s="389"/>
      <c r="F38" s="389"/>
      <c r="G38" s="389"/>
      <c r="H38" s="389"/>
      <c r="I38" s="389"/>
      <c r="J38" s="389"/>
    </row>
    <row r="39" spans="2:10" ht="14" x14ac:dyDescent="0.3">
      <c r="B39" s="388"/>
      <c r="C39" s="388"/>
      <c r="D39" s="388"/>
      <c r="E39" s="389"/>
      <c r="F39" s="389"/>
      <c r="G39" s="389"/>
      <c r="H39" s="389"/>
      <c r="I39" s="389"/>
      <c r="J39" s="389"/>
    </row>
    <row r="40" spans="2:10" ht="14" x14ac:dyDescent="0.3">
      <c r="B40" s="388"/>
      <c r="C40" s="388"/>
      <c r="D40" s="388"/>
      <c r="E40" s="389"/>
      <c r="F40" s="389"/>
      <c r="G40" s="389"/>
      <c r="H40" s="389"/>
      <c r="I40" s="389"/>
      <c r="J40" s="389"/>
    </row>
    <row r="41" spans="2:10" ht="14" x14ac:dyDescent="0.3">
      <c r="B41" s="388"/>
      <c r="C41" s="388"/>
      <c r="D41" s="388"/>
      <c r="E41" s="389"/>
      <c r="F41" s="389"/>
      <c r="G41" s="389"/>
      <c r="H41" s="389"/>
      <c r="I41" s="389"/>
      <c r="J41" s="389"/>
    </row>
    <row r="42" spans="2:10" ht="14" x14ac:dyDescent="0.3">
      <c r="B42" s="388"/>
      <c r="C42" s="388"/>
      <c r="D42" s="388"/>
      <c r="E42" s="389"/>
      <c r="F42" s="389"/>
      <c r="G42" s="389"/>
      <c r="H42" s="389"/>
      <c r="I42" s="389"/>
      <c r="J42" s="389"/>
    </row>
    <row r="43" spans="2:10" ht="14" x14ac:dyDescent="0.3">
      <c r="B43" s="388"/>
      <c r="C43" s="388"/>
      <c r="D43" s="388"/>
      <c r="E43" s="389"/>
      <c r="F43" s="389"/>
      <c r="G43" s="389"/>
      <c r="H43" s="389"/>
      <c r="I43" s="389"/>
      <c r="J43" s="389"/>
    </row>
    <row r="44" spans="2:10" ht="14" x14ac:dyDescent="0.3">
      <c r="B44" s="388"/>
      <c r="C44" s="388"/>
      <c r="D44" s="388"/>
      <c r="E44" s="389"/>
      <c r="F44" s="389"/>
      <c r="G44" s="389"/>
      <c r="H44" s="389"/>
      <c r="I44" s="389"/>
      <c r="J44" s="389"/>
    </row>
    <row r="45" spans="2:10" ht="14" x14ac:dyDescent="0.3">
      <c r="B45" s="388"/>
      <c r="C45" s="388"/>
      <c r="D45" s="388"/>
      <c r="E45" s="389"/>
      <c r="F45" s="389"/>
      <c r="G45" s="389"/>
      <c r="H45" s="389"/>
      <c r="I45" s="389"/>
      <c r="J45" s="389"/>
    </row>
    <row r="46" spans="2:10" ht="14" x14ac:dyDescent="0.3">
      <c r="B46" s="388"/>
      <c r="C46" s="388"/>
      <c r="D46" s="388"/>
      <c r="E46" s="389"/>
      <c r="F46" s="389"/>
      <c r="G46" s="389"/>
      <c r="H46" s="389"/>
      <c r="I46" s="389"/>
      <c r="J46" s="389"/>
    </row>
    <row r="47" spans="2:10" ht="14" x14ac:dyDescent="0.3">
      <c r="B47" s="388"/>
      <c r="C47" s="388"/>
      <c r="D47" s="388"/>
      <c r="E47" s="389"/>
      <c r="F47" s="389"/>
      <c r="G47" s="389"/>
      <c r="H47" s="389"/>
      <c r="I47" s="389"/>
      <c r="J47" s="389"/>
    </row>
    <row r="48" spans="2:10" ht="14" x14ac:dyDescent="0.3">
      <c r="B48" s="388"/>
      <c r="C48" s="388"/>
      <c r="D48" s="388"/>
      <c r="E48" s="389"/>
      <c r="F48" s="389"/>
      <c r="G48" s="389"/>
      <c r="H48" s="389"/>
      <c r="I48" s="389"/>
      <c r="J48" s="389"/>
    </row>
    <row r="49" spans="2:10" ht="14" x14ac:dyDescent="0.3">
      <c r="B49" s="388"/>
      <c r="C49" s="388"/>
      <c r="D49" s="388"/>
      <c r="E49" s="389"/>
      <c r="F49" s="389"/>
      <c r="G49" s="389"/>
      <c r="H49" s="389"/>
      <c r="I49" s="389"/>
      <c r="J49" s="389"/>
    </row>
    <row r="50" spans="2:10" ht="14" x14ac:dyDescent="0.3">
      <c r="B50" s="388"/>
      <c r="C50" s="388"/>
      <c r="D50" s="388"/>
      <c r="E50" s="389"/>
      <c r="F50" s="389"/>
      <c r="G50" s="389"/>
      <c r="H50" s="389"/>
      <c r="I50" s="389"/>
      <c r="J50" s="389"/>
    </row>
    <row r="51" spans="2:10" ht="14" x14ac:dyDescent="0.3">
      <c r="B51" s="388"/>
      <c r="C51" s="388"/>
      <c r="D51" s="388"/>
      <c r="E51" s="389"/>
      <c r="F51" s="389"/>
      <c r="G51" s="389"/>
      <c r="H51" s="389"/>
      <c r="I51" s="389"/>
      <c r="J51" s="389"/>
    </row>
    <row r="52" spans="2:10" ht="14" x14ac:dyDescent="0.3">
      <c r="B52" s="388"/>
      <c r="C52" s="388"/>
      <c r="D52" s="388"/>
      <c r="E52" s="389"/>
      <c r="F52" s="389"/>
      <c r="G52" s="389"/>
      <c r="H52" s="389"/>
      <c r="I52" s="389"/>
      <c r="J52" s="389"/>
    </row>
    <row r="53" spans="2:10" ht="14" x14ac:dyDescent="0.3">
      <c r="B53" s="388"/>
      <c r="C53" s="388"/>
      <c r="D53" s="388"/>
      <c r="E53" s="389"/>
      <c r="F53" s="389"/>
      <c r="G53" s="389"/>
      <c r="H53" s="389"/>
      <c r="I53" s="389"/>
      <c r="J53" s="389"/>
    </row>
    <row r="54" spans="2:10" ht="14" x14ac:dyDescent="0.3">
      <c r="B54" s="388"/>
      <c r="C54" s="388"/>
      <c r="D54" s="388"/>
      <c r="E54" s="389"/>
      <c r="F54" s="389"/>
      <c r="G54" s="389"/>
      <c r="H54" s="389"/>
      <c r="I54" s="389"/>
      <c r="J54" s="389"/>
    </row>
    <row r="55" spans="2:10" ht="14" x14ac:dyDescent="0.3">
      <c r="B55" s="388"/>
      <c r="C55" s="388"/>
      <c r="D55" s="388"/>
      <c r="E55" s="389"/>
      <c r="F55" s="389"/>
      <c r="G55" s="389"/>
      <c r="H55" s="389"/>
      <c r="I55" s="389"/>
      <c r="J55" s="389"/>
    </row>
    <row r="56" spans="2:10" ht="14" x14ac:dyDescent="0.3">
      <c r="B56" s="388"/>
      <c r="C56" s="388"/>
      <c r="D56" s="388"/>
      <c r="E56" s="389"/>
      <c r="F56" s="389"/>
      <c r="G56" s="389"/>
      <c r="H56" s="389"/>
      <c r="I56" s="389"/>
      <c r="J56" s="389"/>
    </row>
    <row r="57" spans="2:10" ht="14" x14ac:dyDescent="0.3">
      <c r="B57" s="388"/>
      <c r="C57" s="388"/>
      <c r="D57" s="388"/>
      <c r="E57" s="389"/>
      <c r="F57" s="389"/>
      <c r="G57" s="389"/>
      <c r="H57" s="389"/>
      <c r="I57" s="389"/>
      <c r="J57" s="389"/>
    </row>
    <row r="58" spans="2:10" ht="14" x14ac:dyDescent="0.3">
      <c r="B58" s="388"/>
      <c r="C58" s="388"/>
      <c r="D58" s="388"/>
      <c r="E58" s="389"/>
      <c r="F58" s="389"/>
      <c r="G58" s="389"/>
      <c r="H58" s="389"/>
      <c r="I58" s="389"/>
      <c r="J58" s="389"/>
    </row>
    <row r="59" spans="2:10" ht="14" x14ac:dyDescent="0.3">
      <c r="B59" s="388"/>
      <c r="C59" s="388"/>
      <c r="D59" s="388"/>
      <c r="E59" s="389"/>
      <c r="F59" s="389"/>
      <c r="G59" s="389"/>
      <c r="H59" s="389"/>
      <c r="I59" s="389"/>
      <c r="J59" s="389"/>
    </row>
    <row r="60" spans="2:10" ht="14" x14ac:dyDescent="0.3">
      <c r="B60" s="388"/>
      <c r="C60" s="388"/>
      <c r="D60" s="388"/>
      <c r="E60" s="389"/>
      <c r="F60" s="389"/>
      <c r="G60" s="389"/>
      <c r="H60" s="389"/>
      <c r="I60" s="389"/>
      <c r="J60" s="389"/>
    </row>
    <row r="61" spans="2:10" ht="14" x14ac:dyDescent="0.3">
      <c r="B61" s="388"/>
      <c r="C61" s="388"/>
      <c r="D61" s="388"/>
      <c r="E61" s="389"/>
      <c r="F61" s="389"/>
      <c r="G61" s="389"/>
      <c r="H61" s="389"/>
      <c r="I61" s="389"/>
      <c r="J61" s="389"/>
    </row>
    <row r="62" spans="2:10" ht="14" x14ac:dyDescent="0.3">
      <c r="B62" s="388"/>
      <c r="C62" s="388"/>
      <c r="D62" s="388"/>
      <c r="E62" s="389"/>
      <c r="F62" s="389"/>
      <c r="G62" s="389"/>
      <c r="H62" s="389"/>
      <c r="I62" s="389"/>
      <c r="J62" s="389"/>
    </row>
    <row r="63" spans="2:10" ht="14" x14ac:dyDescent="0.3">
      <c r="B63" s="388"/>
      <c r="C63" s="388"/>
      <c r="D63" s="388"/>
      <c r="E63" s="389"/>
      <c r="F63" s="389"/>
      <c r="G63" s="389"/>
      <c r="H63" s="389"/>
      <c r="I63" s="389"/>
      <c r="J63" s="389"/>
    </row>
    <row r="64" spans="2:10" ht="14" x14ac:dyDescent="0.3">
      <c r="B64" s="388"/>
      <c r="C64" s="388"/>
      <c r="D64" s="388"/>
      <c r="E64" s="389"/>
      <c r="F64" s="389"/>
      <c r="G64" s="389"/>
      <c r="H64" s="389"/>
      <c r="I64" s="389"/>
      <c r="J64" s="389"/>
    </row>
    <row r="65" spans="2:10" ht="14" x14ac:dyDescent="0.3">
      <c r="B65" s="388"/>
      <c r="C65" s="388"/>
      <c r="D65" s="388"/>
      <c r="E65" s="389"/>
      <c r="F65" s="389"/>
      <c r="G65" s="389"/>
      <c r="H65" s="389"/>
      <c r="I65" s="389"/>
      <c r="J65" s="389"/>
    </row>
    <row r="66" spans="2:10" ht="14" x14ac:dyDescent="0.3">
      <c r="B66" s="388"/>
      <c r="C66" s="388"/>
      <c r="D66" s="388"/>
      <c r="E66" s="389"/>
      <c r="F66" s="389"/>
      <c r="G66" s="389"/>
      <c r="H66" s="389"/>
      <c r="I66" s="389"/>
      <c r="J66" s="389"/>
    </row>
    <row r="67" spans="2:10" ht="14" x14ac:dyDescent="0.3">
      <c r="B67" s="388"/>
      <c r="C67" s="388"/>
      <c r="D67" s="388"/>
      <c r="E67" s="389"/>
      <c r="F67" s="389"/>
      <c r="G67" s="389"/>
      <c r="H67" s="389"/>
      <c r="I67" s="389"/>
      <c r="J67" s="389"/>
    </row>
    <row r="68" spans="2:10" ht="14" x14ac:dyDescent="0.3">
      <c r="B68" s="388"/>
      <c r="C68" s="388"/>
      <c r="D68" s="388"/>
      <c r="E68" s="389"/>
      <c r="F68" s="389"/>
      <c r="G68" s="389"/>
      <c r="H68" s="389"/>
      <c r="I68" s="389"/>
      <c r="J68" s="389"/>
    </row>
    <row r="69" spans="2:10" ht="14" x14ac:dyDescent="0.3">
      <c r="B69" s="388"/>
      <c r="C69" s="388"/>
      <c r="D69" s="388"/>
      <c r="E69" s="389"/>
      <c r="F69" s="389"/>
      <c r="G69" s="389"/>
      <c r="H69" s="389"/>
      <c r="I69" s="389"/>
      <c r="J69" s="389"/>
    </row>
    <row r="70" spans="2:10" ht="14" x14ac:dyDescent="0.3">
      <c r="B70" s="388"/>
      <c r="C70" s="388"/>
      <c r="D70" s="388"/>
      <c r="E70" s="389"/>
      <c r="F70" s="389"/>
      <c r="G70" s="389"/>
      <c r="H70" s="389"/>
      <c r="I70" s="389"/>
      <c r="J70" s="389"/>
    </row>
    <row r="71" spans="2:10" ht="14" x14ac:dyDescent="0.3">
      <c r="B71" s="388"/>
      <c r="C71" s="388"/>
      <c r="D71" s="388"/>
      <c r="E71" s="389"/>
      <c r="F71" s="389"/>
      <c r="G71" s="389"/>
      <c r="H71" s="389"/>
      <c r="I71" s="389"/>
      <c r="J71" s="389"/>
    </row>
    <row r="72" spans="2:10" ht="14" x14ac:dyDescent="0.3">
      <c r="B72" s="388"/>
      <c r="C72" s="388"/>
      <c r="D72" s="388"/>
      <c r="E72" s="389"/>
      <c r="F72" s="389"/>
      <c r="G72" s="389"/>
      <c r="H72" s="389"/>
      <c r="I72" s="389"/>
      <c r="J72" s="389"/>
    </row>
    <row r="73" spans="2:10" ht="14" x14ac:dyDescent="0.3">
      <c r="B73" s="388"/>
      <c r="C73" s="388"/>
      <c r="D73" s="388"/>
      <c r="E73" s="389"/>
      <c r="F73" s="389"/>
      <c r="G73" s="389"/>
      <c r="H73" s="389"/>
      <c r="I73" s="389"/>
      <c r="J73" s="389"/>
    </row>
    <row r="74" spans="2:10" ht="14" x14ac:dyDescent="0.3">
      <c r="B74" s="388"/>
      <c r="C74" s="388"/>
      <c r="D74" s="388"/>
      <c r="E74" s="389"/>
      <c r="F74" s="389"/>
      <c r="G74" s="389"/>
      <c r="H74" s="389"/>
      <c r="I74" s="389"/>
      <c r="J74" s="389"/>
    </row>
    <row r="75" spans="2:10" ht="14" x14ac:dyDescent="0.3">
      <c r="B75" s="388"/>
      <c r="C75" s="388"/>
      <c r="D75" s="388"/>
      <c r="E75" s="389"/>
      <c r="F75" s="389"/>
      <c r="G75" s="389"/>
      <c r="H75" s="389"/>
      <c r="I75" s="389"/>
      <c r="J75" s="389"/>
    </row>
    <row r="76" spans="2:10" ht="14" x14ac:dyDescent="0.3">
      <c r="B76" s="388"/>
      <c r="C76" s="388"/>
      <c r="D76" s="388"/>
      <c r="E76" s="389"/>
      <c r="F76" s="389"/>
      <c r="G76" s="389"/>
      <c r="H76" s="389"/>
      <c r="I76" s="389"/>
      <c r="J76" s="389"/>
    </row>
    <row r="77" spans="2:10" ht="14" x14ac:dyDescent="0.3">
      <c r="B77" s="388"/>
      <c r="C77" s="388"/>
      <c r="D77" s="388"/>
      <c r="E77" s="389"/>
      <c r="F77" s="389"/>
      <c r="G77" s="389"/>
      <c r="H77" s="389"/>
      <c r="I77" s="389"/>
      <c r="J77" s="389"/>
    </row>
    <row r="78" spans="2:10" ht="14" x14ac:dyDescent="0.3">
      <c r="B78" s="388"/>
      <c r="C78" s="388"/>
      <c r="D78" s="388"/>
      <c r="E78" s="389"/>
      <c r="F78" s="389"/>
      <c r="G78" s="389"/>
      <c r="H78" s="389"/>
      <c r="I78" s="389"/>
      <c r="J78" s="389"/>
    </row>
    <row r="79" spans="2:10" ht="14" x14ac:dyDescent="0.3">
      <c r="B79" s="388"/>
      <c r="C79" s="388"/>
      <c r="D79" s="388"/>
      <c r="E79" s="389"/>
      <c r="F79" s="389"/>
      <c r="G79" s="389"/>
      <c r="H79" s="389"/>
      <c r="I79" s="389"/>
      <c r="J79" s="389"/>
    </row>
    <row r="80" spans="2:10" ht="14" x14ac:dyDescent="0.3">
      <c r="B80" s="388"/>
      <c r="C80" s="388"/>
      <c r="D80" s="388"/>
      <c r="E80" s="389"/>
      <c r="F80" s="389"/>
      <c r="G80" s="389"/>
      <c r="H80" s="389"/>
      <c r="I80" s="389"/>
      <c r="J80" s="389"/>
    </row>
    <row r="81" spans="2:10" ht="14" x14ac:dyDescent="0.3">
      <c r="B81" s="388"/>
      <c r="C81" s="388"/>
      <c r="D81" s="388"/>
      <c r="E81" s="389"/>
      <c r="F81" s="389"/>
      <c r="G81" s="389"/>
      <c r="H81" s="389"/>
      <c r="I81" s="389"/>
      <c r="J81" s="389"/>
    </row>
    <row r="82" spans="2:10" ht="14" x14ac:dyDescent="0.3">
      <c r="E82" s="389"/>
      <c r="F82" s="389"/>
      <c r="G82" s="389"/>
      <c r="H82" s="389"/>
      <c r="I82" s="389"/>
      <c r="J82" s="389"/>
    </row>
    <row r="83" spans="2:10" ht="14" x14ac:dyDescent="0.3"/>
  </sheetData>
  <mergeCells count="2">
    <mergeCell ref="M2:T2"/>
    <mergeCell ref="V2:AB2"/>
  </mergeCells>
  <pageMargins left="0.7" right="0.7" top="0.75" bottom="0.75" header="0.3" footer="0.3"/>
  <pageSetup paperSize="9" orientation="portrait" r:id="rId1"/>
  <customProperties>
    <customPr name="EpmWorksheetKeyString_GUID" r:id="rId2"/>
  </customProperties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249977111117893"/>
  </sheetPr>
  <dimension ref="A1:J154"/>
  <sheetViews>
    <sheetView showGridLines="0" zoomScale="120" zoomScaleNormal="120" workbookViewId="0"/>
  </sheetViews>
  <sheetFormatPr defaultColWidth="11.453125" defaultRowHeight="14" x14ac:dyDescent="0.3"/>
  <cols>
    <col min="1" max="1" width="64.81640625" style="290" customWidth="1"/>
    <col min="2" max="3" width="12.54296875" style="290" customWidth="1"/>
    <col min="4" max="5" width="12.54296875" style="290" bestFit="1" customWidth="1"/>
    <col min="6" max="9" width="12.54296875" style="290" customWidth="1"/>
    <col min="10" max="16384" width="11.453125" style="290"/>
  </cols>
  <sheetData>
    <row r="1" spans="1:9" ht="25" x14ac:dyDescent="0.5">
      <c r="A1" s="291" t="s">
        <v>242</v>
      </c>
    </row>
    <row r="2" spans="1:9" x14ac:dyDescent="0.3">
      <c r="A2" s="406"/>
    </row>
    <row r="3" spans="1:9" ht="15.5" x14ac:dyDescent="0.35">
      <c r="A3" s="293"/>
      <c r="B3" s="294">
        <v>2005</v>
      </c>
      <c r="C3" s="294">
        <v>2006</v>
      </c>
      <c r="D3" s="294">
        <v>2007</v>
      </c>
      <c r="E3" s="294">
        <v>2008</v>
      </c>
      <c r="F3" s="294">
        <v>2009</v>
      </c>
      <c r="G3" s="294">
        <v>2010</v>
      </c>
      <c r="H3" s="294">
        <v>2011</v>
      </c>
      <c r="I3" s="294">
        <v>2012</v>
      </c>
    </row>
    <row r="4" spans="1:9" ht="15.5" x14ac:dyDescent="0.35">
      <c r="A4" s="104"/>
      <c r="B4" s="297"/>
      <c r="C4" s="297"/>
      <c r="D4" s="297"/>
      <c r="E4" s="297"/>
    </row>
    <row r="5" spans="1:9" x14ac:dyDescent="0.3">
      <c r="A5" s="289" t="s">
        <v>243</v>
      </c>
      <c r="B5" s="407"/>
      <c r="C5" s="407"/>
      <c r="D5" s="407"/>
      <c r="E5" s="407"/>
    </row>
    <row r="6" spans="1:9" x14ac:dyDescent="0.3">
      <c r="A6" s="405" t="s">
        <v>136</v>
      </c>
      <c r="B6" s="408">
        <f>'Tabla A2. Formulado'!B22</f>
        <v>239359</v>
      </c>
      <c r="C6" s="408">
        <f>'Tabla A2. Formulado'!C22</f>
        <v>161914</v>
      </c>
      <c r="D6" s="408">
        <f>'Tabla A2. Formulado'!D22</f>
        <v>212036</v>
      </c>
      <c r="E6" s="408">
        <f>'Tabla A2. Formulado'!E22</f>
        <v>70637</v>
      </c>
      <c r="F6" s="408">
        <f>'Tabla A2. Formulado'!F22</f>
        <v>209827</v>
      </c>
      <c r="G6" s="408">
        <f>'Tabla A2. Formulado'!G22</f>
        <v>288878</v>
      </c>
      <c r="H6" s="408">
        <f>'Tabla A2. Formulado'!H22</f>
        <v>369974</v>
      </c>
      <c r="I6" s="408">
        <f>'Tabla A2. Formulado'!I22</f>
        <v>387619</v>
      </c>
    </row>
    <row r="7" spans="1:9" s="411" customFormat="1" x14ac:dyDescent="0.3">
      <c r="A7" s="409" t="s">
        <v>244</v>
      </c>
      <c r="B7" s="410"/>
      <c r="C7" s="410"/>
      <c r="D7" s="410"/>
      <c r="E7" s="410"/>
      <c r="F7" s="410"/>
      <c r="G7" s="410"/>
      <c r="H7" s="410"/>
      <c r="I7" s="410"/>
    </row>
    <row r="8" spans="1:9" x14ac:dyDescent="0.3">
      <c r="A8" s="300" t="s">
        <v>64</v>
      </c>
      <c r="B8" s="311">
        <v>136368</v>
      </c>
      <c r="C8" s="311">
        <v>294693</v>
      </c>
      <c r="D8" s="311">
        <v>262042</v>
      </c>
      <c r="E8" s="311">
        <v>272199</v>
      </c>
      <c r="F8" s="311">
        <v>264082</v>
      </c>
      <c r="G8" s="311">
        <v>249471</v>
      </c>
      <c r="H8" s="311">
        <v>269813</v>
      </c>
      <c r="I8" s="311">
        <v>312404</v>
      </c>
    </row>
    <row r="9" spans="1:9" x14ac:dyDescent="0.3">
      <c r="A9" s="300" t="s">
        <v>65</v>
      </c>
      <c r="B9" s="311">
        <v>13518</v>
      </c>
      <c r="C9" s="311">
        <v>33112</v>
      </c>
      <c r="D9" s="311">
        <v>92341</v>
      </c>
      <c r="E9" s="311">
        <v>65586</v>
      </c>
      <c r="F9" s="311">
        <v>86829</v>
      </c>
      <c r="G9" s="311">
        <v>71111</v>
      </c>
      <c r="H9" s="311">
        <v>138898</v>
      </c>
      <c r="I9" s="311">
        <v>64219</v>
      </c>
    </row>
    <row r="10" spans="1:9" x14ac:dyDescent="0.3">
      <c r="A10" s="300" t="s">
        <v>66</v>
      </c>
      <c r="B10" s="311"/>
      <c r="C10" s="311"/>
      <c r="D10" s="311">
        <v>0</v>
      </c>
      <c r="E10" s="311">
        <v>1642</v>
      </c>
      <c r="F10" s="311">
        <v>1642</v>
      </c>
      <c r="G10" s="311">
        <v>1642</v>
      </c>
      <c r="H10" s="311">
        <v>18625</v>
      </c>
      <c r="I10" s="311"/>
    </row>
    <row r="11" spans="1:9" x14ac:dyDescent="0.3">
      <c r="A11" s="300" t="s">
        <v>67</v>
      </c>
      <c r="B11" s="311"/>
      <c r="C11" s="311">
        <v>-13144</v>
      </c>
      <c r="D11" s="311">
        <v>-26624</v>
      </c>
      <c r="E11" s="311">
        <v>-131189</v>
      </c>
      <c r="F11" s="311"/>
      <c r="G11" s="311">
        <v>-1885</v>
      </c>
      <c r="H11" s="311">
        <v>-8554</v>
      </c>
      <c r="I11" s="311">
        <v>-4017</v>
      </c>
    </row>
    <row r="12" spans="1:9" x14ac:dyDescent="0.3">
      <c r="A12" s="300" t="s">
        <v>68</v>
      </c>
      <c r="B12" s="311"/>
      <c r="C12" s="311"/>
      <c r="D12" s="311"/>
      <c r="E12" s="311"/>
      <c r="F12" s="311">
        <v>65576</v>
      </c>
      <c r="G12" s="311"/>
      <c r="H12" s="311">
        <v>0</v>
      </c>
      <c r="I12" s="311">
        <v>546</v>
      </c>
    </row>
    <row r="13" spans="1:9" x14ac:dyDescent="0.3">
      <c r="A13" s="300" t="s">
        <v>69</v>
      </c>
      <c r="B13" s="311">
        <v>15236</v>
      </c>
      <c r="C13" s="311"/>
      <c r="D13" s="311"/>
      <c r="E13" s="311"/>
      <c r="F13" s="311">
        <v>16058</v>
      </c>
      <c r="G13" s="311">
        <v>74237</v>
      </c>
      <c r="H13" s="311">
        <v>13803</v>
      </c>
      <c r="I13" s="311">
        <v>996</v>
      </c>
    </row>
    <row r="14" spans="1:9" x14ac:dyDescent="0.3">
      <c r="A14" s="300" t="s">
        <v>70</v>
      </c>
      <c r="B14" s="311"/>
      <c r="C14" s="311">
        <v>-125914</v>
      </c>
      <c r="D14" s="311">
        <v>-109153</v>
      </c>
      <c r="E14" s="311">
        <v>-220473</v>
      </c>
      <c r="F14" s="311">
        <v>-481868</v>
      </c>
      <c r="G14" s="311">
        <v>-509220</v>
      </c>
      <c r="H14" s="311">
        <v>-641155</v>
      </c>
      <c r="I14" s="311">
        <v>-231369</v>
      </c>
    </row>
    <row r="15" spans="1:9" x14ac:dyDescent="0.3">
      <c r="A15" s="300" t="s">
        <v>71</v>
      </c>
      <c r="B15" s="311"/>
      <c r="C15" s="311"/>
      <c r="D15" s="311"/>
      <c r="E15" s="311"/>
      <c r="F15" s="311"/>
      <c r="G15" s="311">
        <v>2620</v>
      </c>
      <c r="H15" s="311"/>
      <c r="I15" s="311">
        <v>-2463</v>
      </c>
    </row>
    <row r="16" spans="1:9" x14ac:dyDescent="0.3">
      <c r="A16" s="300" t="s">
        <v>72</v>
      </c>
      <c r="B16" s="311"/>
      <c r="C16" s="311"/>
      <c r="D16" s="311"/>
      <c r="E16" s="311">
        <v>4108</v>
      </c>
      <c r="F16" s="311">
        <v>7757</v>
      </c>
      <c r="G16" s="311">
        <v>4165</v>
      </c>
      <c r="H16" s="311">
        <v>5243</v>
      </c>
      <c r="I16" s="311">
        <v>8497</v>
      </c>
    </row>
    <row r="17" spans="1:9" x14ac:dyDescent="0.3">
      <c r="A17" s="300" t="s">
        <v>73</v>
      </c>
      <c r="B17" s="311"/>
      <c r="C17" s="311"/>
      <c r="D17" s="311"/>
      <c r="E17" s="311">
        <v>2304</v>
      </c>
      <c r="F17" s="311">
        <v>5298</v>
      </c>
      <c r="G17" s="311">
        <v>7798</v>
      </c>
      <c r="H17" s="311">
        <v>2138</v>
      </c>
      <c r="I17" s="311">
        <v>1768</v>
      </c>
    </row>
    <row r="18" spans="1:9" x14ac:dyDescent="0.3">
      <c r="A18" s="300" t="s">
        <v>74</v>
      </c>
      <c r="B18" s="311">
        <v>9749</v>
      </c>
      <c r="C18" s="311">
        <v>0</v>
      </c>
      <c r="D18" s="311">
        <v>-72008</v>
      </c>
      <c r="E18" s="311">
        <v>112164</v>
      </c>
      <c r="F18" s="311">
        <v>-64545</v>
      </c>
      <c r="G18" s="311">
        <v>2321</v>
      </c>
      <c r="H18" s="311">
        <v>53325</v>
      </c>
      <c r="I18" s="311">
        <v>-75787</v>
      </c>
    </row>
    <row r="19" spans="1:9" x14ac:dyDescent="0.3">
      <c r="A19" s="300" t="s">
        <v>75</v>
      </c>
      <c r="B19" s="311">
        <v>31220</v>
      </c>
      <c r="C19" s="311">
        <v>29468</v>
      </c>
      <c r="D19" s="311">
        <v>21827</v>
      </c>
      <c r="E19" s="311">
        <v>29373</v>
      </c>
      <c r="F19" s="311">
        <v>32985</v>
      </c>
      <c r="G19" s="311">
        <v>9114</v>
      </c>
      <c r="H19" s="311">
        <v>9780</v>
      </c>
      <c r="I19" s="311">
        <v>12088</v>
      </c>
    </row>
    <row r="20" spans="1:9" x14ac:dyDescent="0.3">
      <c r="A20" s="300" t="s">
        <v>76</v>
      </c>
      <c r="B20" s="311"/>
      <c r="C20" s="311"/>
      <c r="D20" s="311"/>
      <c r="E20" s="311">
        <v>17268</v>
      </c>
      <c r="F20" s="311">
        <v>5389</v>
      </c>
      <c r="G20" s="311">
        <v>4697</v>
      </c>
      <c r="H20" s="311">
        <v>26795</v>
      </c>
      <c r="I20" s="311"/>
    </row>
    <row r="21" spans="1:9" x14ac:dyDescent="0.3">
      <c r="A21" s="300" t="s">
        <v>77</v>
      </c>
      <c r="B21" s="311"/>
      <c r="C21" s="311"/>
      <c r="D21" s="311"/>
      <c r="E21" s="311">
        <v>-15315</v>
      </c>
      <c r="F21" s="311">
        <v>-16644</v>
      </c>
      <c r="G21" s="311">
        <v>-8532</v>
      </c>
      <c r="H21" s="311">
        <v>-15851</v>
      </c>
      <c r="I21" s="311"/>
    </row>
    <row r="22" spans="1:9" x14ac:dyDescent="0.3">
      <c r="A22" s="300" t="s">
        <v>46</v>
      </c>
      <c r="B22" s="311"/>
      <c r="C22" s="311"/>
      <c r="D22" s="311"/>
      <c r="E22" s="311">
        <v>74786</v>
      </c>
      <c r="F22" s="311">
        <v>81691</v>
      </c>
      <c r="G22" s="311">
        <v>88343</v>
      </c>
      <c r="H22" s="311">
        <v>74460</v>
      </c>
      <c r="I22" s="311"/>
    </row>
    <row r="23" spans="1:9" x14ac:dyDescent="0.3">
      <c r="A23" s="300" t="s">
        <v>78</v>
      </c>
      <c r="B23" s="311">
        <v>0</v>
      </c>
      <c r="C23" s="311">
        <v>1536</v>
      </c>
      <c r="D23" s="311">
        <v>-10067</v>
      </c>
      <c r="E23" s="311">
        <v>22030</v>
      </c>
      <c r="F23" s="311"/>
      <c r="G23" s="311">
        <v>6295</v>
      </c>
      <c r="H23" s="311"/>
      <c r="I23" s="311"/>
    </row>
    <row r="24" spans="1:9" x14ac:dyDescent="0.3">
      <c r="A24" s="300" t="s">
        <v>79</v>
      </c>
      <c r="B24" s="311">
        <v>-25106</v>
      </c>
      <c r="C24" s="311">
        <v>950</v>
      </c>
      <c r="D24" s="311"/>
      <c r="E24" s="311"/>
      <c r="F24" s="311"/>
      <c r="G24" s="311"/>
      <c r="H24" s="311"/>
      <c r="I24" s="311"/>
    </row>
    <row r="25" spans="1:9" x14ac:dyDescent="0.3">
      <c r="A25" s="300" t="s">
        <v>80</v>
      </c>
      <c r="B25" s="311"/>
      <c r="C25" s="311"/>
      <c r="D25" s="311">
        <v>30247</v>
      </c>
      <c r="E25" s="311">
        <v>-17279</v>
      </c>
      <c r="F25" s="311"/>
      <c r="G25" s="311"/>
      <c r="H25" s="311"/>
      <c r="I25" s="311"/>
    </row>
    <row r="26" spans="1:9" x14ac:dyDescent="0.3">
      <c r="A26" s="300" t="s">
        <v>81</v>
      </c>
      <c r="B26" s="311">
        <v>21876</v>
      </c>
      <c r="C26" s="311">
        <v>-4957</v>
      </c>
      <c r="D26" s="311"/>
      <c r="E26" s="311"/>
      <c r="F26" s="311"/>
      <c r="G26" s="311"/>
      <c r="H26" s="311"/>
      <c r="I26" s="311"/>
    </row>
    <row r="27" spans="1:9" x14ac:dyDescent="0.3">
      <c r="A27" s="300" t="s">
        <v>82</v>
      </c>
      <c r="B27" s="311">
        <v>23735</v>
      </c>
      <c r="C27" s="311">
        <v>19306</v>
      </c>
      <c r="D27" s="311"/>
      <c r="E27" s="311"/>
      <c r="F27" s="311"/>
      <c r="G27" s="311"/>
      <c r="H27" s="311"/>
      <c r="I27" s="311"/>
    </row>
    <row r="28" spans="1:9" x14ac:dyDescent="0.3">
      <c r="A28" s="300" t="s">
        <v>83</v>
      </c>
      <c r="B28" s="311"/>
      <c r="C28" s="311">
        <v>3375</v>
      </c>
      <c r="D28" s="311"/>
      <c r="E28" s="311"/>
      <c r="F28" s="311"/>
      <c r="G28" s="311"/>
      <c r="H28" s="311"/>
      <c r="I28" s="311"/>
    </row>
    <row r="29" spans="1:9" x14ac:dyDescent="0.3">
      <c r="A29" s="300" t="s">
        <v>84</v>
      </c>
      <c r="B29" s="311">
        <v>-361653</v>
      </c>
      <c r="C29" s="311"/>
      <c r="D29" s="311"/>
      <c r="E29" s="311"/>
      <c r="F29" s="311"/>
      <c r="G29" s="311"/>
      <c r="H29" s="311"/>
      <c r="I29" s="311"/>
    </row>
    <row r="30" spans="1:9" x14ac:dyDescent="0.3">
      <c r="A30" s="300" t="s">
        <v>85</v>
      </c>
      <c r="B30" s="311"/>
      <c r="C30" s="311"/>
      <c r="D30" s="311"/>
      <c r="E30" s="311"/>
      <c r="F30" s="311"/>
      <c r="G30" s="311"/>
      <c r="H30" s="311">
        <v>96799</v>
      </c>
      <c r="I30" s="311"/>
    </row>
    <row r="31" spans="1:9" x14ac:dyDescent="0.3">
      <c r="A31" s="300" t="s">
        <v>245</v>
      </c>
      <c r="B31" s="311"/>
      <c r="C31" s="311"/>
      <c r="D31" s="311"/>
      <c r="E31" s="311"/>
      <c r="F31" s="311"/>
      <c r="G31" s="311"/>
      <c r="H31" s="311">
        <v>0</v>
      </c>
      <c r="I31" s="311">
        <v>3182</v>
      </c>
    </row>
    <row r="32" spans="1:9" x14ac:dyDescent="0.3">
      <c r="A32" s="300" t="s">
        <v>246</v>
      </c>
      <c r="B32" s="311"/>
      <c r="C32" s="311"/>
      <c r="D32" s="311"/>
      <c r="E32" s="311"/>
      <c r="F32" s="311"/>
      <c r="G32" s="311"/>
      <c r="H32" s="311"/>
      <c r="I32" s="311">
        <v>1642</v>
      </c>
    </row>
    <row r="33" spans="1:9" x14ac:dyDescent="0.3">
      <c r="A33" s="300" t="s">
        <v>247</v>
      </c>
      <c r="B33" s="311"/>
      <c r="C33" s="311"/>
      <c r="D33" s="311"/>
      <c r="E33" s="311"/>
      <c r="F33" s="311"/>
      <c r="G33" s="311"/>
      <c r="H33" s="311"/>
      <c r="I33" s="311">
        <v>-5822</v>
      </c>
    </row>
    <row r="34" spans="1:9" x14ac:dyDescent="0.3">
      <c r="A34" s="412" t="s">
        <v>248</v>
      </c>
      <c r="B34" s="408">
        <f t="shared" ref="B34:I34" si="0">B6+SUM(B8:B33)</f>
        <v>104302</v>
      </c>
      <c r="C34" s="408">
        <f t="shared" si="0"/>
        <v>400339</v>
      </c>
      <c r="D34" s="408">
        <f t="shared" si="0"/>
        <v>400641</v>
      </c>
      <c r="E34" s="408">
        <f t="shared" si="0"/>
        <v>287841</v>
      </c>
      <c r="F34" s="408">
        <f t="shared" si="0"/>
        <v>214077</v>
      </c>
      <c r="G34" s="408">
        <f t="shared" si="0"/>
        <v>291055</v>
      </c>
      <c r="H34" s="408">
        <f t="shared" si="0"/>
        <v>414093</v>
      </c>
      <c r="I34" s="408">
        <f t="shared" si="0"/>
        <v>473503</v>
      </c>
    </row>
    <row r="35" spans="1:9" x14ac:dyDescent="0.3">
      <c r="A35" s="405" t="s">
        <v>249</v>
      </c>
      <c r="B35" s="311"/>
      <c r="C35" s="311"/>
      <c r="D35" s="311"/>
      <c r="E35" s="311"/>
      <c r="F35" s="311"/>
      <c r="G35" s="311"/>
      <c r="H35" s="311"/>
      <c r="I35" s="311"/>
    </row>
    <row r="36" spans="1:9" x14ac:dyDescent="0.3">
      <c r="A36" s="300" t="s">
        <v>88</v>
      </c>
      <c r="B36" s="311">
        <v>-303033</v>
      </c>
      <c r="C36" s="311">
        <v>69289</v>
      </c>
      <c r="D36" s="311">
        <v>-398443</v>
      </c>
      <c r="E36" s="311">
        <v>-41619</v>
      </c>
      <c r="F36" s="311">
        <v>232644</v>
      </c>
      <c r="G36" s="311">
        <v>88135</v>
      </c>
      <c r="H36" s="311">
        <v>-154371</v>
      </c>
      <c r="I36" s="311">
        <v>-34886</v>
      </c>
    </row>
    <row r="37" spans="1:9" x14ac:dyDescent="0.3">
      <c r="A37" s="300" t="s">
        <v>20</v>
      </c>
      <c r="B37" s="311">
        <v>-127698</v>
      </c>
      <c r="C37" s="311">
        <v>-93612</v>
      </c>
      <c r="D37" s="311">
        <v>37986</v>
      </c>
      <c r="E37" s="311">
        <v>-49283</v>
      </c>
      <c r="F37" s="311">
        <v>35863</v>
      </c>
      <c r="G37" s="311">
        <v>24450</v>
      </c>
      <c r="H37" s="311">
        <v>-88114</v>
      </c>
      <c r="I37" s="311">
        <v>-74136</v>
      </c>
    </row>
    <row r="38" spans="1:9" x14ac:dyDescent="0.3">
      <c r="A38" s="300" t="s">
        <v>10</v>
      </c>
      <c r="B38" s="311">
        <v>-80790</v>
      </c>
      <c r="C38" s="311">
        <v>20892</v>
      </c>
      <c r="D38" s="311">
        <v>29891</v>
      </c>
      <c r="E38" s="311">
        <v>-1338</v>
      </c>
      <c r="F38" s="311">
        <v>-6622</v>
      </c>
      <c r="G38" s="311">
        <v>15933</v>
      </c>
      <c r="H38" s="311">
        <v>-5913</v>
      </c>
      <c r="I38" s="311">
        <v>4620</v>
      </c>
    </row>
    <row r="39" spans="1:9" x14ac:dyDescent="0.3">
      <c r="A39" s="300" t="s">
        <v>28</v>
      </c>
      <c r="B39" s="311">
        <v>187541</v>
      </c>
      <c r="C39" s="311">
        <v>99215</v>
      </c>
      <c r="D39" s="311">
        <v>-20966</v>
      </c>
      <c r="E39" s="311">
        <v>350091</v>
      </c>
      <c r="F39" s="311">
        <v>-242429</v>
      </c>
      <c r="G39" s="311">
        <v>-105514</v>
      </c>
      <c r="H39" s="311">
        <v>117598</v>
      </c>
      <c r="I39" s="311">
        <v>11757</v>
      </c>
    </row>
    <row r="40" spans="1:9" x14ac:dyDescent="0.3">
      <c r="A40" s="300" t="s">
        <v>30</v>
      </c>
      <c r="B40" s="311">
        <v>158753</v>
      </c>
      <c r="C40" s="311">
        <v>12722</v>
      </c>
      <c r="D40" s="311">
        <v>22646</v>
      </c>
      <c r="E40" s="311">
        <v>-3714</v>
      </c>
      <c r="F40" s="311">
        <v>-340</v>
      </c>
      <c r="G40" s="311">
        <v>5366</v>
      </c>
      <c r="H40" s="311">
        <v>3632</v>
      </c>
      <c r="I40" s="311">
        <v>16907</v>
      </c>
    </row>
    <row r="41" spans="1:9" x14ac:dyDescent="0.3">
      <c r="A41" s="300" t="s">
        <v>29</v>
      </c>
      <c r="B41" s="311">
        <v>3927</v>
      </c>
      <c r="C41" s="311">
        <v>45126</v>
      </c>
      <c r="D41" s="311">
        <v>42518</v>
      </c>
      <c r="E41" s="311">
        <v>107886</v>
      </c>
      <c r="F41" s="311">
        <v>-32883</v>
      </c>
      <c r="G41" s="311">
        <v>-147780</v>
      </c>
      <c r="H41" s="311">
        <v>75054</v>
      </c>
      <c r="I41" s="311">
        <v>-26088</v>
      </c>
    </row>
    <row r="42" spans="1:9" x14ac:dyDescent="0.3">
      <c r="A42" s="300" t="s">
        <v>31</v>
      </c>
      <c r="B42" s="311">
        <v>216513</v>
      </c>
      <c r="C42" s="311">
        <v>485448</v>
      </c>
      <c r="D42" s="311">
        <v>79087</v>
      </c>
      <c r="E42" s="311">
        <v>63273</v>
      </c>
      <c r="F42" s="311">
        <v>676</v>
      </c>
      <c r="G42" s="311">
        <v>11755</v>
      </c>
      <c r="H42" s="311">
        <v>72938</v>
      </c>
      <c r="I42" s="311">
        <v>46986</v>
      </c>
    </row>
    <row r="43" spans="1:9" x14ac:dyDescent="0.3">
      <c r="A43" s="300" t="s">
        <v>18</v>
      </c>
      <c r="B43" s="311"/>
      <c r="C43" s="311"/>
      <c r="D43" s="311">
        <v>7422</v>
      </c>
      <c r="E43" s="311">
        <v>-55566</v>
      </c>
      <c r="F43" s="311">
        <v>-4145</v>
      </c>
      <c r="G43" s="311"/>
      <c r="H43" s="311"/>
      <c r="I43" s="311"/>
    </row>
    <row r="44" spans="1:9" x14ac:dyDescent="0.3">
      <c r="A44" s="300" t="s">
        <v>89</v>
      </c>
      <c r="B44" s="311"/>
      <c r="C44" s="311"/>
      <c r="D44" s="311">
        <v>-24709</v>
      </c>
      <c r="E44" s="311">
        <v>-98356</v>
      </c>
      <c r="F44" s="311">
        <v>-31986</v>
      </c>
      <c r="G44" s="311"/>
      <c r="H44" s="311">
        <v>-25193</v>
      </c>
      <c r="I44" s="311"/>
    </row>
    <row r="45" spans="1:9" x14ac:dyDescent="0.3">
      <c r="A45" s="300" t="s">
        <v>90</v>
      </c>
      <c r="B45" s="311"/>
      <c r="C45" s="311"/>
      <c r="D45" s="311">
        <v>0</v>
      </c>
      <c r="E45" s="311">
        <v>-18919</v>
      </c>
      <c r="F45" s="311">
        <v>0</v>
      </c>
      <c r="G45" s="311"/>
      <c r="H45" s="311"/>
      <c r="I45" s="311"/>
    </row>
    <row r="46" spans="1:9" x14ac:dyDescent="0.3">
      <c r="A46" s="300" t="s">
        <v>91</v>
      </c>
      <c r="B46" s="311"/>
      <c r="C46" s="311"/>
      <c r="D46" s="311"/>
      <c r="E46" s="311">
        <v>0</v>
      </c>
      <c r="F46" s="311">
        <v>17077</v>
      </c>
      <c r="G46" s="311"/>
      <c r="H46" s="311"/>
      <c r="I46" s="311"/>
    </row>
    <row r="47" spans="1:9" x14ac:dyDescent="0.3">
      <c r="A47" s="300" t="s">
        <v>34</v>
      </c>
      <c r="B47" s="311"/>
      <c r="C47" s="311"/>
      <c r="D47" s="311"/>
      <c r="E47" s="311"/>
      <c r="F47" s="311"/>
      <c r="G47" s="311"/>
      <c r="H47" s="311"/>
      <c r="I47" s="311">
        <v>-89880</v>
      </c>
    </row>
    <row r="48" spans="1:9" x14ac:dyDescent="0.3">
      <c r="B48" s="408">
        <f t="shared" ref="B48:I48" si="1">B34+SUM(B36:B47)</f>
        <v>159515</v>
      </c>
      <c r="C48" s="408">
        <f t="shared" si="1"/>
        <v>1039419</v>
      </c>
      <c r="D48" s="408">
        <f t="shared" si="1"/>
        <v>176073</v>
      </c>
      <c r="E48" s="408">
        <f t="shared" si="1"/>
        <v>540296</v>
      </c>
      <c r="F48" s="408">
        <f t="shared" si="1"/>
        <v>181932</v>
      </c>
      <c r="G48" s="408">
        <f t="shared" si="1"/>
        <v>183400</v>
      </c>
      <c r="H48" s="408">
        <f t="shared" si="1"/>
        <v>409724</v>
      </c>
      <c r="I48" s="408">
        <f t="shared" si="1"/>
        <v>328783</v>
      </c>
    </row>
    <row r="49" spans="1:10" x14ac:dyDescent="0.3">
      <c r="A49" s="289" t="s">
        <v>250</v>
      </c>
      <c r="B49" s="326">
        <f t="shared" ref="B49:I49" si="2">SUM(B8:B33)+SUM(B36:B47)</f>
        <v>-79844</v>
      </c>
      <c r="C49" s="326">
        <f t="shared" si="2"/>
        <v>877505</v>
      </c>
      <c r="D49" s="326">
        <f t="shared" si="2"/>
        <v>-35963</v>
      </c>
      <c r="E49" s="326">
        <f t="shared" si="2"/>
        <v>469659</v>
      </c>
      <c r="F49" s="326">
        <f t="shared" si="2"/>
        <v>-27895</v>
      </c>
      <c r="G49" s="326">
        <f t="shared" si="2"/>
        <v>-105478</v>
      </c>
      <c r="H49" s="326">
        <f t="shared" si="2"/>
        <v>39750</v>
      </c>
      <c r="I49" s="326">
        <f t="shared" si="2"/>
        <v>-58836</v>
      </c>
    </row>
    <row r="50" spans="1:10" x14ac:dyDescent="0.3">
      <c r="A50" s="413" t="s">
        <v>251</v>
      </c>
      <c r="B50" s="414">
        <f t="shared" ref="B50:I50" si="3">B49+B6</f>
        <v>159515</v>
      </c>
      <c r="C50" s="414">
        <f t="shared" si="3"/>
        <v>1039419</v>
      </c>
      <c r="D50" s="414">
        <f t="shared" si="3"/>
        <v>176073</v>
      </c>
      <c r="E50" s="414">
        <f t="shared" si="3"/>
        <v>540296</v>
      </c>
      <c r="F50" s="414">
        <f t="shared" si="3"/>
        <v>181932</v>
      </c>
      <c r="G50" s="414">
        <f t="shared" si="3"/>
        <v>183400</v>
      </c>
      <c r="H50" s="414">
        <f t="shared" si="3"/>
        <v>409724</v>
      </c>
      <c r="I50" s="414">
        <f t="shared" si="3"/>
        <v>328783</v>
      </c>
    </row>
    <row r="51" spans="1:10" x14ac:dyDescent="0.3">
      <c r="A51" s="289"/>
      <c r="B51" s="408"/>
      <c r="C51" s="408"/>
      <c r="D51" s="408"/>
      <c r="E51" s="408"/>
      <c r="F51" s="408"/>
      <c r="G51" s="408"/>
      <c r="H51" s="408"/>
      <c r="I51" s="408"/>
    </row>
    <row r="52" spans="1:10" x14ac:dyDescent="0.3">
      <c r="A52" s="289" t="s">
        <v>252</v>
      </c>
      <c r="B52" s="305"/>
      <c r="C52" s="305"/>
      <c r="D52" s="305"/>
      <c r="E52" s="305"/>
      <c r="F52" s="305"/>
      <c r="G52" s="305"/>
      <c r="H52" s="305"/>
      <c r="I52" s="305"/>
      <c r="J52" s="302"/>
    </row>
    <row r="53" spans="1:10" x14ac:dyDescent="0.3">
      <c r="A53" s="300" t="s">
        <v>94</v>
      </c>
      <c r="B53" s="301">
        <v>84428</v>
      </c>
      <c r="C53" s="301">
        <v>12280</v>
      </c>
      <c r="D53" s="301">
        <v>53670</v>
      </c>
      <c r="E53" s="301">
        <v>306587</v>
      </c>
      <c r="F53" s="301">
        <v>220176</v>
      </c>
      <c r="G53" s="395">
        <v>176872</v>
      </c>
      <c r="H53" s="290">
        <v>21056</v>
      </c>
      <c r="I53" s="290">
        <v>6180</v>
      </c>
    </row>
    <row r="54" spans="1:10" x14ac:dyDescent="0.3">
      <c r="A54" s="300" t="s">
        <v>95</v>
      </c>
      <c r="B54" s="301">
        <v>400648</v>
      </c>
      <c r="C54" s="301">
        <v>159295</v>
      </c>
      <c r="D54" s="301">
        <v>202406</v>
      </c>
      <c r="E54" s="301">
        <v>309394</v>
      </c>
      <c r="F54" s="301">
        <v>1066465</v>
      </c>
      <c r="G54" s="395">
        <v>547856</v>
      </c>
      <c r="H54" s="290">
        <v>715280</v>
      </c>
      <c r="I54" s="290">
        <v>257303</v>
      </c>
    </row>
    <row r="55" spans="1:10" x14ac:dyDescent="0.3">
      <c r="A55" s="300" t="s">
        <v>96</v>
      </c>
      <c r="B55" s="301">
        <v>-17760</v>
      </c>
      <c r="C55" s="301">
        <v>-61806</v>
      </c>
      <c r="D55" s="301"/>
      <c r="E55" s="301">
        <v>-118902</v>
      </c>
      <c r="F55" s="301">
        <v>-490834</v>
      </c>
      <c r="G55" s="395">
        <v>-3333</v>
      </c>
      <c r="H55" s="290">
        <v>0</v>
      </c>
      <c r="I55" s="290">
        <v>-746</v>
      </c>
    </row>
    <row r="56" spans="1:10" x14ac:dyDescent="0.3">
      <c r="A56" s="300" t="s">
        <v>97</v>
      </c>
      <c r="B56" s="301">
        <v>-192689</v>
      </c>
      <c r="C56" s="301">
        <v>-339143</v>
      </c>
      <c r="D56" s="301">
        <v>-235556</v>
      </c>
      <c r="E56" s="301">
        <v>-939212</v>
      </c>
      <c r="F56" s="301">
        <v>-505568</v>
      </c>
      <c r="G56" s="395">
        <v>-491977</v>
      </c>
      <c r="H56" s="290">
        <v>-253530</v>
      </c>
      <c r="I56" s="290">
        <v>-167346</v>
      </c>
    </row>
    <row r="57" spans="1:10" x14ac:dyDescent="0.3">
      <c r="A57" s="300" t="s">
        <v>98</v>
      </c>
      <c r="B57" s="301">
        <v>-125705</v>
      </c>
      <c r="C57" s="301">
        <v>-1184489</v>
      </c>
      <c r="D57" s="301">
        <v>-120471</v>
      </c>
      <c r="E57" s="301">
        <v>-409072</v>
      </c>
      <c r="F57" s="301">
        <v>-78183</v>
      </c>
      <c r="G57" s="395"/>
      <c r="H57" s="290">
        <v>-159046</v>
      </c>
      <c r="I57" s="290">
        <v>3505</v>
      </c>
    </row>
    <row r="58" spans="1:10" x14ac:dyDescent="0.3">
      <c r="A58" s="300" t="s">
        <v>99</v>
      </c>
      <c r="B58" s="301">
        <v>-394823</v>
      </c>
      <c r="C58" s="301"/>
      <c r="D58" s="301"/>
      <c r="E58" s="301"/>
      <c r="F58" s="301"/>
      <c r="G58" s="395"/>
      <c r="H58" s="290">
        <v>17386</v>
      </c>
      <c r="I58" s="290">
        <v>-4638</v>
      </c>
    </row>
    <row r="59" spans="1:10" x14ac:dyDescent="0.3">
      <c r="A59" s="300" t="s">
        <v>100</v>
      </c>
      <c r="B59" s="301">
        <v>-74000</v>
      </c>
      <c r="C59" s="301"/>
      <c r="D59" s="301"/>
      <c r="E59" s="301"/>
      <c r="F59" s="301"/>
      <c r="G59" s="395"/>
      <c r="H59" s="290">
        <v>-1349042</v>
      </c>
    </row>
    <row r="60" spans="1:10" x14ac:dyDescent="0.3">
      <c r="A60" s="300" t="s">
        <v>101</v>
      </c>
      <c r="B60" s="301">
        <v>-678575</v>
      </c>
      <c r="C60" s="301">
        <v>-946497</v>
      </c>
      <c r="D60" s="301">
        <v>-14033</v>
      </c>
      <c r="E60" s="301"/>
      <c r="F60" s="301"/>
      <c r="G60" s="395"/>
    </row>
    <row r="61" spans="1:10" x14ac:dyDescent="0.3">
      <c r="A61" s="300" t="s">
        <v>102</v>
      </c>
      <c r="B61" s="301"/>
      <c r="C61" s="301">
        <v>-16108</v>
      </c>
      <c r="D61" s="301">
        <v>-85037</v>
      </c>
      <c r="E61" s="301">
        <v>163597</v>
      </c>
      <c r="F61" s="301">
        <v>-184138</v>
      </c>
      <c r="G61" s="301"/>
      <c r="H61" s="301"/>
      <c r="I61" s="301"/>
    </row>
    <row r="62" spans="1:10" x14ac:dyDescent="0.3">
      <c r="A62" s="300" t="s">
        <v>103</v>
      </c>
      <c r="B62" s="301"/>
      <c r="C62" s="301"/>
      <c r="D62" s="301"/>
      <c r="E62" s="301"/>
      <c r="F62" s="301"/>
      <c r="G62" s="301">
        <v>-92475</v>
      </c>
      <c r="H62" s="301"/>
      <c r="I62" s="301"/>
    </row>
    <row r="63" spans="1:10" x14ac:dyDescent="0.3">
      <c r="A63" s="300" t="s">
        <v>104</v>
      </c>
      <c r="B63" s="301"/>
      <c r="C63" s="301"/>
      <c r="D63" s="301"/>
      <c r="E63" s="301"/>
      <c r="F63" s="301"/>
      <c r="G63" s="301">
        <v>-47029</v>
      </c>
      <c r="H63" s="301"/>
      <c r="I63" s="301"/>
    </row>
    <row r="64" spans="1:10" x14ac:dyDescent="0.3">
      <c r="A64" s="300" t="s">
        <v>105</v>
      </c>
      <c r="B64" s="301">
        <v>-105582</v>
      </c>
      <c r="C64" s="301"/>
      <c r="D64" s="301"/>
      <c r="E64" s="301"/>
      <c r="F64" s="301"/>
      <c r="G64" s="301"/>
      <c r="H64" s="301"/>
      <c r="I64" s="301"/>
    </row>
    <row r="65" spans="1:9" x14ac:dyDescent="0.3">
      <c r="A65" s="300" t="s">
        <v>106</v>
      </c>
      <c r="B65" s="301">
        <v>-82420</v>
      </c>
      <c r="C65" s="301"/>
      <c r="D65" s="301"/>
      <c r="E65" s="301"/>
      <c r="F65" s="301"/>
      <c r="G65" s="301"/>
      <c r="H65" s="301"/>
      <c r="I65" s="301"/>
    </row>
    <row r="66" spans="1:9" x14ac:dyDescent="0.3">
      <c r="A66" s="300" t="s">
        <v>107</v>
      </c>
      <c r="B66" s="301"/>
      <c r="C66" s="301"/>
      <c r="D66" s="301"/>
      <c r="E66" s="301"/>
      <c r="F66" s="301"/>
      <c r="G66" s="301"/>
      <c r="H66" s="301">
        <v>-33474</v>
      </c>
      <c r="I66" s="301"/>
    </row>
    <row r="67" spans="1:9" x14ac:dyDescent="0.3">
      <c r="A67" s="413" t="s">
        <v>253</v>
      </c>
      <c r="B67" s="414">
        <f t="shared" ref="B67:I67" si="4">SUM(B53:B66)</f>
        <v>-1186478</v>
      </c>
      <c r="C67" s="414">
        <f t="shared" si="4"/>
        <v>-2376468</v>
      </c>
      <c r="D67" s="414">
        <f t="shared" si="4"/>
        <v>-199021</v>
      </c>
      <c r="E67" s="414">
        <f t="shared" si="4"/>
        <v>-687608</v>
      </c>
      <c r="F67" s="414">
        <f t="shared" si="4"/>
        <v>27918</v>
      </c>
      <c r="G67" s="414">
        <f t="shared" si="4"/>
        <v>89914</v>
      </c>
      <c r="H67" s="414">
        <f t="shared" si="4"/>
        <v>-1041370</v>
      </c>
      <c r="I67" s="414">
        <f t="shared" si="4"/>
        <v>94258</v>
      </c>
    </row>
    <row r="68" spans="1:9" x14ac:dyDescent="0.3">
      <c r="A68" s="289"/>
      <c r="B68" s="408"/>
      <c r="C68" s="408"/>
      <c r="D68" s="408"/>
      <c r="E68" s="408"/>
      <c r="F68" s="408"/>
      <c r="G68" s="408"/>
      <c r="H68" s="408"/>
      <c r="I68" s="408"/>
    </row>
    <row r="69" spans="1:9" x14ac:dyDescent="0.3">
      <c r="A69" s="289" t="s">
        <v>254</v>
      </c>
      <c r="B69" s="305"/>
      <c r="C69" s="305"/>
      <c r="D69" s="305"/>
      <c r="E69" s="305"/>
      <c r="F69" s="305"/>
      <c r="G69" s="305"/>
      <c r="H69" s="305"/>
      <c r="I69" s="305"/>
    </row>
    <row r="70" spans="1:9" x14ac:dyDescent="0.3">
      <c r="A70" s="300" t="s">
        <v>110</v>
      </c>
      <c r="B70" s="301">
        <v>-250835</v>
      </c>
      <c r="C70" s="301">
        <v>-117041</v>
      </c>
      <c r="D70" s="301">
        <v>-117470</v>
      </c>
      <c r="E70" s="301">
        <v>-128987</v>
      </c>
      <c r="F70" s="301">
        <v>-139352</v>
      </c>
      <c r="G70" s="301">
        <v>-145111</v>
      </c>
      <c r="H70" s="301">
        <v>-152021</v>
      </c>
      <c r="I70" s="301">
        <v>-161234</v>
      </c>
    </row>
    <row r="71" spans="1:9" x14ac:dyDescent="0.3">
      <c r="A71" s="300" t="s">
        <v>111</v>
      </c>
      <c r="B71" s="301"/>
      <c r="C71" s="301">
        <v>264650</v>
      </c>
      <c r="D71" s="301">
        <v>133580</v>
      </c>
      <c r="E71" s="301">
        <v>50000</v>
      </c>
      <c r="F71" s="301">
        <v>640000</v>
      </c>
      <c r="G71" s="301"/>
      <c r="H71" s="301"/>
      <c r="I71" s="301"/>
    </row>
    <row r="72" spans="1:9" x14ac:dyDescent="0.3">
      <c r="A72" s="300" t="s">
        <v>112</v>
      </c>
      <c r="B72" s="301">
        <v>844193</v>
      </c>
      <c r="C72" s="301">
        <v>855305</v>
      </c>
      <c r="D72" s="301">
        <v>74250</v>
      </c>
      <c r="E72" s="301">
        <v>968914</v>
      </c>
      <c r="F72" s="301">
        <v>-866367</v>
      </c>
      <c r="G72" s="301">
        <v>-331866</v>
      </c>
      <c r="H72" s="301">
        <v>553148</v>
      </c>
      <c r="I72" s="301">
        <v>-868038</v>
      </c>
    </row>
    <row r="73" spans="1:9" x14ac:dyDescent="0.3">
      <c r="A73" s="300" t="s">
        <v>113</v>
      </c>
      <c r="B73" s="301"/>
      <c r="C73" s="301"/>
      <c r="D73" s="301">
        <v>-32014</v>
      </c>
      <c r="E73" s="301">
        <v>-42294</v>
      </c>
      <c r="F73" s="301">
        <v>-28557</v>
      </c>
      <c r="G73" s="301">
        <v>-44410</v>
      </c>
      <c r="H73" s="301">
        <v>-25410</v>
      </c>
      <c r="I73" s="301">
        <v>-35265</v>
      </c>
    </row>
    <row r="74" spans="1:9" x14ac:dyDescent="0.3">
      <c r="A74" s="300" t="s">
        <v>114</v>
      </c>
      <c r="B74" s="301"/>
      <c r="C74" s="301"/>
      <c r="D74" s="301">
        <v>-25692</v>
      </c>
      <c r="E74" s="301">
        <v>-19870</v>
      </c>
      <c r="F74" s="301">
        <v>-19870</v>
      </c>
      <c r="G74" s="301">
        <v>-19870</v>
      </c>
      <c r="H74" s="301">
        <v>-127347</v>
      </c>
      <c r="I74" s="301"/>
    </row>
    <row r="75" spans="1:9" x14ac:dyDescent="0.3">
      <c r="A75" s="300" t="s">
        <v>115</v>
      </c>
      <c r="B75" s="301">
        <v>-260265</v>
      </c>
      <c r="C75" s="301">
        <v>154613</v>
      </c>
      <c r="D75" s="301">
        <v>-35337</v>
      </c>
      <c r="E75" s="301">
        <v>17220</v>
      </c>
      <c r="F75" s="301">
        <v>-136232</v>
      </c>
      <c r="G75" s="301">
        <v>1344</v>
      </c>
      <c r="H75" s="301"/>
      <c r="I75" s="301"/>
    </row>
    <row r="76" spans="1:9" x14ac:dyDescent="0.3">
      <c r="A76" s="300" t="s">
        <v>116</v>
      </c>
      <c r="B76" s="301"/>
      <c r="C76" s="301">
        <v>-122</v>
      </c>
      <c r="D76" s="301"/>
      <c r="E76" s="301"/>
      <c r="F76" s="301"/>
      <c r="G76" s="301"/>
      <c r="H76" s="301"/>
      <c r="I76" s="301"/>
    </row>
    <row r="77" spans="1:9" x14ac:dyDescent="0.3">
      <c r="A77" s="300" t="s">
        <v>117</v>
      </c>
      <c r="B77" s="301">
        <v>1056706</v>
      </c>
      <c r="C77" s="301"/>
      <c r="D77" s="301"/>
      <c r="E77" s="301"/>
      <c r="F77" s="301"/>
      <c r="G77" s="301"/>
      <c r="H77" s="301"/>
      <c r="I77" s="301"/>
    </row>
    <row r="78" spans="1:9" x14ac:dyDescent="0.3">
      <c r="A78" s="300" t="s">
        <v>118</v>
      </c>
      <c r="B78" s="301"/>
      <c r="C78" s="301"/>
      <c r="D78" s="301"/>
      <c r="E78" s="301"/>
      <c r="F78" s="301"/>
      <c r="G78" s="301">
        <v>114946</v>
      </c>
      <c r="H78" s="301"/>
      <c r="I78" s="301"/>
    </row>
    <row r="79" spans="1:9" x14ac:dyDescent="0.3">
      <c r="A79" s="300" t="s">
        <v>119</v>
      </c>
      <c r="B79" s="301"/>
      <c r="C79" s="301"/>
      <c r="D79" s="301"/>
      <c r="E79" s="301"/>
      <c r="F79" s="301"/>
      <c r="G79" s="301">
        <v>32676</v>
      </c>
      <c r="H79" s="301"/>
      <c r="I79" s="301"/>
    </row>
    <row r="80" spans="1:9" x14ac:dyDescent="0.3">
      <c r="A80" s="300" t="s">
        <v>120</v>
      </c>
      <c r="B80" s="301"/>
      <c r="C80" s="301"/>
      <c r="D80" s="301"/>
      <c r="E80" s="301"/>
      <c r="F80" s="301"/>
      <c r="G80" s="301"/>
      <c r="H80" s="301">
        <v>63481</v>
      </c>
      <c r="I80" s="301"/>
    </row>
    <row r="81" spans="1:9" x14ac:dyDescent="0.3">
      <c r="A81" s="300" t="s">
        <v>121</v>
      </c>
      <c r="B81" s="301"/>
      <c r="C81" s="301"/>
      <c r="D81" s="301"/>
      <c r="E81" s="301"/>
      <c r="F81" s="301"/>
      <c r="G81" s="301"/>
      <c r="H81" s="301">
        <v>192733</v>
      </c>
      <c r="I81" s="301"/>
    </row>
    <row r="82" spans="1:9" x14ac:dyDescent="0.3">
      <c r="A82" s="300" t="s">
        <v>122</v>
      </c>
      <c r="B82" s="301"/>
      <c r="C82" s="301"/>
      <c r="D82" s="301"/>
      <c r="E82" s="301"/>
      <c r="F82" s="301">
        <v>0</v>
      </c>
      <c r="G82" s="301">
        <v>-50000</v>
      </c>
      <c r="H82" s="301">
        <v>-50970</v>
      </c>
      <c r="I82" s="301">
        <v>-423032</v>
      </c>
    </row>
    <row r="83" spans="1:9" x14ac:dyDescent="0.3">
      <c r="A83" s="300" t="s">
        <v>255</v>
      </c>
      <c r="B83" s="301"/>
      <c r="C83" s="301"/>
      <c r="D83" s="301"/>
      <c r="E83" s="301"/>
      <c r="F83" s="301"/>
      <c r="G83" s="301"/>
      <c r="H83" s="301">
        <v>0</v>
      </c>
      <c r="I83" s="301">
        <v>1000000</v>
      </c>
    </row>
    <row r="84" spans="1:9" x14ac:dyDescent="0.3">
      <c r="A84" s="300" t="s">
        <v>256</v>
      </c>
      <c r="B84" s="301"/>
      <c r="C84" s="301"/>
      <c r="D84" s="301"/>
      <c r="E84" s="301"/>
      <c r="F84" s="301"/>
      <c r="G84" s="301"/>
      <c r="H84" s="301"/>
      <c r="I84" s="301"/>
    </row>
    <row r="85" spans="1:9" x14ac:dyDescent="0.3">
      <c r="A85" s="290" t="s">
        <v>257</v>
      </c>
      <c r="B85" s="305"/>
      <c r="C85" s="305"/>
      <c r="D85" s="305"/>
      <c r="E85" s="305"/>
      <c r="F85" s="305"/>
      <c r="G85" s="305"/>
      <c r="H85" s="305"/>
      <c r="I85" s="305"/>
    </row>
    <row r="86" spans="1:9" x14ac:dyDescent="0.3">
      <c r="A86" s="413" t="s">
        <v>258</v>
      </c>
      <c r="B86" s="414">
        <f t="shared" ref="B86:I86" si="5">SUM(B70:B85)</f>
        <v>1389799</v>
      </c>
      <c r="C86" s="414">
        <f t="shared" si="5"/>
        <v>1157405</v>
      </c>
      <c r="D86" s="414">
        <f t="shared" si="5"/>
        <v>-2683</v>
      </c>
      <c r="E86" s="414">
        <f t="shared" si="5"/>
        <v>844983</v>
      </c>
      <c r="F86" s="414">
        <f t="shared" si="5"/>
        <v>-550378</v>
      </c>
      <c r="G86" s="414">
        <f t="shared" si="5"/>
        <v>-442291</v>
      </c>
      <c r="H86" s="414">
        <f t="shared" si="5"/>
        <v>453614</v>
      </c>
      <c r="I86" s="414">
        <f t="shared" si="5"/>
        <v>-487569</v>
      </c>
    </row>
    <row r="87" spans="1:9" ht="15" customHeight="1" x14ac:dyDescent="0.3"/>
    <row r="88" spans="1:9" x14ac:dyDescent="0.3">
      <c r="A88" s="415" t="s">
        <v>259</v>
      </c>
      <c r="B88" s="416">
        <f t="shared" ref="B88:I88" si="6">B50+B67+B86</f>
        <v>362836</v>
      </c>
      <c r="C88" s="416">
        <f t="shared" si="6"/>
        <v>-179644</v>
      </c>
      <c r="D88" s="416">
        <f t="shared" si="6"/>
        <v>-25631</v>
      </c>
      <c r="E88" s="416">
        <f t="shared" si="6"/>
        <v>697671</v>
      </c>
      <c r="F88" s="416">
        <f t="shared" si="6"/>
        <v>-340528</v>
      </c>
      <c r="G88" s="416">
        <f t="shared" si="6"/>
        <v>-168977</v>
      </c>
      <c r="H88" s="416">
        <f t="shared" si="6"/>
        <v>-178032</v>
      </c>
      <c r="I88" s="416">
        <f t="shared" si="6"/>
        <v>-64528</v>
      </c>
    </row>
    <row r="89" spans="1:9" x14ac:dyDescent="0.3">
      <c r="A89" s="290" t="s">
        <v>260</v>
      </c>
      <c r="B89" s="305"/>
      <c r="C89" s="305"/>
      <c r="D89" s="305"/>
      <c r="E89" s="305"/>
      <c r="F89" s="305"/>
      <c r="G89" s="305"/>
      <c r="H89" s="305"/>
      <c r="I89" s="305">
        <v>-59004</v>
      </c>
    </row>
    <row r="90" spans="1:9" x14ac:dyDescent="0.3">
      <c r="A90" s="290" t="s">
        <v>125</v>
      </c>
      <c r="B90" s="305"/>
      <c r="C90" s="305"/>
      <c r="D90" s="305"/>
      <c r="E90" s="305"/>
      <c r="F90" s="305"/>
      <c r="G90" s="305"/>
      <c r="H90" s="305">
        <v>-7163</v>
      </c>
      <c r="I90" s="305">
        <v>-10538</v>
      </c>
    </row>
    <row r="91" spans="1:9" x14ac:dyDescent="0.3">
      <c r="A91" s="415" t="s">
        <v>261</v>
      </c>
      <c r="B91" s="416">
        <f t="shared" ref="B91:H91" si="7">B88+SUM(B89:B90)</f>
        <v>362836</v>
      </c>
      <c r="C91" s="416">
        <f t="shared" si="7"/>
        <v>-179644</v>
      </c>
      <c r="D91" s="416">
        <f t="shared" si="7"/>
        <v>-25631</v>
      </c>
      <c r="E91" s="416">
        <f t="shared" si="7"/>
        <v>697671</v>
      </c>
      <c r="F91" s="416">
        <f t="shared" si="7"/>
        <v>-340528</v>
      </c>
      <c r="G91" s="416">
        <f t="shared" si="7"/>
        <v>-168977</v>
      </c>
      <c r="H91" s="416">
        <f t="shared" si="7"/>
        <v>-185195</v>
      </c>
      <c r="I91" s="416">
        <f>I88+SUM(I89:I90)</f>
        <v>-134070</v>
      </c>
    </row>
    <row r="92" spans="1:9" x14ac:dyDescent="0.3">
      <c r="A92" s="417" t="s">
        <v>126</v>
      </c>
      <c r="B92" s="418">
        <v>142547</v>
      </c>
      <c r="C92" s="418">
        <v>511616</v>
      </c>
      <c r="D92" s="418">
        <v>313595</v>
      </c>
      <c r="E92" s="418">
        <v>287964</v>
      </c>
      <c r="F92" s="418">
        <v>985635</v>
      </c>
      <c r="G92" s="418">
        <v>645107</v>
      </c>
      <c r="H92" s="418">
        <v>476130</v>
      </c>
      <c r="I92" s="418">
        <v>290935</v>
      </c>
    </row>
    <row r="93" spans="1:9" x14ac:dyDescent="0.3">
      <c r="A93" s="419" t="s">
        <v>127</v>
      </c>
      <c r="B93" s="420">
        <f>B92+B91</f>
        <v>505383</v>
      </c>
      <c r="C93" s="420">
        <f>C92+C91</f>
        <v>331972</v>
      </c>
      <c r="D93" s="420">
        <f t="shared" ref="D93:G93" si="8">D92+D91</f>
        <v>287964</v>
      </c>
      <c r="E93" s="420">
        <f t="shared" si="8"/>
        <v>985635</v>
      </c>
      <c r="F93" s="420">
        <f t="shared" si="8"/>
        <v>645107</v>
      </c>
      <c r="G93" s="420">
        <f t="shared" si="8"/>
        <v>476130</v>
      </c>
      <c r="H93" s="420">
        <f>H92+H91</f>
        <v>290935</v>
      </c>
      <c r="I93" s="420">
        <f>I92+I91</f>
        <v>156865</v>
      </c>
    </row>
    <row r="94" spans="1:9" x14ac:dyDescent="0.3">
      <c r="B94" s="421" t="s">
        <v>128</v>
      </c>
      <c r="C94" s="421" t="s">
        <v>128</v>
      </c>
      <c r="D94" s="305"/>
      <c r="E94" s="305"/>
      <c r="F94" s="305"/>
      <c r="G94" s="305"/>
      <c r="H94" s="305"/>
      <c r="I94" s="305"/>
    </row>
    <row r="95" spans="1:9" x14ac:dyDescent="0.3">
      <c r="B95" s="422"/>
      <c r="C95" s="422"/>
      <c r="D95" s="305"/>
      <c r="E95" s="305"/>
      <c r="F95" s="305"/>
      <c r="G95" s="305"/>
      <c r="H95" s="305"/>
      <c r="I95" s="305"/>
    </row>
    <row r="96" spans="1:9" x14ac:dyDescent="0.3">
      <c r="B96" s="305"/>
      <c r="C96" s="305"/>
      <c r="D96" s="305"/>
      <c r="E96" s="305"/>
      <c r="F96" s="305"/>
      <c r="G96" s="305"/>
      <c r="H96" s="305"/>
      <c r="I96" s="305"/>
    </row>
    <row r="97" spans="2:9" x14ac:dyDescent="0.3">
      <c r="B97" s="305"/>
      <c r="C97" s="305"/>
      <c r="D97" s="305"/>
      <c r="E97" s="305"/>
      <c r="F97" s="305"/>
      <c r="G97" s="305"/>
      <c r="H97" s="305"/>
      <c r="I97" s="305"/>
    </row>
    <row r="98" spans="2:9" x14ac:dyDescent="0.3">
      <c r="B98" s="305"/>
      <c r="C98" s="305"/>
      <c r="D98" s="305"/>
      <c r="E98" s="305"/>
      <c r="F98" s="305"/>
      <c r="G98" s="305"/>
      <c r="H98" s="305"/>
      <c r="I98" s="305"/>
    </row>
    <row r="99" spans="2:9" x14ac:dyDescent="0.3">
      <c r="B99" s="305"/>
      <c r="C99" s="305"/>
      <c r="D99" s="305"/>
      <c r="E99" s="305"/>
      <c r="F99" s="305"/>
      <c r="G99" s="305"/>
      <c r="H99" s="305"/>
      <c r="I99" s="305"/>
    </row>
    <row r="100" spans="2:9" x14ac:dyDescent="0.3">
      <c r="B100" s="305"/>
      <c r="C100" s="305"/>
      <c r="D100" s="305"/>
      <c r="E100" s="305"/>
      <c r="F100" s="305"/>
      <c r="G100" s="305"/>
      <c r="H100" s="305"/>
      <c r="I100" s="305"/>
    </row>
    <row r="101" spans="2:9" x14ac:dyDescent="0.3">
      <c r="B101" s="305"/>
      <c r="C101" s="305"/>
      <c r="D101" s="305"/>
      <c r="E101" s="305"/>
      <c r="F101" s="305"/>
      <c r="G101" s="305"/>
      <c r="H101" s="305"/>
      <c r="I101" s="305"/>
    </row>
    <row r="102" spans="2:9" x14ac:dyDescent="0.3">
      <c r="B102" s="305"/>
      <c r="C102" s="305"/>
      <c r="D102" s="305"/>
      <c r="E102" s="305"/>
      <c r="F102" s="305"/>
      <c r="G102" s="305"/>
      <c r="H102" s="305"/>
      <c r="I102" s="305"/>
    </row>
    <row r="103" spans="2:9" x14ac:dyDescent="0.3">
      <c r="B103" s="305"/>
      <c r="C103" s="305"/>
      <c r="D103" s="305"/>
      <c r="E103" s="305"/>
      <c r="F103" s="305"/>
      <c r="G103" s="305"/>
      <c r="H103" s="305"/>
      <c r="I103" s="305"/>
    </row>
    <row r="104" spans="2:9" x14ac:dyDescent="0.3">
      <c r="B104" s="305"/>
      <c r="C104" s="305"/>
      <c r="D104" s="305"/>
      <c r="E104" s="305"/>
      <c r="F104" s="305"/>
      <c r="G104" s="305"/>
      <c r="H104" s="305"/>
      <c r="I104" s="305"/>
    </row>
    <row r="105" spans="2:9" x14ac:dyDescent="0.3">
      <c r="B105" s="305"/>
      <c r="C105" s="305"/>
      <c r="D105" s="305"/>
      <c r="E105" s="305"/>
      <c r="F105" s="305"/>
      <c r="G105" s="305"/>
      <c r="H105" s="305"/>
      <c r="I105" s="305"/>
    </row>
    <row r="106" spans="2:9" x14ac:dyDescent="0.3">
      <c r="B106" s="305"/>
      <c r="C106" s="305"/>
      <c r="D106" s="305"/>
      <c r="E106" s="305"/>
      <c r="F106" s="305"/>
      <c r="G106" s="305"/>
      <c r="H106" s="305"/>
      <c r="I106" s="305"/>
    </row>
    <row r="107" spans="2:9" x14ac:dyDescent="0.3">
      <c r="B107" s="305"/>
      <c r="C107" s="305"/>
      <c r="D107" s="305"/>
      <c r="E107" s="305"/>
      <c r="F107" s="305"/>
      <c r="G107" s="305"/>
      <c r="H107" s="305"/>
      <c r="I107" s="305"/>
    </row>
    <row r="108" spans="2:9" x14ac:dyDescent="0.3">
      <c r="B108" s="305"/>
      <c r="C108" s="305"/>
      <c r="D108" s="305"/>
      <c r="E108" s="305"/>
      <c r="F108" s="305"/>
      <c r="G108" s="305"/>
      <c r="H108" s="305"/>
      <c r="I108" s="305"/>
    </row>
    <row r="109" spans="2:9" x14ac:dyDescent="0.3">
      <c r="B109" s="305"/>
      <c r="C109" s="305"/>
      <c r="D109" s="305"/>
      <c r="E109" s="305"/>
      <c r="F109" s="305"/>
      <c r="G109" s="305"/>
      <c r="H109" s="305"/>
      <c r="I109" s="305"/>
    </row>
    <row r="110" spans="2:9" x14ac:dyDescent="0.3">
      <c r="B110" s="305"/>
      <c r="C110" s="305"/>
      <c r="D110" s="305"/>
      <c r="E110" s="305"/>
      <c r="F110" s="305"/>
      <c r="G110" s="305"/>
      <c r="H110" s="305"/>
      <c r="I110" s="305"/>
    </row>
    <row r="111" spans="2:9" x14ac:dyDescent="0.3">
      <c r="B111" s="305"/>
      <c r="C111" s="305"/>
      <c r="D111" s="305"/>
      <c r="E111" s="305"/>
      <c r="F111" s="305"/>
      <c r="G111" s="305"/>
      <c r="H111" s="305"/>
      <c r="I111" s="305"/>
    </row>
    <row r="112" spans="2:9" x14ac:dyDescent="0.3">
      <c r="B112" s="305"/>
      <c r="C112" s="305"/>
      <c r="D112" s="305"/>
      <c r="E112" s="305"/>
      <c r="F112" s="305"/>
      <c r="G112" s="305"/>
      <c r="H112" s="305"/>
      <c r="I112" s="305"/>
    </row>
    <row r="113" spans="2:9" x14ac:dyDescent="0.3">
      <c r="B113" s="305"/>
      <c r="C113" s="305"/>
      <c r="D113" s="305"/>
      <c r="E113" s="305"/>
      <c r="F113" s="305"/>
      <c r="G113" s="305"/>
      <c r="H113" s="305"/>
      <c r="I113" s="305"/>
    </row>
    <row r="114" spans="2:9" x14ac:dyDescent="0.3">
      <c r="B114" s="305"/>
      <c r="C114" s="305"/>
      <c r="D114" s="305"/>
      <c r="E114" s="305"/>
      <c r="F114" s="305"/>
      <c r="G114" s="305"/>
      <c r="H114" s="305"/>
      <c r="I114" s="305"/>
    </row>
    <row r="115" spans="2:9" x14ac:dyDescent="0.3">
      <c r="B115" s="305"/>
      <c r="C115" s="305"/>
      <c r="D115" s="305"/>
      <c r="E115" s="305"/>
      <c r="F115" s="305"/>
      <c r="G115" s="305"/>
      <c r="H115" s="305"/>
      <c r="I115" s="305"/>
    </row>
    <row r="116" spans="2:9" x14ac:dyDescent="0.3">
      <c r="B116" s="305"/>
      <c r="C116" s="305"/>
      <c r="D116" s="305"/>
      <c r="E116" s="305"/>
      <c r="F116" s="305"/>
      <c r="G116" s="305"/>
      <c r="H116" s="305"/>
      <c r="I116" s="305"/>
    </row>
    <row r="117" spans="2:9" x14ac:dyDescent="0.3">
      <c r="B117" s="305"/>
      <c r="C117" s="305"/>
      <c r="D117" s="305"/>
      <c r="E117" s="305"/>
      <c r="F117" s="305"/>
      <c r="G117" s="305"/>
      <c r="H117" s="305"/>
      <c r="I117" s="305"/>
    </row>
    <row r="118" spans="2:9" x14ac:dyDescent="0.3">
      <c r="B118" s="305"/>
      <c r="C118" s="305"/>
      <c r="D118" s="305"/>
      <c r="E118" s="305"/>
      <c r="F118" s="305"/>
      <c r="G118" s="305"/>
      <c r="H118" s="305"/>
      <c r="I118" s="305"/>
    </row>
    <row r="119" spans="2:9" x14ac:dyDescent="0.3">
      <c r="B119" s="305"/>
      <c r="C119" s="305"/>
      <c r="D119" s="305"/>
      <c r="E119" s="305"/>
      <c r="F119" s="305"/>
      <c r="G119" s="305"/>
      <c r="H119" s="305"/>
      <c r="I119" s="305"/>
    </row>
    <row r="120" spans="2:9" x14ac:dyDescent="0.3">
      <c r="B120" s="305"/>
      <c r="C120" s="305"/>
      <c r="D120" s="305"/>
      <c r="E120" s="305"/>
      <c r="F120" s="305"/>
      <c r="G120" s="305"/>
      <c r="H120" s="305"/>
      <c r="I120" s="305"/>
    </row>
    <row r="121" spans="2:9" x14ac:dyDescent="0.3">
      <c r="B121" s="305"/>
      <c r="C121" s="305"/>
      <c r="D121" s="305"/>
      <c r="E121" s="305"/>
      <c r="F121" s="305"/>
      <c r="G121" s="305"/>
      <c r="H121" s="305"/>
      <c r="I121" s="305"/>
    </row>
    <row r="122" spans="2:9" x14ac:dyDescent="0.3">
      <c r="B122" s="305"/>
      <c r="C122" s="305"/>
      <c r="D122" s="305"/>
      <c r="E122" s="305"/>
      <c r="F122" s="305"/>
      <c r="G122" s="305"/>
      <c r="H122" s="305"/>
      <c r="I122" s="305"/>
    </row>
    <row r="123" spans="2:9" x14ac:dyDescent="0.3">
      <c r="B123" s="305"/>
      <c r="C123" s="305"/>
      <c r="D123" s="305"/>
      <c r="E123" s="305"/>
      <c r="F123" s="305"/>
      <c r="G123" s="305"/>
      <c r="H123" s="305"/>
      <c r="I123" s="305"/>
    </row>
    <row r="124" spans="2:9" x14ac:dyDescent="0.3">
      <c r="B124" s="305"/>
      <c r="C124" s="305"/>
      <c r="D124" s="305"/>
      <c r="E124" s="305"/>
      <c r="F124" s="305"/>
      <c r="G124" s="305"/>
      <c r="H124" s="305"/>
      <c r="I124" s="305"/>
    </row>
    <row r="125" spans="2:9" x14ac:dyDescent="0.3">
      <c r="B125" s="305"/>
      <c r="C125" s="305"/>
      <c r="D125" s="305"/>
      <c r="E125" s="305"/>
      <c r="F125" s="305"/>
      <c r="G125" s="305"/>
      <c r="H125" s="305"/>
      <c r="I125" s="305"/>
    </row>
    <row r="126" spans="2:9" x14ac:dyDescent="0.3">
      <c r="B126" s="305"/>
      <c r="C126" s="305"/>
      <c r="D126" s="305"/>
      <c r="E126" s="305"/>
      <c r="F126" s="305"/>
      <c r="G126" s="305"/>
      <c r="H126" s="305"/>
      <c r="I126" s="305"/>
    </row>
    <row r="127" spans="2:9" x14ac:dyDescent="0.3">
      <c r="B127" s="305"/>
      <c r="C127" s="305"/>
      <c r="D127" s="305"/>
      <c r="E127" s="305"/>
      <c r="F127" s="305"/>
      <c r="G127" s="305"/>
      <c r="H127" s="305"/>
      <c r="I127" s="305"/>
    </row>
    <row r="128" spans="2:9" x14ac:dyDescent="0.3">
      <c r="B128" s="305"/>
      <c r="C128" s="305"/>
      <c r="D128" s="305"/>
      <c r="E128" s="305"/>
      <c r="F128" s="305"/>
      <c r="G128" s="305"/>
      <c r="H128" s="305"/>
      <c r="I128" s="305"/>
    </row>
    <row r="129" spans="2:9" x14ac:dyDescent="0.3">
      <c r="B129" s="305"/>
      <c r="C129" s="305"/>
      <c r="D129" s="305"/>
      <c r="E129" s="305"/>
      <c r="F129" s="305"/>
      <c r="G129" s="305"/>
      <c r="H129" s="305"/>
      <c r="I129" s="305"/>
    </row>
    <row r="130" spans="2:9" x14ac:dyDescent="0.3">
      <c r="B130" s="305"/>
      <c r="C130" s="305"/>
      <c r="D130" s="305"/>
      <c r="E130" s="305"/>
      <c r="F130" s="305"/>
      <c r="G130" s="305"/>
      <c r="H130" s="305"/>
      <c r="I130" s="305"/>
    </row>
    <row r="131" spans="2:9" x14ac:dyDescent="0.3">
      <c r="B131" s="305"/>
      <c r="C131" s="305"/>
      <c r="D131" s="305"/>
      <c r="E131" s="305"/>
      <c r="F131" s="305"/>
      <c r="G131" s="305"/>
      <c r="H131" s="305"/>
      <c r="I131" s="305"/>
    </row>
    <row r="132" spans="2:9" x14ac:dyDescent="0.3">
      <c r="B132" s="305"/>
      <c r="C132" s="305"/>
      <c r="D132" s="305"/>
      <c r="E132" s="305"/>
      <c r="F132" s="305"/>
      <c r="G132" s="305"/>
      <c r="H132" s="305"/>
      <c r="I132" s="305"/>
    </row>
    <row r="133" spans="2:9" x14ac:dyDescent="0.3">
      <c r="B133" s="305"/>
      <c r="C133" s="305"/>
      <c r="D133" s="305"/>
      <c r="E133" s="305"/>
      <c r="F133" s="305"/>
      <c r="G133" s="305"/>
      <c r="H133" s="305"/>
      <c r="I133" s="305"/>
    </row>
    <row r="134" spans="2:9" x14ac:dyDescent="0.3">
      <c r="B134" s="305"/>
      <c r="C134" s="305"/>
      <c r="D134" s="305"/>
      <c r="E134" s="305"/>
      <c r="F134" s="305"/>
      <c r="G134" s="305"/>
      <c r="H134" s="305"/>
      <c r="I134" s="305"/>
    </row>
    <row r="135" spans="2:9" x14ac:dyDescent="0.3">
      <c r="B135" s="305"/>
      <c r="C135" s="305"/>
      <c r="D135" s="305"/>
      <c r="E135" s="305"/>
      <c r="F135" s="305"/>
      <c r="G135" s="305"/>
      <c r="H135" s="305"/>
      <c r="I135" s="305"/>
    </row>
    <row r="136" spans="2:9" x14ac:dyDescent="0.3">
      <c r="B136" s="305"/>
      <c r="C136" s="305"/>
      <c r="D136" s="305"/>
      <c r="E136" s="305"/>
      <c r="F136" s="305"/>
      <c r="G136" s="305"/>
      <c r="H136" s="305"/>
      <c r="I136" s="305"/>
    </row>
    <row r="137" spans="2:9" x14ac:dyDescent="0.3">
      <c r="B137" s="305"/>
      <c r="C137" s="305"/>
      <c r="D137" s="305"/>
      <c r="E137" s="305"/>
      <c r="F137" s="305"/>
      <c r="G137" s="305"/>
      <c r="H137" s="305"/>
      <c r="I137" s="305"/>
    </row>
    <row r="138" spans="2:9" x14ac:dyDescent="0.3">
      <c r="B138" s="305"/>
      <c r="C138" s="305"/>
      <c r="D138" s="305"/>
      <c r="E138" s="305"/>
      <c r="F138" s="305"/>
      <c r="G138" s="305"/>
      <c r="H138" s="305"/>
      <c r="I138" s="305"/>
    </row>
    <row r="139" spans="2:9" x14ac:dyDescent="0.3">
      <c r="B139" s="305"/>
      <c r="C139" s="305"/>
      <c r="D139" s="305"/>
      <c r="E139" s="305"/>
      <c r="F139" s="305"/>
      <c r="G139" s="305"/>
      <c r="H139" s="305"/>
      <c r="I139" s="305"/>
    </row>
    <row r="140" spans="2:9" x14ac:dyDescent="0.3">
      <c r="B140" s="305"/>
      <c r="C140" s="305"/>
      <c r="D140" s="305"/>
      <c r="E140" s="305"/>
      <c r="F140" s="305"/>
      <c r="G140" s="305"/>
      <c r="H140" s="305"/>
      <c r="I140" s="305"/>
    </row>
    <row r="141" spans="2:9" x14ac:dyDescent="0.3">
      <c r="B141" s="305"/>
      <c r="C141" s="305"/>
      <c r="D141" s="305"/>
      <c r="E141" s="305"/>
      <c r="F141" s="305"/>
      <c r="G141" s="305"/>
      <c r="H141" s="305"/>
      <c r="I141" s="305"/>
    </row>
    <row r="142" spans="2:9" x14ac:dyDescent="0.3">
      <c r="B142" s="305"/>
      <c r="C142" s="305"/>
      <c r="D142" s="305"/>
      <c r="E142" s="305"/>
      <c r="F142" s="305"/>
      <c r="G142" s="305"/>
      <c r="H142" s="305"/>
      <c r="I142" s="305"/>
    </row>
    <row r="143" spans="2:9" x14ac:dyDescent="0.3">
      <c r="B143" s="305"/>
      <c r="C143" s="305"/>
      <c r="D143" s="305"/>
      <c r="E143" s="305"/>
      <c r="F143" s="305"/>
      <c r="G143" s="305"/>
      <c r="H143" s="305"/>
      <c r="I143" s="305"/>
    </row>
    <row r="144" spans="2:9" x14ac:dyDescent="0.3">
      <c r="B144" s="305"/>
      <c r="C144" s="305"/>
      <c r="D144" s="305"/>
      <c r="E144" s="305"/>
      <c r="F144" s="305"/>
      <c r="G144" s="305"/>
      <c r="H144" s="305"/>
      <c r="I144" s="305"/>
    </row>
    <row r="145" spans="2:9" x14ac:dyDescent="0.3">
      <c r="B145" s="305"/>
      <c r="C145" s="305"/>
      <c r="D145" s="305"/>
      <c r="E145" s="305"/>
      <c r="F145" s="305"/>
      <c r="G145" s="305"/>
      <c r="H145" s="305"/>
      <c r="I145" s="305"/>
    </row>
    <row r="146" spans="2:9" x14ac:dyDescent="0.3">
      <c r="B146" s="305"/>
      <c r="C146" s="305"/>
      <c r="D146" s="305"/>
      <c r="E146" s="305"/>
      <c r="F146" s="305"/>
      <c r="G146" s="305"/>
      <c r="H146" s="305"/>
      <c r="I146" s="305"/>
    </row>
    <row r="147" spans="2:9" x14ac:dyDescent="0.3">
      <c r="B147" s="305"/>
      <c r="C147" s="305"/>
      <c r="D147" s="305"/>
      <c r="E147" s="305"/>
      <c r="F147" s="305"/>
      <c r="G147" s="305"/>
      <c r="H147" s="305"/>
      <c r="I147" s="305"/>
    </row>
    <row r="148" spans="2:9" x14ac:dyDescent="0.3">
      <c r="B148" s="305"/>
      <c r="C148" s="305"/>
      <c r="D148" s="305"/>
      <c r="E148" s="305"/>
      <c r="F148" s="305"/>
      <c r="G148" s="305"/>
      <c r="H148" s="305"/>
      <c r="I148" s="305"/>
    </row>
    <row r="149" spans="2:9" x14ac:dyDescent="0.3">
      <c r="B149" s="305"/>
      <c r="C149" s="305"/>
      <c r="D149" s="305"/>
      <c r="E149" s="305"/>
      <c r="F149" s="305"/>
      <c r="G149" s="305"/>
      <c r="H149" s="305"/>
      <c r="I149" s="305"/>
    </row>
    <row r="150" spans="2:9" x14ac:dyDescent="0.3">
      <c r="B150" s="305"/>
      <c r="C150" s="305"/>
      <c r="D150" s="305"/>
      <c r="E150" s="305"/>
      <c r="F150" s="305"/>
      <c r="G150" s="305"/>
      <c r="H150" s="305"/>
      <c r="I150" s="305"/>
    </row>
    <row r="151" spans="2:9" x14ac:dyDescent="0.3">
      <c r="B151" s="305"/>
      <c r="C151" s="305"/>
      <c r="D151" s="305"/>
      <c r="E151" s="305"/>
      <c r="F151" s="305"/>
      <c r="G151" s="305"/>
      <c r="H151" s="305"/>
      <c r="I151" s="305"/>
    </row>
    <row r="152" spans="2:9" x14ac:dyDescent="0.3">
      <c r="B152" s="305"/>
      <c r="C152" s="305"/>
      <c r="D152" s="305"/>
      <c r="E152" s="305"/>
      <c r="F152" s="305"/>
      <c r="G152" s="305"/>
      <c r="H152" s="305"/>
      <c r="I152" s="305"/>
    </row>
    <row r="153" spans="2:9" x14ac:dyDescent="0.3">
      <c r="B153" s="305"/>
      <c r="C153" s="305"/>
      <c r="D153" s="305"/>
      <c r="E153" s="305"/>
      <c r="F153" s="305"/>
      <c r="G153" s="305"/>
      <c r="H153" s="305"/>
      <c r="I153" s="305"/>
    </row>
    <row r="154" spans="2:9" x14ac:dyDescent="0.3">
      <c r="B154" s="305"/>
      <c r="C154" s="305"/>
      <c r="D154" s="305"/>
      <c r="E154" s="305"/>
      <c r="F154" s="305"/>
      <c r="G154" s="305"/>
      <c r="H154" s="305"/>
      <c r="I154" s="305"/>
    </row>
  </sheetData>
  <pageMargins left="0.7" right="0.7" top="0.75" bottom="0.75" header="0.3" footer="0.3"/>
  <pageSetup paperSize="9" orientation="portrait" r:id="rId1"/>
  <customProperties>
    <customPr name="EpmWorksheetKeyString_GUID" r:id="rId2"/>
  </customProperties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44B3B-A3B2-4B00-8EBE-22737D2E53E6}">
  <sheetPr>
    <tabColor theme="0" tint="-0.249977111117893"/>
  </sheetPr>
  <dimension ref="A1:E168"/>
  <sheetViews>
    <sheetView showGridLines="0" zoomScale="120" zoomScaleNormal="12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B4" sqref="B4"/>
    </sheetView>
  </sheetViews>
  <sheetFormatPr defaultColWidth="11.453125" defaultRowHeight="14" x14ac:dyDescent="0.3"/>
  <cols>
    <col min="1" max="1" width="49.54296875" style="290" customWidth="1"/>
    <col min="2" max="2" width="14.453125" style="290" customWidth="1"/>
    <col min="3" max="3" width="10.81640625" style="290" bestFit="1" customWidth="1"/>
    <col min="4" max="4" width="7.81640625" style="290" customWidth="1"/>
    <col min="5" max="5" width="18.54296875" style="290" bestFit="1" customWidth="1"/>
    <col min="6" max="16384" width="11.453125" style="290"/>
  </cols>
  <sheetData>
    <row r="1" spans="1:4" x14ac:dyDescent="0.3">
      <c r="A1" s="289" t="s">
        <v>223</v>
      </c>
    </row>
    <row r="2" spans="1:4" ht="25" x14ac:dyDescent="0.5">
      <c r="A2" s="291" t="s">
        <v>262</v>
      </c>
      <c r="B2" s="291"/>
    </row>
    <row r="3" spans="1:4" x14ac:dyDescent="0.3">
      <c r="A3" s="289" t="s">
        <v>263</v>
      </c>
    </row>
    <row r="4" spans="1:4" ht="45" x14ac:dyDescent="0.35">
      <c r="A4" s="293"/>
      <c r="B4" s="295" t="s">
        <v>264</v>
      </c>
    </row>
    <row r="5" spans="1:4" ht="15.5" x14ac:dyDescent="0.35">
      <c r="A5" s="104"/>
      <c r="B5" s="297"/>
    </row>
    <row r="6" spans="1:4" x14ac:dyDescent="0.3">
      <c r="A6" s="289" t="s">
        <v>4</v>
      </c>
      <c r="B6" s="298"/>
    </row>
    <row r="7" spans="1:4" x14ac:dyDescent="0.3">
      <c r="A7" s="289" t="s">
        <v>5</v>
      </c>
      <c r="B7" s="299"/>
    </row>
    <row r="8" spans="1:4" x14ac:dyDescent="0.3">
      <c r="A8" s="300" t="s">
        <v>6</v>
      </c>
      <c r="B8" s="301">
        <v>0</v>
      </c>
      <c r="C8" s="298"/>
      <c r="D8" s="298"/>
    </row>
    <row r="9" spans="1:4" x14ac:dyDescent="0.3">
      <c r="A9" s="300" t="s">
        <v>7</v>
      </c>
      <c r="B9" s="301">
        <v>0</v>
      </c>
    </row>
    <row r="10" spans="1:4" x14ac:dyDescent="0.3">
      <c r="A10" s="300" t="s">
        <v>8</v>
      </c>
      <c r="B10" s="301">
        <v>26442</v>
      </c>
      <c r="C10" s="298"/>
      <c r="D10" s="298"/>
    </row>
    <row r="11" spans="1:4" x14ac:dyDescent="0.3">
      <c r="A11" s="300" t="s">
        <v>9</v>
      </c>
      <c r="B11" s="301">
        <v>35631</v>
      </c>
      <c r="C11" s="298"/>
      <c r="D11" s="298"/>
    </row>
    <row r="12" spans="1:4" x14ac:dyDescent="0.3">
      <c r="A12" s="300" t="s">
        <v>10</v>
      </c>
      <c r="B12" s="301">
        <v>0</v>
      </c>
    </row>
    <row r="13" spans="1:4" x14ac:dyDescent="0.3">
      <c r="A13" s="300" t="s">
        <v>216</v>
      </c>
      <c r="B13" s="301">
        <v>0</v>
      </c>
    </row>
    <row r="14" spans="1:4" x14ac:dyDescent="0.3">
      <c r="A14" s="300" t="s">
        <v>12</v>
      </c>
      <c r="B14" s="301">
        <v>0</v>
      </c>
    </row>
    <row r="15" spans="1:4" ht="15" x14ac:dyDescent="0.3">
      <c r="A15" s="306" t="s">
        <v>13</v>
      </c>
      <c r="B15" s="307">
        <f t="shared" ref="B15" si="0">SUM(B8:B14)</f>
        <v>62073</v>
      </c>
      <c r="C15" s="302"/>
    </row>
    <row r="16" spans="1:4" x14ac:dyDescent="0.3">
      <c r="A16" s="405" t="s">
        <v>14</v>
      </c>
      <c r="B16" s="301"/>
      <c r="C16" s="300"/>
    </row>
    <row r="17" spans="1:5" x14ac:dyDescent="0.3">
      <c r="A17" s="300" t="s">
        <v>15</v>
      </c>
      <c r="B17" s="301">
        <v>28341</v>
      </c>
      <c r="C17" s="300"/>
    </row>
    <row r="18" spans="1:5" x14ac:dyDescent="0.3">
      <c r="A18" s="300" t="s">
        <v>16</v>
      </c>
      <c r="B18" s="301">
        <v>215472</v>
      </c>
      <c r="C18" s="300"/>
    </row>
    <row r="19" spans="1:5" x14ac:dyDescent="0.3">
      <c r="A19" s="300" t="s">
        <v>11</v>
      </c>
      <c r="B19" s="301">
        <v>38777</v>
      </c>
      <c r="C19" s="300"/>
      <c r="D19" s="298"/>
    </row>
    <row r="20" spans="1:5" x14ac:dyDescent="0.3">
      <c r="A20" s="300" t="s">
        <v>17</v>
      </c>
      <c r="B20" s="301">
        <v>6107</v>
      </c>
      <c r="C20" s="300"/>
      <c r="D20" s="298"/>
    </row>
    <row r="21" spans="1:5" x14ac:dyDescent="0.3">
      <c r="A21" s="300" t="s">
        <v>18</v>
      </c>
      <c r="B21" s="301">
        <v>8390</v>
      </c>
      <c r="C21" s="300"/>
      <c r="D21" s="298"/>
    </row>
    <row r="22" spans="1:5" x14ac:dyDescent="0.3">
      <c r="A22" s="300" t="s">
        <v>19</v>
      </c>
      <c r="B22" s="301">
        <v>5501543</v>
      </c>
    </row>
    <row r="23" spans="1:5" x14ac:dyDescent="0.3">
      <c r="A23" s="300" t="s">
        <v>20</v>
      </c>
      <c r="B23" s="301">
        <v>0</v>
      </c>
    </row>
    <row r="24" spans="1:5" ht="15" x14ac:dyDescent="0.3">
      <c r="A24" s="306" t="s">
        <v>21</v>
      </c>
      <c r="B24" s="307">
        <f>SUM(B17:B23)</f>
        <v>5798630</v>
      </c>
    </row>
    <row r="25" spans="1:5" ht="15" x14ac:dyDescent="0.3">
      <c r="A25" s="313" t="s">
        <v>22</v>
      </c>
      <c r="B25" s="314">
        <f t="shared" ref="B25" si="1">B15+B24</f>
        <v>5860703</v>
      </c>
      <c r="E25" s="308"/>
    </row>
    <row r="26" spans="1:5" x14ac:dyDescent="0.3">
      <c r="B26" s="305"/>
    </row>
    <row r="27" spans="1:5" x14ac:dyDescent="0.3">
      <c r="A27" s="289" t="s">
        <v>23</v>
      </c>
      <c r="B27" s="305"/>
    </row>
    <row r="28" spans="1:5" x14ac:dyDescent="0.3">
      <c r="A28" s="289" t="s">
        <v>24</v>
      </c>
      <c r="B28" s="305"/>
    </row>
    <row r="29" spans="1:5" x14ac:dyDescent="0.3">
      <c r="A29" s="300" t="s">
        <v>25</v>
      </c>
      <c r="B29" s="311">
        <v>0</v>
      </c>
      <c r="C29" s="298"/>
      <c r="D29" s="298"/>
    </row>
    <row r="30" spans="1:5" x14ac:dyDescent="0.3">
      <c r="A30" s="300" t="s">
        <v>26</v>
      </c>
      <c r="B30" s="311">
        <v>0</v>
      </c>
    </row>
    <row r="31" spans="1:5" x14ac:dyDescent="0.3">
      <c r="A31" s="300" t="s">
        <v>27</v>
      </c>
      <c r="B31" s="311">
        <v>0</v>
      </c>
    </row>
    <row r="32" spans="1:5" x14ac:dyDescent="0.3">
      <c r="A32" s="300" t="s">
        <v>28</v>
      </c>
      <c r="B32" s="311">
        <v>8241</v>
      </c>
      <c r="C32" s="298"/>
      <c r="D32" s="298"/>
    </row>
    <row r="33" spans="1:4" x14ac:dyDescent="0.3">
      <c r="A33" s="300" t="s">
        <v>29</v>
      </c>
      <c r="B33" s="311">
        <v>896</v>
      </c>
      <c r="C33" s="298"/>
      <c r="D33" s="298"/>
    </row>
    <row r="34" spans="1:4" x14ac:dyDescent="0.3">
      <c r="A34" s="300" t="s">
        <v>30</v>
      </c>
      <c r="B34" s="311">
        <v>0</v>
      </c>
      <c r="C34" s="298"/>
      <c r="D34" s="298"/>
    </row>
    <row r="35" spans="1:4" x14ac:dyDescent="0.3">
      <c r="A35" s="300" t="s">
        <v>31</v>
      </c>
      <c r="B35" s="311">
        <v>25863</v>
      </c>
    </row>
    <row r="36" spans="1:4" ht="15" x14ac:dyDescent="0.3">
      <c r="A36" s="306" t="s">
        <v>32</v>
      </c>
      <c r="B36" s="307">
        <f t="shared" ref="B36" si="2">SUM(B29:B35)</f>
        <v>35000</v>
      </c>
    </row>
    <row r="37" spans="1:4" x14ac:dyDescent="0.3">
      <c r="A37" s="289" t="s">
        <v>33</v>
      </c>
      <c r="B37" s="305"/>
    </row>
    <row r="38" spans="1:4" x14ac:dyDescent="0.3">
      <c r="A38" s="300" t="s">
        <v>25</v>
      </c>
      <c r="B38" s="311">
        <v>0</v>
      </c>
      <c r="C38" s="298"/>
      <c r="D38" s="298"/>
    </row>
    <row r="39" spans="1:4" x14ac:dyDescent="0.3">
      <c r="A39" s="300" t="s">
        <v>29</v>
      </c>
      <c r="B39" s="311">
        <v>0</v>
      </c>
    </row>
    <row r="40" spans="1:4" x14ac:dyDescent="0.3">
      <c r="A40" s="300" t="s">
        <v>28</v>
      </c>
      <c r="B40" s="311">
        <v>0</v>
      </c>
    </row>
    <row r="41" spans="1:4" x14ac:dyDescent="0.3">
      <c r="A41" s="300" t="s">
        <v>27</v>
      </c>
      <c r="B41" s="311">
        <v>0</v>
      </c>
      <c r="C41" s="298"/>
      <c r="D41" s="298"/>
    </row>
    <row r="42" spans="1:4" x14ac:dyDescent="0.3">
      <c r="A42" s="300" t="s">
        <v>30</v>
      </c>
      <c r="B42" s="311">
        <v>0</v>
      </c>
    </row>
    <row r="43" spans="1:4" x14ac:dyDescent="0.3">
      <c r="A43" s="300" t="s">
        <v>34</v>
      </c>
      <c r="B43" s="311">
        <v>0</v>
      </c>
    </row>
    <row r="44" spans="1:4" x14ac:dyDescent="0.3">
      <c r="A44" s="300" t="s">
        <v>31</v>
      </c>
      <c r="B44" s="311"/>
    </row>
    <row r="45" spans="1:4" ht="15" x14ac:dyDescent="0.3">
      <c r="A45" s="306" t="s">
        <v>35</v>
      </c>
      <c r="B45" s="307">
        <f t="shared" ref="B45" si="3">SUM(B38:B44)</f>
        <v>0</v>
      </c>
    </row>
    <row r="46" spans="1:4" x14ac:dyDescent="0.3">
      <c r="A46" s="318" t="s">
        <v>36</v>
      </c>
      <c r="B46" s="319">
        <f t="shared" ref="B46" si="4">B36+B45</f>
        <v>35000</v>
      </c>
    </row>
    <row r="47" spans="1:4" x14ac:dyDescent="0.3">
      <c r="A47" s="318" t="s">
        <v>37</v>
      </c>
      <c r="B47" s="319">
        <f t="shared" ref="B47" si="5">B25-B46</f>
        <v>5825703</v>
      </c>
    </row>
    <row r="48" spans="1:4" x14ac:dyDescent="0.3">
      <c r="A48" s="318" t="s">
        <v>38</v>
      </c>
      <c r="B48" s="319">
        <f t="shared" ref="B48" si="6">B47+B46</f>
        <v>5860703</v>
      </c>
    </row>
    <row r="49" spans="2:2" x14ac:dyDescent="0.3">
      <c r="B49" s="305"/>
    </row>
    <row r="50" spans="2:2" x14ac:dyDescent="0.3">
      <c r="B50" s="302"/>
    </row>
    <row r="51" spans="2:2" x14ac:dyDescent="0.3">
      <c r="B51" s="305"/>
    </row>
    <row r="52" spans="2:2" x14ac:dyDescent="0.3">
      <c r="B52" s="305"/>
    </row>
    <row r="53" spans="2:2" x14ac:dyDescent="0.3">
      <c r="B53" s="305"/>
    </row>
    <row r="54" spans="2:2" x14ac:dyDescent="0.3">
      <c r="B54" s="305"/>
    </row>
    <row r="55" spans="2:2" x14ac:dyDescent="0.3">
      <c r="B55" s="305"/>
    </row>
    <row r="56" spans="2:2" x14ac:dyDescent="0.3">
      <c r="B56" s="305"/>
    </row>
    <row r="57" spans="2:2" x14ac:dyDescent="0.3">
      <c r="B57" s="305"/>
    </row>
    <row r="58" spans="2:2" x14ac:dyDescent="0.3">
      <c r="B58" s="305"/>
    </row>
    <row r="59" spans="2:2" x14ac:dyDescent="0.3">
      <c r="B59" s="305"/>
    </row>
    <row r="60" spans="2:2" x14ac:dyDescent="0.3">
      <c r="B60" s="305"/>
    </row>
    <row r="61" spans="2:2" x14ac:dyDescent="0.3">
      <c r="B61" s="305"/>
    </row>
    <row r="62" spans="2:2" x14ac:dyDescent="0.3">
      <c r="B62" s="305"/>
    </row>
    <row r="63" spans="2:2" x14ac:dyDescent="0.3">
      <c r="B63" s="305"/>
    </row>
    <row r="64" spans="2:2" x14ac:dyDescent="0.3">
      <c r="B64" s="305"/>
    </row>
    <row r="65" spans="2:2" x14ac:dyDescent="0.3">
      <c r="B65" s="305"/>
    </row>
    <row r="66" spans="2:2" x14ac:dyDescent="0.3">
      <c r="B66" s="305"/>
    </row>
    <row r="67" spans="2:2" x14ac:dyDescent="0.3">
      <c r="B67" s="305"/>
    </row>
    <row r="68" spans="2:2" x14ac:dyDescent="0.3">
      <c r="B68" s="305"/>
    </row>
    <row r="69" spans="2:2" x14ac:dyDescent="0.3">
      <c r="B69" s="305"/>
    </row>
    <row r="70" spans="2:2" x14ac:dyDescent="0.3">
      <c r="B70" s="305"/>
    </row>
    <row r="71" spans="2:2" x14ac:dyDescent="0.3">
      <c r="B71" s="305"/>
    </row>
    <row r="72" spans="2:2" x14ac:dyDescent="0.3">
      <c r="B72" s="305"/>
    </row>
    <row r="73" spans="2:2" x14ac:dyDescent="0.3">
      <c r="B73" s="305"/>
    </row>
    <row r="74" spans="2:2" x14ac:dyDescent="0.3">
      <c r="B74" s="305"/>
    </row>
    <row r="75" spans="2:2" x14ac:dyDescent="0.3">
      <c r="B75" s="305"/>
    </row>
    <row r="76" spans="2:2" x14ac:dyDescent="0.3">
      <c r="B76" s="305"/>
    </row>
    <row r="77" spans="2:2" x14ac:dyDescent="0.3">
      <c r="B77" s="305"/>
    </row>
    <row r="78" spans="2:2" x14ac:dyDescent="0.3">
      <c r="B78" s="305"/>
    </row>
    <row r="79" spans="2:2" x14ac:dyDescent="0.3">
      <c r="B79" s="305"/>
    </row>
    <row r="80" spans="2:2" x14ac:dyDescent="0.3">
      <c r="B80" s="305"/>
    </row>
    <row r="81" spans="2:2" x14ac:dyDescent="0.3">
      <c r="B81" s="305"/>
    </row>
    <row r="82" spans="2:2" x14ac:dyDescent="0.3">
      <c r="B82" s="305"/>
    </row>
    <row r="83" spans="2:2" x14ac:dyDescent="0.3">
      <c r="B83" s="305"/>
    </row>
    <row r="84" spans="2:2" x14ac:dyDescent="0.3">
      <c r="B84" s="305"/>
    </row>
    <row r="85" spans="2:2" x14ac:dyDescent="0.3">
      <c r="B85" s="305"/>
    </row>
    <row r="86" spans="2:2" x14ac:dyDescent="0.3">
      <c r="B86" s="305"/>
    </row>
    <row r="87" spans="2:2" x14ac:dyDescent="0.3">
      <c r="B87" s="305"/>
    </row>
    <row r="88" spans="2:2" x14ac:dyDescent="0.3">
      <c r="B88" s="305"/>
    </row>
    <row r="89" spans="2:2" x14ac:dyDescent="0.3">
      <c r="B89" s="305"/>
    </row>
    <row r="90" spans="2:2" x14ac:dyDescent="0.3">
      <c r="B90" s="305"/>
    </row>
    <row r="91" spans="2:2" x14ac:dyDescent="0.3">
      <c r="B91" s="305"/>
    </row>
    <row r="92" spans="2:2" x14ac:dyDescent="0.3">
      <c r="B92" s="305"/>
    </row>
    <row r="93" spans="2:2" x14ac:dyDescent="0.3">
      <c r="B93" s="305"/>
    </row>
    <row r="94" spans="2:2" x14ac:dyDescent="0.3">
      <c r="B94" s="305"/>
    </row>
    <row r="95" spans="2:2" x14ac:dyDescent="0.3">
      <c r="B95" s="305"/>
    </row>
    <row r="96" spans="2:2" x14ac:dyDescent="0.3">
      <c r="B96" s="305"/>
    </row>
    <row r="97" spans="2:2" x14ac:dyDescent="0.3">
      <c r="B97" s="305"/>
    </row>
    <row r="98" spans="2:2" x14ac:dyDescent="0.3">
      <c r="B98" s="305"/>
    </row>
    <row r="99" spans="2:2" x14ac:dyDescent="0.3">
      <c r="B99" s="305"/>
    </row>
    <row r="100" spans="2:2" x14ac:dyDescent="0.3">
      <c r="B100" s="305"/>
    </row>
    <row r="101" spans="2:2" x14ac:dyDescent="0.3">
      <c r="B101" s="305"/>
    </row>
    <row r="102" spans="2:2" x14ac:dyDescent="0.3">
      <c r="B102" s="305"/>
    </row>
    <row r="103" spans="2:2" x14ac:dyDescent="0.3">
      <c r="B103" s="305"/>
    </row>
    <row r="104" spans="2:2" x14ac:dyDescent="0.3">
      <c r="B104" s="305"/>
    </row>
    <row r="105" spans="2:2" x14ac:dyDescent="0.3">
      <c r="B105" s="305"/>
    </row>
    <row r="106" spans="2:2" x14ac:dyDescent="0.3">
      <c r="B106" s="305"/>
    </row>
    <row r="107" spans="2:2" x14ac:dyDescent="0.3">
      <c r="B107" s="305"/>
    </row>
    <row r="108" spans="2:2" x14ac:dyDescent="0.3">
      <c r="B108" s="305"/>
    </row>
    <row r="109" spans="2:2" x14ac:dyDescent="0.3">
      <c r="B109" s="305"/>
    </row>
    <row r="110" spans="2:2" x14ac:dyDescent="0.3">
      <c r="B110" s="305"/>
    </row>
    <row r="111" spans="2:2" x14ac:dyDescent="0.3">
      <c r="B111" s="305"/>
    </row>
    <row r="112" spans="2:2" x14ac:dyDescent="0.3">
      <c r="B112" s="305"/>
    </row>
    <row r="113" spans="2:2" x14ac:dyDescent="0.3">
      <c r="B113" s="305"/>
    </row>
    <row r="114" spans="2:2" x14ac:dyDescent="0.3">
      <c r="B114" s="305"/>
    </row>
    <row r="115" spans="2:2" x14ac:dyDescent="0.3">
      <c r="B115" s="305"/>
    </row>
    <row r="116" spans="2:2" x14ac:dyDescent="0.3">
      <c r="B116" s="305"/>
    </row>
    <row r="117" spans="2:2" x14ac:dyDescent="0.3">
      <c r="B117" s="305"/>
    </row>
    <row r="118" spans="2:2" x14ac:dyDescent="0.3">
      <c r="B118" s="305"/>
    </row>
    <row r="119" spans="2:2" x14ac:dyDescent="0.3">
      <c r="B119" s="305"/>
    </row>
    <row r="120" spans="2:2" x14ac:dyDescent="0.3">
      <c r="B120" s="305"/>
    </row>
    <row r="121" spans="2:2" x14ac:dyDescent="0.3">
      <c r="B121" s="305"/>
    </row>
    <row r="122" spans="2:2" x14ac:dyDescent="0.3">
      <c r="B122" s="305"/>
    </row>
    <row r="123" spans="2:2" x14ac:dyDescent="0.3">
      <c r="B123" s="305"/>
    </row>
    <row r="124" spans="2:2" x14ac:dyDescent="0.3">
      <c r="B124" s="305"/>
    </row>
    <row r="125" spans="2:2" x14ac:dyDescent="0.3">
      <c r="B125" s="305"/>
    </row>
    <row r="126" spans="2:2" x14ac:dyDescent="0.3">
      <c r="B126" s="305"/>
    </row>
    <row r="127" spans="2:2" x14ac:dyDescent="0.3">
      <c r="B127" s="305"/>
    </row>
    <row r="128" spans="2:2" x14ac:dyDescent="0.3">
      <c r="B128" s="305"/>
    </row>
    <row r="129" spans="2:2" x14ac:dyDescent="0.3">
      <c r="B129" s="305"/>
    </row>
    <row r="130" spans="2:2" x14ac:dyDescent="0.3">
      <c r="B130" s="305"/>
    </row>
    <row r="131" spans="2:2" x14ac:dyDescent="0.3">
      <c r="B131" s="305"/>
    </row>
    <row r="132" spans="2:2" x14ac:dyDescent="0.3">
      <c r="B132" s="305"/>
    </row>
    <row r="133" spans="2:2" x14ac:dyDescent="0.3">
      <c r="B133" s="305"/>
    </row>
    <row r="134" spans="2:2" x14ac:dyDescent="0.3">
      <c r="B134" s="305"/>
    </row>
    <row r="135" spans="2:2" x14ac:dyDescent="0.3">
      <c r="B135" s="305"/>
    </row>
    <row r="136" spans="2:2" x14ac:dyDescent="0.3">
      <c r="B136" s="305"/>
    </row>
    <row r="137" spans="2:2" x14ac:dyDescent="0.3">
      <c r="B137" s="305"/>
    </row>
    <row r="138" spans="2:2" x14ac:dyDescent="0.3">
      <c r="B138" s="305"/>
    </row>
    <row r="139" spans="2:2" x14ac:dyDescent="0.3">
      <c r="B139" s="305"/>
    </row>
    <row r="140" spans="2:2" x14ac:dyDescent="0.3">
      <c r="B140" s="305"/>
    </row>
    <row r="141" spans="2:2" x14ac:dyDescent="0.3">
      <c r="B141" s="305"/>
    </row>
    <row r="142" spans="2:2" x14ac:dyDescent="0.3">
      <c r="B142" s="305"/>
    </row>
    <row r="143" spans="2:2" x14ac:dyDescent="0.3">
      <c r="B143" s="305"/>
    </row>
    <row r="144" spans="2:2" x14ac:dyDescent="0.3">
      <c r="B144" s="305"/>
    </row>
    <row r="145" spans="2:2" x14ac:dyDescent="0.3">
      <c r="B145" s="305"/>
    </row>
    <row r="146" spans="2:2" x14ac:dyDescent="0.3">
      <c r="B146" s="305"/>
    </row>
    <row r="147" spans="2:2" x14ac:dyDescent="0.3">
      <c r="B147" s="305"/>
    </row>
    <row r="148" spans="2:2" x14ac:dyDescent="0.3">
      <c r="B148" s="305"/>
    </row>
    <row r="149" spans="2:2" x14ac:dyDescent="0.3">
      <c r="B149" s="305"/>
    </row>
    <row r="150" spans="2:2" x14ac:dyDescent="0.3">
      <c r="B150" s="305"/>
    </row>
    <row r="151" spans="2:2" x14ac:dyDescent="0.3">
      <c r="B151" s="305"/>
    </row>
    <row r="152" spans="2:2" x14ac:dyDescent="0.3">
      <c r="B152" s="305"/>
    </row>
    <row r="153" spans="2:2" x14ac:dyDescent="0.3">
      <c r="B153" s="305"/>
    </row>
    <row r="154" spans="2:2" x14ac:dyDescent="0.3">
      <c r="B154" s="305"/>
    </row>
    <row r="155" spans="2:2" x14ac:dyDescent="0.3">
      <c r="B155" s="305"/>
    </row>
    <row r="156" spans="2:2" x14ac:dyDescent="0.3">
      <c r="B156" s="305"/>
    </row>
    <row r="157" spans="2:2" x14ac:dyDescent="0.3">
      <c r="B157" s="305"/>
    </row>
    <row r="158" spans="2:2" x14ac:dyDescent="0.3">
      <c r="B158" s="305"/>
    </row>
    <row r="159" spans="2:2" x14ac:dyDescent="0.3">
      <c r="B159" s="305"/>
    </row>
    <row r="160" spans="2:2" x14ac:dyDescent="0.3">
      <c r="B160" s="305"/>
    </row>
    <row r="161" spans="2:2" x14ac:dyDescent="0.3">
      <c r="B161" s="305"/>
    </row>
    <row r="162" spans="2:2" x14ac:dyDescent="0.3">
      <c r="B162" s="305"/>
    </row>
    <row r="163" spans="2:2" x14ac:dyDescent="0.3">
      <c r="B163" s="305"/>
    </row>
    <row r="164" spans="2:2" x14ac:dyDescent="0.3">
      <c r="B164" s="305"/>
    </row>
    <row r="165" spans="2:2" x14ac:dyDescent="0.3">
      <c r="B165" s="305"/>
    </row>
    <row r="166" spans="2:2" x14ac:dyDescent="0.3">
      <c r="B166" s="305"/>
    </row>
    <row r="167" spans="2:2" x14ac:dyDescent="0.3">
      <c r="B167" s="305"/>
    </row>
    <row r="168" spans="2:2" x14ac:dyDescent="0.3">
      <c r="B168" s="305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E3952-AE7E-487C-9FAA-07FB8D53E226}">
  <sheetPr>
    <tabColor theme="0" tint="-0.249977111117893"/>
  </sheetPr>
  <dimension ref="A1:C83"/>
  <sheetViews>
    <sheetView showGridLines="0" zoomScale="120" zoomScaleNormal="120" zoomScaleSheetLayoutView="100" workbookViewId="0">
      <pane xSplit="1" ySplit="5" topLeftCell="B6" activePane="bottomRight" state="frozen"/>
      <selection sqref="A1:XFD1048576"/>
      <selection pane="topRight" sqref="A1:XFD1048576"/>
      <selection pane="bottomLeft" sqref="A1:XFD1048576"/>
      <selection pane="bottomRight" activeCell="B6" sqref="B6"/>
    </sheetView>
  </sheetViews>
  <sheetFormatPr defaultColWidth="11.453125" defaultRowHeight="15" customHeight="1" x14ac:dyDescent="0.35"/>
  <cols>
    <col min="1" max="1" width="54.453125" style="364" customWidth="1"/>
    <col min="2" max="2" width="14.453125" style="364" customWidth="1"/>
    <col min="3" max="3" width="4" style="364" customWidth="1"/>
    <col min="4" max="16384" width="11.453125" style="364"/>
  </cols>
  <sheetData>
    <row r="1" spans="1:2" ht="15" customHeight="1" x14ac:dyDescent="0.3">
      <c r="A1" s="289" t="s">
        <v>223</v>
      </c>
    </row>
    <row r="2" spans="1:2" ht="25" x14ac:dyDescent="0.35">
      <c r="A2" s="365" t="s">
        <v>265</v>
      </c>
    </row>
    <row r="3" spans="1:2" ht="14.5" customHeight="1" x14ac:dyDescent="0.3">
      <c r="A3" s="289" t="s">
        <v>263</v>
      </c>
    </row>
    <row r="4" spans="1:2" ht="45" x14ac:dyDescent="0.35">
      <c r="A4" s="366"/>
      <c r="B4" s="295" t="s">
        <v>264</v>
      </c>
    </row>
    <row r="5" spans="1:2" ht="14" x14ac:dyDescent="0.35">
      <c r="A5" s="367" t="s">
        <v>239</v>
      </c>
      <c r="B5" s="368"/>
    </row>
    <row r="6" spans="1:2" ht="14" x14ac:dyDescent="0.35">
      <c r="A6" s="369" t="s">
        <v>40</v>
      </c>
      <c r="B6" s="373">
        <v>4330</v>
      </c>
    </row>
    <row r="7" spans="1:2" ht="14" x14ac:dyDescent="0.35">
      <c r="A7" s="364" t="s">
        <v>41</v>
      </c>
      <c r="B7" s="388">
        <v>1614</v>
      </c>
    </row>
    <row r="8" spans="1:2" ht="14" x14ac:dyDescent="0.35">
      <c r="A8" s="376" t="s">
        <v>42</v>
      </c>
      <c r="B8" s="377">
        <f t="shared" ref="B8" si="0">B6-B7</f>
        <v>2716</v>
      </c>
    </row>
    <row r="9" spans="1:2" ht="14" x14ac:dyDescent="0.35">
      <c r="A9" s="364" t="s">
        <v>44</v>
      </c>
      <c r="B9" s="388">
        <v>0</v>
      </c>
    </row>
    <row r="10" spans="1:2" ht="14" x14ac:dyDescent="0.35">
      <c r="A10" s="369" t="s">
        <v>45</v>
      </c>
      <c r="B10" s="373">
        <v>0</v>
      </c>
    </row>
    <row r="11" spans="1:2" ht="14" x14ac:dyDescent="0.35">
      <c r="A11" s="364" t="s">
        <v>46</v>
      </c>
      <c r="B11" s="388">
        <v>0</v>
      </c>
    </row>
    <row r="12" spans="1:2" ht="14" x14ac:dyDescent="0.35">
      <c r="A12" s="376" t="s">
        <v>47</v>
      </c>
      <c r="B12" s="377">
        <f t="shared" ref="B12" si="1">B8-B9-B10-B11</f>
        <v>2716</v>
      </c>
    </row>
    <row r="13" spans="1:2" ht="14" x14ac:dyDescent="0.35">
      <c r="A13" s="369" t="s">
        <v>49</v>
      </c>
      <c r="B13" s="402">
        <v>0</v>
      </c>
    </row>
    <row r="14" spans="1:2" ht="14" x14ac:dyDescent="0.35">
      <c r="A14" s="364" t="s">
        <v>51</v>
      </c>
      <c r="B14" s="403">
        <v>0</v>
      </c>
    </row>
    <row r="15" spans="1:2" ht="14" x14ac:dyDescent="0.35">
      <c r="A15" s="369" t="s">
        <v>52</v>
      </c>
      <c r="B15" s="402">
        <v>0</v>
      </c>
    </row>
    <row r="16" spans="1:2" ht="14" x14ac:dyDescent="0.35">
      <c r="A16" s="364" t="s">
        <v>135</v>
      </c>
      <c r="B16" s="403">
        <v>-36068</v>
      </c>
    </row>
    <row r="17" spans="1:3" ht="14" x14ac:dyDescent="0.35">
      <c r="A17" s="369" t="s">
        <v>53</v>
      </c>
      <c r="B17" s="402">
        <v>0</v>
      </c>
    </row>
    <row r="18" spans="1:3" ht="14" x14ac:dyDescent="0.35">
      <c r="A18" s="369" t="s">
        <v>54</v>
      </c>
      <c r="B18" s="402">
        <v>0</v>
      </c>
    </row>
    <row r="19" spans="1:3" ht="14" x14ac:dyDescent="0.35">
      <c r="A19" s="376" t="s">
        <v>55</v>
      </c>
      <c r="B19" s="377">
        <f>B12+B14+B13+B17+B18+B15+B16</f>
        <v>-33352</v>
      </c>
    </row>
    <row r="20" spans="1:3" ht="14" x14ac:dyDescent="0.35">
      <c r="A20" s="364" t="s">
        <v>56</v>
      </c>
      <c r="B20" s="403">
        <v>896</v>
      </c>
      <c r="C20" s="368"/>
    </row>
    <row r="21" spans="1:3" ht="14" x14ac:dyDescent="0.35">
      <c r="A21" s="376" t="s">
        <v>57</v>
      </c>
      <c r="B21" s="377">
        <f t="shared" ref="B21" si="2">B19-B20</f>
        <v>-34248</v>
      </c>
    </row>
    <row r="22" spans="1:3" ht="28" x14ac:dyDescent="0.35">
      <c r="A22" s="386" t="s">
        <v>58</v>
      </c>
      <c r="B22" s="403">
        <v>0</v>
      </c>
    </row>
    <row r="23" spans="1:3" ht="14" x14ac:dyDescent="0.35">
      <c r="A23" s="387" t="s">
        <v>59</v>
      </c>
      <c r="B23" s="404">
        <f t="shared" ref="B23" si="3">B21+B22</f>
        <v>-34248</v>
      </c>
    </row>
    <row r="24" spans="1:3" ht="14" x14ac:dyDescent="0.35">
      <c r="B24" s="388"/>
    </row>
    <row r="25" spans="1:3" ht="14" x14ac:dyDescent="0.35">
      <c r="B25" s="389"/>
    </row>
    <row r="26" spans="1:3" ht="14" x14ac:dyDescent="0.35">
      <c r="B26" s="389"/>
    </row>
    <row r="27" spans="1:3" ht="14" x14ac:dyDescent="0.35">
      <c r="B27" s="389"/>
    </row>
    <row r="28" spans="1:3" ht="14" x14ac:dyDescent="0.35">
      <c r="B28" s="389"/>
    </row>
    <row r="29" spans="1:3" ht="14" x14ac:dyDescent="0.35">
      <c r="B29" s="389"/>
    </row>
    <row r="30" spans="1:3" ht="14" x14ac:dyDescent="0.35">
      <c r="B30" s="389"/>
    </row>
    <row r="31" spans="1:3" ht="14" x14ac:dyDescent="0.35">
      <c r="B31" s="389"/>
    </row>
    <row r="32" spans="1:3" ht="14" x14ac:dyDescent="0.35">
      <c r="B32" s="389"/>
    </row>
    <row r="33" spans="1:3" s="391" customFormat="1" ht="14" x14ac:dyDescent="0.35">
      <c r="A33" s="364"/>
      <c r="B33" s="389"/>
      <c r="C33" s="364"/>
    </row>
    <row r="34" spans="1:3" s="391" customFormat="1" ht="14" x14ac:dyDescent="0.35">
      <c r="A34" s="364"/>
      <c r="B34" s="389"/>
      <c r="C34" s="364"/>
    </row>
    <row r="35" spans="1:3" s="391" customFormat="1" ht="14" x14ac:dyDescent="0.35">
      <c r="A35" s="364"/>
      <c r="B35" s="389"/>
      <c r="C35" s="364"/>
    </row>
    <row r="36" spans="1:3" s="391" customFormat="1" ht="14" x14ac:dyDescent="0.35">
      <c r="A36" s="364"/>
      <c r="B36" s="389"/>
      <c r="C36" s="364"/>
    </row>
    <row r="37" spans="1:3" s="391" customFormat="1" ht="14" x14ac:dyDescent="0.35">
      <c r="A37" s="364"/>
      <c r="B37" s="389"/>
      <c r="C37" s="364"/>
    </row>
    <row r="38" spans="1:3" s="391" customFormat="1" ht="14" x14ac:dyDescent="0.35">
      <c r="A38" s="364"/>
      <c r="B38" s="389"/>
      <c r="C38" s="364"/>
    </row>
    <row r="39" spans="1:3" s="391" customFormat="1" ht="14" x14ac:dyDescent="0.35">
      <c r="A39" s="364"/>
      <c r="B39" s="389"/>
      <c r="C39" s="364"/>
    </row>
    <row r="40" spans="1:3" s="391" customFormat="1" ht="14" x14ac:dyDescent="0.35">
      <c r="A40" s="364"/>
      <c r="B40" s="389"/>
      <c r="C40" s="364"/>
    </row>
    <row r="41" spans="1:3" s="391" customFormat="1" ht="14" x14ac:dyDescent="0.35">
      <c r="A41" s="364"/>
      <c r="B41" s="389"/>
      <c r="C41" s="364"/>
    </row>
    <row r="42" spans="1:3" s="391" customFormat="1" ht="14" x14ac:dyDescent="0.35">
      <c r="A42" s="364"/>
      <c r="B42" s="389"/>
      <c r="C42" s="364"/>
    </row>
    <row r="43" spans="1:3" s="391" customFormat="1" ht="14" x14ac:dyDescent="0.35">
      <c r="A43" s="364"/>
      <c r="B43" s="389"/>
      <c r="C43" s="364"/>
    </row>
    <row r="44" spans="1:3" s="391" customFormat="1" ht="14" x14ac:dyDescent="0.35">
      <c r="A44" s="364"/>
      <c r="B44" s="389"/>
      <c r="C44" s="364"/>
    </row>
    <row r="45" spans="1:3" s="391" customFormat="1" ht="14" x14ac:dyDescent="0.35">
      <c r="A45" s="364"/>
      <c r="B45" s="389"/>
      <c r="C45" s="364"/>
    </row>
    <row r="46" spans="1:3" s="391" customFormat="1" ht="14" x14ac:dyDescent="0.35">
      <c r="A46" s="364"/>
      <c r="B46" s="389"/>
      <c r="C46" s="364"/>
    </row>
    <row r="47" spans="1:3" s="391" customFormat="1" ht="14" x14ac:dyDescent="0.35">
      <c r="A47" s="364"/>
      <c r="B47" s="389"/>
      <c r="C47" s="364"/>
    </row>
    <row r="48" spans="1:3" s="391" customFormat="1" ht="14" x14ac:dyDescent="0.35">
      <c r="A48" s="364"/>
      <c r="B48" s="389"/>
      <c r="C48" s="364"/>
    </row>
    <row r="49" spans="1:3" s="391" customFormat="1" ht="14" x14ac:dyDescent="0.35">
      <c r="A49" s="364"/>
      <c r="B49" s="389"/>
      <c r="C49" s="364"/>
    </row>
    <row r="50" spans="1:3" s="391" customFormat="1" ht="14" x14ac:dyDescent="0.35">
      <c r="A50" s="364"/>
      <c r="B50" s="389"/>
      <c r="C50" s="364"/>
    </row>
    <row r="51" spans="1:3" s="391" customFormat="1" ht="14" x14ac:dyDescent="0.35">
      <c r="A51" s="364"/>
      <c r="B51" s="389"/>
      <c r="C51" s="364"/>
    </row>
    <row r="52" spans="1:3" s="391" customFormat="1" ht="14" x14ac:dyDescent="0.35">
      <c r="A52" s="364"/>
      <c r="B52" s="389"/>
      <c r="C52" s="364"/>
    </row>
    <row r="53" spans="1:3" s="391" customFormat="1" ht="14" x14ac:dyDescent="0.35">
      <c r="A53" s="364"/>
      <c r="B53" s="389"/>
      <c r="C53" s="364"/>
    </row>
    <row r="54" spans="1:3" s="391" customFormat="1" ht="14" x14ac:dyDescent="0.35">
      <c r="A54" s="364"/>
      <c r="B54" s="389"/>
      <c r="C54" s="364"/>
    </row>
    <row r="55" spans="1:3" s="391" customFormat="1" ht="14" x14ac:dyDescent="0.35">
      <c r="A55" s="364"/>
      <c r="B55" s="389"/>
      <c r="C55" s="364"/>
    </row>
    <row r="56" spans="1:3" s="391" customFormat="1" ht="14" x14ac:dyDescent="0.35">
      <c r="A56" s="364"/>
      <c r="B56" s="389"/>
      <c r="C56" s="364"/>
    </row>
    <row r="57" spans="1:3" s="391" customFormat="1" ht="14" x14ac:dyDescent="0.35">
      <c r="A57" s="364"/>
      <c r="B57" s="389"/>
      <c r="C57" s="364"/>
    </row>
    <row r="58" spans="1:3" s="391" customFormat="1" ht="14" x14ac:dyDescent="0.35">
      <c r="A58" s="364"/>
      <c r="B58" s="389"/>
      <c r="C58" s="364"/>
    </row>
    <row r="59" spans="1:3" s="391" customFormat="1" ht="14" x14ac:dyDescent="0.35">
      <c r="A59" s="364"/>
      <c r="B59" s="389"/>
      <c r="C59" s="364"/>
    </row>
    <row r="60" spans="1:3" s="391" customFormat="1" ht="14" x14ac:dyDescent="0.35">
      <c r="A60" s="364"/>
      <c r="B60" s="389"/>
      <c r="C60" s="364"/>
    </row>
    <row r="61" spans="1:3" s="391" customFormat="1" ht="14" x14ac:dyDescent="0.35">
      <c r="A61" s="364"/>
      <c r="B61" s="389"/>
      <c r="C61" s="364"/>
    </row>
    <row r="62" spans="1:3" s="391" customFormat="1" ht="14" x14ac:dyDescent="0.35">
      <c r="A62" s="364"/>
      <c r="B62" s="389"/>
      <c r="C62" s="364"/>
    </row>
    <row r="63" spans="1:3" s="391" customFormat="1" ht="14" x14ac:dyDescent="0.35">
      <c r="A63" s="364"/>
      <c r="B63" s="389"/>
      <c r="C63" s="364"/>
    </row>
    <row r="64" spans="1:3" s="391" customFormat="1" ht="14" x14ac:dyDescent="0.35">
      <c r="A64" s="364"/>
      <c r="B64" s="389"/>
      <c r="C64" s="364"/>
    </row>
    <row r="65" spans="1:3" s="391" customFormat="1" ht="14" x14ac:dyDescent="0.35">
      <c r="A65" s="364"/>
      <c r="B65" s="389"/>
      <c r="C65" s="364"/>
    </row>
    <row r="66" spans="1:3" s="391" customFormat="1" ht="14" x14ac:dyDescent="0.35">
      <c r="A66" s="364"/>
      <c r="B66" s="389"/>
      <c r="C66" s="364"/>
    </row>
    <row r="67" spans="1:3" s="391" customFormat="1" ht="14" x14ac:dyDescent="0.35">
      <c r="A67" s="364"/>
      <c r="B67" s="389"/>
      <c r="C67" s="364"/>
    </row>
    <row r="68" spans="1:3" s="391" customFormat="1" ht="14" x14ac:dyDescent="0.35">
      <c r="A68" s="364"/>
      <c r="B68" s="389"/>
      <c r="C68" s="364"/>
    </row>
    <row r="69" spans="1:3" s="391" customFormat="1" ht="14" x14ac:dyDescent="0.35">
      <c r="A69" s="364"/>
      <c r="B69" s="389"/>
      <c r="C69" s="364"/>
    </row>
    <row r="70" spans="1:3" s="391" customFormat="1" ht="14" x14ac:dyDescent="0.35">
      <c r="A70" s="364"/>
      <c r="B70" s="389"/>
      <c r="C70" s="364"/>
    </row>
    <row r="71" spans="1:3" s="391" customFormat="1" ht="14" x14ac:dyDescent="0.35">
      <c r="A71" s="364"/>
      <c r="B71" s="389"/>
      <c r="C71" s="364"/>
    </row>
    <row r="72" spans="1:3" s="391" customFormat="1" ht="14" x14ac:dyDescent="0.35">
      <c r="A72" s="364"/>
      <c r="B72" s="389"/>
      <c r="C72" s="364"/>
    </row>
    <row r="73" spans="1:3" s="391" customFormat="1" ht="14" x14ac:dyDescent="0.35">
      <c r="A73" s="364"/>
      <c r="B73" s="389"/>
      <c r="C73" s="364"/>
    </row>
    <row r="74" spans="1:3" s="391" customFormat="1" ht="14" x14ac:dyDescent="0.35">
      <c r="A74" s="364"/>
      <c r="B74" s="389"/>
      <c r="C74" s="364"/>
    </row>
    <row r="75" spans="1:3" s="391" customFormat="1" ht="14" x14ac:dyDescent="0.35">
      <c r="A75" s="364"/>
      <c r="B75" s="389"/>
      <c r="C75" s="364"/>
    </row>
    <row r="76" spans="1:3" s="391" customFormat="1" ht="14" x14ac:dyDescent="0.35">
      <c r="A76" s="364"/>
      <c r="B76" s="389"/>
      <c r="C76" s="364"/>
    </row>
    <row r="77" spans="1:3" s="391" customFormat="1" ht="14" x14ac:dyDescent="0.35">
      <c r="A77" s="364"/>
      <c r="B77" s="389"/>
      <c r="C77" s="364"/>
    </row>
    <row r="78" spans="1:3" s="391" customFormat="1" ht="14" x14ac:dyDescent="0.35">
      <c r="A78" s="364"/>
      <c r="B78" s="389"/>
      <c r="C78" s="364"/>
    </row>
    <row r="79" spans="1:3" s="391" customFormat="1" ht="14" x14ac:dyDescent="0.35">
      <c r="A79" s="364"/>
      <c r="B79" s="389"/>
      <c r="C79" s="364"/>
    </row>
    <row r="80" spans="1:3" s="391" customFormat="1" ht="14" x14ac:dyDescent="0.35">
      <c r="A80" s="364"/>
      <c r="B80" s="389"/>
      <c r="C80" s="364"/>
    </row>
    <row r="81" spans="1:3" s="391" customFormat="1" ht="14" x14ac:dyDescent="0.35">
      <c r="A81" s="364"/>
      <c r="B81" s="389"/>
      <c r="C81" s="364"/>
    </row>
    <row r="82" spans="1:3" s="391" customFormat="1" ht="14" x14ac:dyDescent="0.35">
      <c r="A82" s="364"/>
      <c r="B82" s="389"/>
      <c r="C82" s="364"/>
    </row>
    <row r="83" spans="1:3" s="391" customFormat="1" ht="14" x14ac:dyDescent="0.35">
      <c r="A83" s="364"/>
      <c r="B83" s="364"/>
      <c r="C83" s="364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A740C-7AD5-4FE0-AD90-10BF56CD4FA3}">
  <sheetPr>
    <tabColor theme="0" tint="-0.249977111117893"/>
  </sheetPr>
  <dimension ref="A1:G181"/>
  <sheetViews>
    <sheetView showGridLines="0" zoomScale="120" zoomScaleNormal="12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B4" sqref="B4"/>
    </sheetView>
  </sheetViews>
  <sheetFormatPr defaultColWidth="11.453125" defaultRowHeight="14" x14ac:dyDescent="0.3"/>
  <cols>
    <col min="1" max="1" width="49.54296875" style="290" customWidth="1"/>
    <col min="2" max="2" width="15.1796875" style="290" bestFit="1" customWidth="1"/>
    <col min="3" max="3" width="14.453125" style="290" customWidth="1"/>
    <col min="4" max="6" width="15.1796875" style="290" bestFit="1" customWidth="1"/>
    <col min="7" max="7" width="15.26953125" style="290" bestFit="1" customWidth="1"/>
    <col min="8" max="16384" width="11.453125" style="290"/>
  </cols>
  <sheetData>
    <row r="1" spans="1:7" x14ac:dyDescent="0.3">
      <c r="A1" s="289" t="s">
        <v>223</v>
      </c>
    </row>
    <row r="2" spans="1:7" ht="25" x14ac:dyDescent="0.5">
      <c r="A2" s="291" t="s">
        <v>262</v>
      </c>
      <c r="B2" s="291"/>
      <c r="C2" s="291"/>
      <c r="D2" s="291"/>
      <c r="E2" s="291"/>
      <c r="F2" s="291"/>
    </row>
    <row r="3" spans="1:7" x14ac:dyDescent="0.3">
      <c r="A3" s="289" t="s">
        <v>266</v>
      </c>
    </row>
    <row r="4" spans="1:7" ht="45" x14ac:dyDescent="0.35">
      <c r="A4" s="293"/>
      <c r="B4" s="295" t="s">
        <v>267</v>
      </c>
      <c r="C4" s="295" t="s">
        <v>264</v>
      </c>
      <c r="D4" s="295" t="s">
        <v>219</v>
      </c>
      <c r="E4" s="295" t="s">
        <v>268</v>
      </c>
      <c r="F4" s="295" t="s">
        <v>219</v>
      </c>
      <c r="G4" s="392" t="s">
        <v>269</v>
      </c>
    </row>
    <row r="5" spans="1:7" ht="15.5" x14ac:dyDescent="0.35">
      <c r="A5" s="104"/>
      <c r="B5" s="297"/>
      <c r="C5" s="297"/>
      <c r="D5" s="297"/>
      <c r="E5" s="297"/>
      <c r="F5" s="297"/>
      <c r="G5" s="393"/>
    </row>
    <row r="6" spans="1:7" x14ac:dyDescent="0.3">
      <c r="A6" s="289" t="s">
        <v>4</v>
      </c>
      <c r="B6" s="298"/>
      <c r="C6" s="298"/>
      <c r="D6" s="298"/>
      <c r="E6" s="298"/>
      <c r="F6" s="298"/>
      <c r="G6" s="393"/>
    </row>
    <row r="7" spans="1:7" x14ac:dyDescent="0.3">
      <c r="A7" s="289" t="s">
        <v>5</v>
      </c>
      <c r="B7" s="299"/>
      <c r="C7" s="299"/>
      <c r="D7" s="299"/>
      <c r="E7" s="299"/>
      <c r="F7" s="299"/>
      <c r="G7" s="394"/>
    </row>
    <row r="8" spans="1:7" x14ac:dyDescent="0.3">
      <c r="A8" s="300" t="s">
        <v>6</v>
      </c>
      <c r="B8" s="301">
        <v>262952</v>
      </c>
      <c r="C8" s="301">
        <v>0</v>
      </c>
      <c r="D8" s="301">
        <f t="shared" ref="D8:D14" si="0">+B8-C8</f>
        <v>262952</v>
      </c>
      <c r="E8" s="301">
        <v>0</v>
      </c>
      <c r="F8" s="301">
        <f>+D8+E8</f>
        <v>262952</v>
      </c>
      <c r="G8" s="395">
        <v>155106</v>
      </c>
    </row>
    <row r="9" spans="1:7" x14ac:dyDescent="0.3">
      <c r="A9" s="300" t="s">
        <v>7</v>
      </c>
      <c r="B9" s="301">
        <v>27983</v>
      </c>
      <c r="C9" s="301">
        <v>0</v>
      </c>
      <c r="D9" s="301">
        <f t="shared" si="0"/>
        <v>27983</v>
      </c>
      <c r="E9" s="301">
        <v>0</v>
      </c>
      <c r="F9" s="301">
        <f t="shared" ref="F9:F14" si="1">+D9+E9</f>
        <v>27983</v>
      </c>
      <c r="G9" s="395">
        <v>1759</v>
      </c>
    </row>
    <row r="10" spans="1:7" x14ac:dyDescent="0.3">
      <c r="A10" s="300" t="s">
        <v>8</v>
      </c>
      <c r="B10" s="301">
        <v>837267</v>
      </c>
      <c r="C10" s="301">
        <v>26442</v>
      </c>
      <c r="D10" s="301">
        <f t="shared" si="0"/>
        <v>810825</v>
      </c>
      <c r="E10" s="301">
        <v>0</v>
      </c>
      <c r="F10" s="301">
        <f t="shared" si="1"/>
        <v>810825</v>
      </c>
      <c r="G10" s="395">
        <v>796519</v>
      </c>
    </row>
    <row r="11" spans="1:7" x14ac:dyDescent="0.3">
      <c r="A11" s="300" t="s">
        <v>9</v>
      </c>
      <c r="B11" s="301">
        <v>376626</v>
      </c>
      <c r="C11" s="301">
        <v>35631</v>
      </c>
      <c r="D11" s="301">
        <f t="shared" si="0"/>
        <v>340995</v>
      </c>
      <c r="E11" s="301">
        <v>0</v>
      </c>
      <c r="F11" s="301">
        <f t="shared" si="1"/>
        <v>340995</v>
      </c>
      <c r="G11" s="395">
        <v>355379</v>
      </c>
    </row>
    <row r="12" spans="1:7" x14ac:dyDescent="0.3">
      <c r="A12" s="300" t="s">
        <v>10</v>
      </c>
      <c r="B12" s="301">
        <v>29530</v>
      </c>
      <c r="C12" s="301">
        <v>0</v>
      </c>
      <c r="D12" s="301">
        <f t="shared" si="0"/>
        <v>29530</v>
      </c>
      <c r="E12" s="301">
        <v>0</v>
      </c>
      <c r="F12" s="301">
        <f t="shared" si="1"/>
        <v>29530</v>
      </c>
      <c r="G12" s="395">
        <v>24910</v>
      </c>
    </row>
    <row r="13" spans="1:7" x14ac:dyDescent="0.3">
      <c r="A13" s="300" t="s">
        <v>216</v>
      </c>
      <c r="B13" s="301">
        <v>0</v>
      </c>
      <c r="C13" s="301">
        <v>0</v>
      </c>
      <c r="D13" s="301">
        <f t="shared" si="0"/>
        <v>0</v>
      </c>
      <c r="E13" s="301">
        <v>0</v>
      </c>
      <c r="F13" s="301">
        <f t="shared" si="1"/>
        <v>0</v>
      </c>
      <c r="G13" s="395">
        <v>0</v>
      </c>
    </row>
    <row r="14" spans="1:7" x14ac:dyDescent="0.3">
      <c r="A14" s="300" t="s">
        <v>12</v>
      </c>
      <c r="B14" s="301">
        <v>0</v>
      </c>
      <c r="C14" s="301">
        <v>0</v>
      </c>
      <c r="D14" s="301">
        <f t="shared" si="0"/>
        <v>0</v>
      </c>
      <c r="E14" s="301">
        <v>0</v>
      </c>
      <c r="F14" s="301">
        <f t="shared" si="1"/>
        <v>0</v>
      </c>
      <c r="G14" s="395">
        <v>0</v>
      </c>
    </row>
    <row r="15" spans="1:7" ht="15" x14ac:dyDescent="0.3">
      <c r="A15" s="306" t="s">
        <v>13</v>
      </c>
      <c r="B15" s="307">
        <f>SUM(B8:B14)</f>
        <v>1534358</v>
      </c>
      <c r="C15" s="307">
        <f>SUM(C8:C14)</f>
        <v>62073</v>
      </c>
      <c r="D15" s="307">
        <f>SUM(D8:D14)</f>
        <v>1472285</v>
      </c>
      <c r="E15" s="307">
        <f t="shared" ref="E15:G15" si="2">SUM(E8:E14)</f>
        <v>0</v>
      </c>
      <c r="F15" s="307">
        <f t="shared" si="2"/>
        <v>1472285</v>
      </c>
      <c r="G15" s="396">
        <f t="shared" si="2"/>
        <v>1333673</v>
      </c>
    </row>
    <row r="16" spans="1:7" x14ac:dyDescent="0.3">
      <c r="A16" s="300" t="s">
        <v>14</v>
      </c>
      <c r="B16" s="301"/>
      <c r="C16" s="301"/>
      <c r="D16" s="301"/>
      <c r="E16" s="301"/>
      <c r="F16" s="301"/>
      <c r="G16" s="395"/>
    </row>
    <row r="17" spans="1:7" x14ac:dyDescent="0.3">
      <c r="A17" s="300" t="s">
        <v>15</v>
      </c>
      <c r="B17" s="301">
        <v>53815</v>
      </c>
      <c r="C17" s="301">
        <v>28341</v>
      </c>
      <c r="D17" s="301">
        <f t="shared" ref="D17:D23" si="3">+B17-C17</f>
        <v>25474</v>
      </c>
      <c r="E17" s="301">
        <v>0</v>
      </c>
      <c r="F17" s="301">
        <f t="shared" ref="F17:F23" si="4">+D17+E17</f>
        <v>25474</v>
      </c>
      <c r="G17" s="395">
        <v>39718</v>
      </c>
    </row>
    <row r="18" spans="1:7" x14ac:dyDescent="0.3">
      <c r="A18" s="300" t="s">
        <v>16</v>
      </c>
      <c r="B18" s="301">
        <v>299457</v>
      </c>
      <c r="C18" s="301">
        <v>215472</v>
      </c>
      <c r="D18" s="301">
        <f t="shared" si="3"/>
        <v>83985</v>
      </c>
      <c r="E18" s="301">
        <v>0</v>
      </c>
      <c r="F18" s="301">
        <f t="shared" si="4"/>
        <v>83985</v>
      </c>
      <c r="G18" s="395">
        <v>145095</v>
      </c>
    </row>
    <row r="19" spans="1:7" x14ac:dyDescent="0.3">
      <c r="A19" s="300" t="s">
        <v>11</v>
      </c>
      <c r="B19" s="301">
        <v>4177137</v>
      </c>
      <c r="C19" s="301">
        <v>38777</v>
      </c>
      <c r="D19" s="301">
        <f t="shared" si="3"/>
        <v>4138360</v>
      </c>
      <c r="E19" s="301">
        <v>0</v>
      </c>
      <c r="F19" s="301">
        <f t="shared" si="4"/>
        <v>4138360</v>
      </c>
      <c r="G19" s="395">
        <v>3779319</v>
      </c>
    </row>
    <row r="20" spans="1:7" x14ac:dyDescent="0.3">
      <c r="A20" s="300" t="s">
        <v>17</v>
      </c>
      <c r="B20" s="301">
        <v>1466387</v>
      </c>
      <c r="C20" s="301">
        <v>6107</v>
      </c>
      <c r="D20" s="301">
        <f t="shared" si="3"/>
        <v>1460280</v>
      </c>
      <c r="E20" s="301">
        <v>0</v>
      </c>
      <c r="F20" s="301">
        <f t="shared" si="4"/>
        <v>1460280</v>
      </c>
      <c r="G20" s="395">
        <v>1375489</v>
      </c>
    </row>
    <row r="21" spans="1:7" x14ac:dyDescent="0.3">
      <c r="A21" s="300" t="s">
        <v>18</v>
      </c>
      <c r="B21" s="301">
        <v>26933</v>
      </c>
      <c r="C21" s="301">
        <v>8390</v>
      </c>
      <c r="D21" s="301">
        <f t="shared" si="3"/>
        <v>18543</v>
      </c>
      <c r="E21" s="301">
        <v>0</v>
      </c>
      <c r="F21" s="301">
        <f t="shared" si="4"/>
        <v>18543</v>
      </c>
      <c r="G21" s="397">
        <v>19437</v>
      </c>
    </row>
    <row r="22" spans="1:7" x14ac:dyDescent="0.3">
      <c r="A22" s="300" t="s">
        <v>19</v>
      </c>
      <c r="B22" s="301">
        <v>9184742</v>
      </c>
      <c r="C22" s="301">
        <v>5501543</v>
      </c>
      <c r="D22" s="301">
        <f t="shared" si="3"/>
        <v>3683199</v>
      </c>
      <c r="E22" s="301">
        <v>0</v>
      </c>
      <c r="F22" s="301">
        <f t="shared" si="4"/>
        <v>3683199</v>
      </c>
      <c r="G22" s="397">
        <v>3573985</v>
      </c>
    </row>
    <row r="23" spans="1:7" x14ac:dyDescent="0.3">
      <c r="A23" s="300" t="s">
        <v>20</v>
      </c>
      <c r="B23" s="301">
        <v>38237</v>
      </c>
      <c r="C23" s="301">
        <v>0</v>
      </c>
      <c r="D23" s="301">
        <f t="shared" si="3"/>
        <v>38237</v>
      </c>
      <c r="E23" s="301">
        <v>0</v>
      </c>
      <c r="F23" s="301">
        <f t="shared" si="4"/>
        <v>38237</v>
      </c>
      <c r="G23" s="395">
        <v>0</v>
      </c>
    </row>
    <row r="24" spans="1:7" ht="15" x14ac:dyDescent="0.3">
      <c r="A24" s="306" t="s">
        <v>21</v>
      </c>
      <c r="B24" s="307">
        <f t="shared" ref="B24" si="5">SUM(B17:B23)</f>
        <v>15246708</v>
      </c>
      <c r="C24" s="307">
        <f>SUM(C17:C23)</f>
        <v>5798630</v>
      </c>
      <c r="D24" s="307">
        <f>SUM(D17:D23)</f>
        <v>9448078</v>
      </c>
      <c r="E24" s="307">
        <f t="shared" ref="E24:G24" si="6">SUM(E17:E23)</f>
        <v>0</v>
      </c>
      <c r="F24" s="307">
        <f t="shared" si="6"/>
        <v>9448078</v>
      </c>
      <c r="G24" s="396">
        <f t="shared" si="6"/>
        <v>8933043</v>
      </c>
    </row>
    <row r="25" spans="1:7" ht="15" x14ac:dyDescent="0.3">
      <c r="A25" s="313" t="s">
        <v>22</v>
      </c>
      <c r="B25" s="314">
        <f t="shared" ref="B25" si="7">B15+B24</f>
        <v>16781066</v>
      </c>
      <c r="C25" s="314">
        <f t="shared" ref="C25" si="8">C15+C24</f>
        <v>5860703</v>
      </c>
      <c r="D25" s="314">
        <f>D15+D24</f>
        <v>10920363</v>
      </c>
      <c r="E25" s="314">
        <f t="shared" ref="E25:G25" si="9">E15+E24</f>
        <v>0</v>
      </c>
      <c r="F25" s="314">
        <f t="shared" si="9"/>
        <v>10920363</v>
      </c>
      <c r="G25" s="398">
        <f t="shared" si="9"/>
        <v>10266716</v>
      </c>
    </row>
    <row r="26" spans="1:7" x14ac:dyDescent="0.3">
      <c r="B26" s="305"/>
      <c r="C26" s="305"/>
      <c r="D26" s="305"/>
      <c r="E26" s="305"/>
      <c r="F26" s="305"/>
      <c r="G26" s="399"/>
    </row>
    <row r="27" spans="1:7" x14ac:dyDescent="0.3">
      <c r="A27" s="289" t="s">
        <v>23</v>
      </c>
      <c r="B27" s="305"/>
      <c r="C27" s="305"/>
      <c r="D27" s="305"/>
      <c r="E27" s="305"/>
      <c r="F27" s="305"/>
      <c r="G27" s="399"/>
    </row>
    <row r="28" spans="1:7" x14ac:dyDescent="0.3">
      <c r="A28" s="289" t="s">
        <v>24</v>
      </c>
      <c r="B28" s="305"/>
      <c r="C28" s="305"/>
      <c r="D28" s="305"/>
      <c r="E28" s="305"/>
      <c r="F28" s="305"/>
      <c r="G28" s="399"/>
    </row>
    <row r="29" spans="1:7" x14ac:dyDescent="0.3">
      <c r="A29" s="300" t="s">
        <v>25</v>
      </c>
      <c r="B29" s="311">
        <v>1269423</v>
      </c>
      <c r="C29" s="311">
        <v>0</v>
      </c>
      <c r="D29" s="311">
        <f t="shared" ref="D29:D35" si="10">+B29-C29</f>
        <v>1269423</v>
      </c>
      <c r="E29" s="301">
        <v>-1000000</v>
      </c>
      <c r="F29" s="301">
        <f t="shared" ref="F29:F35" si="11">+D29+E29</f>
        <v>269423</v>
      </c>
      <c r="G29" s="397">
        <v>653308</v>
      </c>
    </row>
    <row r="30" spans="1:7" x14ac:dyDescent="0.3">
      <c r="A30" s="300" t="s">
        <v>26</v>
      </c>
      <c r="B30" s="311">
        <v>199030</v>
      </c>
      <c r="C30" s="311">
        <v>0</v>
      </c>
      <c r="D30" s="311">
        <f t="shared" si="10"/>
        <v>199030</v>
      </c>
      <c r="E30" s="301">
        <v>0</v>
      </c>
      <c r="F30" s="301">
        <f t="shared" si="11"/>
        <v>199030</v>
      </c>
      <c r="G30" s="397">
        <v>0</v>
      </c>
    </row>
    <row r="31" spans="1:7" x14ac:dyDescent="0.3">
      <c r="A31" s="300" t="s">
        <v>27</v>
      </c>
      <c r="B31" s="311">
        <f>224002</f>
        <v>224002</v>
      </c>
      <c r="C31" s="311">
        <v>0</v>
      </c>
      <c r="D31" s="311">
        <f t="shared" si="10"/>
        <v>224002</v>
      </c>
      <c r="E31" s="301">
        <v>0</v>
      </c>
      <c r="F31" s="301">
        <f t="shared" si="11"/>
        <v>224002</v>
      </c>
      <c r="G31" s="400">
        <v>77200</v>
      </c>
    </row>
    <row r="32" spans="1:7" x14ac:dyDescent="0.3">
      <c r="A32" s="300" t="s">
        <v>28</v>
      </c>
      <c r="B32" s="311">
        <v>618347</v>
      </c>
      <c r="C32" s="311">
        <v>8241</v>
      </c>
      <c r="D32" s="311">
        <f t="shared" si="10"/>
        <v>610106</v>
      </c>
      <c r="E32" s="301">
        <v>0</v>
      </c>
      <c r="F32" s="301">
        <f t="shared" si="11"/>
        <v>610106</v>
      </c>
      <c r="G32" s="397">
        <v>560779</v>
      </c>
    </row>
    <row r="33" spans="1:7" x14ac:dyDescent="0.3">
      <c r="A33" s="300" t="s">
        <v>29</v>
      </c>
      <c r="B33" s="311">
        <v>121499</v>
      </c>
      <c r="C33" s="311">
        <v>896</v>
      </c>
      <c r="D33" s="311">
        <f t="shared" si="10"/>
        <v>120603</v>
      </c>
      <c r="E33" s="301">
        <v>0</v>
      </c>
      <c r="F33" s="301">
        <f t="shared" si="11"/>
        <v>120603</v>
      </c>
      <c r="G33" s="397">
        <v>124320</v>
      </c>
    </row>
    <row r="34" spans="1:7" x14ac:dyDescent="0.3">
      <c r="A34" s="300" t="s">
        <v>30</v>
      </c>
      <c r="B34" s="311">
        <v>38470</v>
      </c>
      <c r="C34" s="311">
        <v>0</v>
      </c>
      <c r="D34" s="311">
        <f t="shared" si="10"/>
        <v>38470</v>
      </c>
      <c r="E34" s="301">
        <v>0</v>
      </c>
      <c r="F34" s="301">
        <f t="shared" si="11"/>
        <v>38470</v>
      </c>
      <c r="G34" s="397">
        <v>51106</v>
      </c>
    </row>
    <row r="35" spans="1:7" x14ac:dyDescent="0.3">
      <c r="A35" s="300" t="s">
        <v>31</v>
      </c>
      <c r="B35" s="311">
        <v>322083</v>
      </c>
      <c r="C35" s="311">
        <v>25863</v>
      </c>
      <c r="D35" s="311">
        <f t="shared" si="10"/>
        <v>296220</v>
      </c>
      <c r="E35" s="301">
        <v>0</v>
      </c>
      <c r="F35" s="301">
        <f t="shared" si="11"/>
        <v>296220</v>
      </c>
      <c r="G35" s="397">
        <v>302963</v>
      </c>
    </row>
    <row r="36" spans="1:7" ht="15" x14ac:dyDescent="0.3">
      <c r="A36" s="306" t="s">
        <v>32</v>
      </c>
      <c r="B36" s="307">
        <f t="shared" ref="B36" si="12">SUM(B29:B35)</f>
        <v>2792854</v>
      </c>
      <c r="C36" s="307">
        <f t="shared" ref="C36:D36" si="13">SUM(C29:C35)</f>
        <v>35000</v>
      </c>
      <c r="D36" s="307">
        <f t="shared" si="13"/>
        <v>2757854</v>
      </c>
      <c r="E36" s="307">
        <f t="shared" ref="E36:F36" si="14">SUM(E29:E35)</f>
        <v>-1000000</v>
      </c>
      <c r="F36" s="307">
        <f t="shared" si="14"/>
        <v>1757854</v>
      </c>
      <c r="G36" s="396">
        <f t="shared" ref="G36" si="15">SUM(G29:G35)</f>
        <v>1769676</v>
      </c>
    </row>
    <row r="37" spans="1:7" x14ac:dyDescent="0.3">
      <c r="A37" s="289" t="s">
        <v>33</v>
      </c>
      <c r="B37" s="305"/>
      <c r="C37" s="305"/>
      <c r="D37" s="305"/>
      <c r="E37" s="305"/>
      <c r="F37" s="305"/>
      <c r="G37" s="399"/>
    </row>
    <row r="38" spans="1:7" x14ac:dyDescent="0.3">
      <c r="A38" s="300" t="s">
        <v>25</v>
      </c>
      <c r="B38" s="311">
        <v>719717</v>
      </c>
      <c r="C38" s="311">
        <v>0</v>
      </c>
      <c r="D38" s="311">
        <f t="shared" ref="D38:D43" si="16">+B38-C38</f>
        <v>719717</v>
      </c>
      <c r="E38" s="311">
        <v>0</v>
      </c>
      <c r="F38" s="301">
        <f t="shared" ref="F38:F43" si="17">+D38+E38</f>
        <v>719717</v>
      </c>
      <c r="G38" s="397">
        <v>369717</v>
      </c>
    </row>
    <row r="39" spans="1:7" x14ac:dyDescent="0.3">
      <c r="A39" s="300" t="s">
        <v>29</v>
      </c>
      <c r="B39" s="311">
        <v>63481</v>
      </c>
      <c r="C39" s="311">
        <v>0</v>
      </c>
      <c r="D39" s="311">
        <f t="shared" si="16"/>
        <v>63481</v>
      </c>
      <c r="E39" s="311">
        <v>0</v>
      </c>
      <c r="F39" s="301">
        <f t="shared" si="17"/>
        <v>63481</v>
      </c>
      <c r="G39" s="397">
        <v>30745</v>
      </c>
    </row>
    <row r="40" spans="1:7" x14ac:dyDescent="0.3">
      <c r="A40" s="300" t="s">
        <v>28</v>
      </c>
      <c r="B40" s="311">
        <v>111122</v>
      </c>
      <c r="C40" s="311">
        <v>0</v>
      </c>
      <c r="D40" s="311">
        <f t="shared" si="16"/>
        <v>111122</v>
      </c>
      <c r="E40" s="311">
        <v>0</v>
      </c>
      <c r="F40" s="301">
        <f t="shared" si="17"/>
        <v>111122</v>
      </c>
      <c r="G40" s="397">
        <v>75857</v>
      </c>
    </row>
    <row r="41" spans="1:7" x14ac:dyDescent="0.3">
      <c r="A41" s="300" t="s">
        <v>27</v>
      </c>
      <c r="B41" s="311">
        <v>1006146</v>
      </c>
      <c r="C41" s="311">
        <v>0</v>
      </c>
      <c r="D41" s="311">
        <f t="shared" si="16"/>
        <v>1006146</v>
      </c>
      <c r="E41" s="301">
        <v>1000000</v>
      </c>
      <c r="F41" s="301">
        <f t="shared" si="17"/>
        <v>2006146</v>
      </c>
      <c r="G41" s="397">
        <v>1930588</v>
      </c>
    </row>
    <row r="42" spans="1:7" x14ac:dyDescent="0.3">
      <c r="A42" s="300" t="s">
        <v>30</v>
      </c>
      <c r="B42" s="311">
        <v>253366</v>
      </c>
      <c r="C42" s="311">
        <v>0</v>
      </c>
      <c r="D42" s="311">
        <f t="shared" si="16"/>
        <v>253366</v>
      </c>
      <c r="E42" s="311">
        <v>0</v>
      </c>
      <c r="F42" s="301">
        <f t="shared" si="17"/>
        <v>253366</v>
      </c>
      <c r="G42" s="397">
        <v>255627</v>
      </c>
    </row>
    <row r="43" spans="1:7" x14ac:dyDescent="0.3">
      <c r="A43" s="300" t="s">
        <v>34</v>
      </c>
      <c r="B43" s="311">
        <v>135676</v>
      </c>
      <c r="C43" s="311">
        <v>0</v>
      </c>
      <c r="D43" s="311">
        <f t="shared" si="16"/>
        <v>135676</v>
      </c>
      <c r="E43" s="311">
        <v>0</v>
      </c>
      <c r="F43" s="301">
        <f t="shared" si="17"/>
        <v>135676</v>
      </c>
      <c r="G43" s="397">
        <v>38166</v>
      </c>
    </row>
    <row r="44" spans="1:7" x14ac:dyDescent="0.3">
      <c r="A44" s="300" t="s">
        <v>31</v>
      </c>
      <c r="B44" s="311"/>
      <c r="C44" s="311"/>
      <c r="D44" s="311"/>
      <c r="E44" s="311"/>
      <c r="F44" s="311"/>
      <c r="G44" s="395">
        <v>0</v>
      </c>
    </row>
    <row r="45" spans="1:7" ht="15" x14ac:dyDescent="0.3">
      <c r="A45" s="306" t="s">
        <v>35</v>
      </c>
      <c r="B45" s="307">
        <f t="shared" ref="B45" si="18">SUM(B38:B44)</f>
        <v>2289508</v>
      </c>
      <c r="C45" s="307">
        <f t="shared" ref="C45:D45" si="19">SUM(C38:C44)</f>
        <v>0</v>
      </c>
      <c r="D45" s="307">
        <f t="shared" si="19"/>
        <v>2289508</v>
      </c>
      <c r="E45" s="307">
        <f t="shared" ref="E45:F45" si="20">SUM(E38:E44)</f>
        <v>1000000</v>
      </c>
      <c r="F45" s="307">
        <f t="shared" si="20"/>
        <v>3289508</v>
      </c>
      <c r="G45" s="396">
        <f>SUM(G38:G44)</f>
        <v>2700700</v>
      </c>
    </row>
    <row r="46" spans="1:7" x14ac:dyDescent="0.3">
      <c r="A46" s="318" t="s">
        <v>36</v>
      </c>
      <c r="B46" s="319">
        <f t="shared" ref="B46" si="21">B36+B45</f>
        <v>5082362</v>
      </c>
      <c r="C46" s="319">
        <f t="shared" ref="C46" si="22">C36+C45</f>
        <v>35000</v>
      </c>
      <c r="D46" s="319">
        <f>D36+D45</f>
        <v>5047362</v>
      </c>
      <c r="E46" s="319">
        <f t="shared" ref="E46:F46" si="23">E36+E45</f>
        <v>0</v>
      </c>
      <c r="F46" s="319">
        <f t="shared" si="23"/>
        <v>5047362</v>
      </c>
      <c r="G46" s="401">
        <f>G36+G45</f>
        <v>4470376</v>
      </c>
    </row>
    <row r="47" spans="1:7" x14ac:dyDescent="0.3">
      <c r="A47" s="318" t="s">
        <v>37</v>
      </c>
      <c r="B47" s="319">
        <f t="shared" ref="B47" si="24">B25-B46</f>
        <v>11698704</v>
      </c>
      <c r="C47" s="319">
        <f t="shared" ref="C47" si="25">C25-C46</f>
        <v>5825703</v>
      </c>
      <c r="D47" s="319">
        <f>D25-D46</f>
        <v>5873001</v>
      </c>
      <c r="E47" s="319">
        <f t="shared" ref="E47:G47" si="26">E25-E46</f>
        <v>0</v>
      </c>
      <c r="F47" s="319">
        <f t="shared" si="26"/>
        <v>5873001</v>
      </c>
      <c r="G47" s="401">
        <f t="shared" si="26"/>
        <v>5796340</v>
      </c>
    </row>
    <row r="48" spans="1:7" x14ac:dyDescent="0.3">
      <c r="A48" s="318" t="s">
        <v>38</v>
      </c>
      <c r="B48" s="319">
        <f t="shared" ref="B48" si="27">B47+B46</f>
        <v>16781066</v>
      </c>
      <c r="C48" s="319">
        <f t="shared" ref="C48" si="28">C47+C46</f>
        <v>5860703</v>
      </c>
      <c r="D48" s="319">
        <f>D47+D46</f>
        <v>10920363</v>
      </c>
      <c r="E48" s="319">
        <f t="shared" ref="E48:G48" si="29">E47+E46</f>
        <v>0</v>
      </c>
      <c r="F48" s="319">
        <f t="shared" si="29"/>
        <v>10920363</v>
      </c>
      <c r="G48" s="401">
        <f t="shared" si="29"/>
        <v>10266716</v>
      </c>
    </row>
    <row r="49" spans="2:6" x14ac:dyDescent="0.3">
      <c r="B49" s="305"/>
      <c r="C49" s="305"/>
      <c r="D49" s="305"/>
      <c r="E49" s="305"/>
      <c r="F49" s="305"/>
    </row>
    <row r="50" spans="2:6" x14ac:dyDescent="0.3">
      <c r="B50" s="302"/>
      <c r="C50" s="302"/>
      <c r="D50" s="302"/>
      <c r="E50" s="302"/>
      <c r="F50" s="302"/>
    </row>
    <row r="51" spans="2:6" x14ac:dyDescent="0.3">
      <c r="B51" s="324"/>
      <c r="C51" s="305"/>
      <c r="D51" s="305"/>
      <c r="E51" s="305"/>
      <c r="F51" s="305"/>
    </row>
    <row r="52" spans="2:6" x14ac:dyDescent="0.3">
      <c r="B52" s="305"/>
      <c r="C52" s="305"/>
      <c r="D52" s="305"/>
      <c r="E52" s="305"/>
      <c r="F52" s="305"/>
    </row>
    <row r="53" spans="2:6" x14ac:dyDescent="0.3">
      <c r="B53" s="305"/>
      <c r="C53" s="305"/>
      <c r="D53" s="305"/>
      <c r="E53" s="305"/>
      <c r="F53" s="305"/>
    </row>
    <row r="54" spans="2:6" x14ac:dyDescent="0.3">
      <c r="B54" s="305"/>
      <c r="C54" s="305"/>
      <c r="D54" s="305"/>
      <c r="E54" s="305"/>
      <c r="F54" s="305"/>
    </row>
    <row r="55" spans="2:6" x14ac:dyDescent="0.3">
      <c r="B55" s="305"/>
      <c r="C55" s="305"/>
      <c r="D55" s="305"/>
      <c r="E55" s="305"/>
      <c r="F55" s="305"/>
    </row>
    <row r="56" spans="2:6" x14ac:dyDescent="0.3">
      <c r="B56" s="305"/>
      <c r="C56" s="305"/>
      <c r="D56" s="305"/>
      <c r="E56" s="305"/>
      <c r="F56" s="305"/>
    </row>
    <row r="57" spans="2:6" x14ac:dyDescent="0.3">
      <c r="B57" s="305"/>
      <c r="C57" s="305"/>
      <c r="D57" s="305"/>
      <c r="E57" s="305"/>
      <c r="F57" s="305"/>
    </row>
    <row r="58" spans="2:6" x14ac:dyDescent="0.3">
      <c r="B58" s="305"/>
      <c r="C58" s="305"/>
      <c r="D58" s="305"/>
      <c r="E58" s="305"/>
      <c r="F58" s="305"/>
    </row>
    <row r="59" spans="2:6" x14ac:dyDescent="0.3">
      <c r="B59" s="326"/>
      <c r="C59" s="305"/>
      <c r="D59" s="305"/>
      <c r="E59" s="305"/>
      <c r="F59" s="305"/>
    </row>
    <row r="60" spans="2:6" x14ac:dyDescent="0.3">
      <c r="B60" s="305"/>
      <c r="C60" s="305"/>
      <c r="D60" s="305"/>
      <c r="E60" s="305"/>
      <c r="F60" s="305"/>
    </row>
    <row r="61" spans="2:6" x14ac:dyDescent="0.3">
      <c r="B61" s="305"/>
      <c r="C61" s="305"/>
      <c r="D61" s="305"/>
      <c r="E61" s="305"/>
      <c r="F61" s="305"/>
    </row>
    <row r="62" spans="2:6" x14ac:dyDescent="0.3">
      <c r="B62" s="305"/>
      <c r="C62" s="305"/>
      <c r="D62" s="305"/>
      <c r="E62" s="305"/>
      <c r="F62" s="305"/>
    </row>
    <row r="63" spans="2:6" x14ac:dyDescent="0.3">
      <c r="B63" s="305"/>
      <c r="C63" s="305"/>
      <c r="D63" s="305"/>
      <c r="E63" s="305"/>
      <c r="F63" s="305"/>
    </row>
    <row r="64" spans="2:6" x14ac:dyDescent="0.3">
      <c r="B64" s="305"/>
      <c r="C64" s="305"/>
      <c r="D64" s="305"/>
      <c r="E64" s="305"/>
      <c r="F64" s="305"/>
    </row>
    <row r="65" spans="2:6" x14ac:dyDescent="0.3">
      <c r="B65" s="305"/>
      <c r="C65" s="305"/>
      <c r="D65" s="305"/>
      <c r="E65" s="305"/>
      <c r="F65" s="305"/>
    </row>
    <row r="66" spans="2:6" x14ac:dyDescent="0.3">
      <c r="B66" s="305"/>
      <c r="C66" s="305"/>
      <c r="D66" s="305"/>
      <c r="E66" s="305"/>
      <c r="F66" s="305"/>
    </row>
    <row r="67" spans="2:6" x14ac:dyDescent="0.3">
      <c r="B67" s="305"/>
      <c r="C67" s="305"/>
      <c r="D67" s="305"/>
      <c r="E67" s="305"/>
      <c r="F67" s="305"/>
    </row>
    <row r="68" spans="2:6" x14ac:dyDescent="0.3">
      <c r="B68" s="305"/>
      <c r="C68" s="305"/>
      <c r="D68" s="305"/>
      <c r="E68" s="305"/>
      <c r="F68" s="305"/>
    </row>
    <row r="69" spans="2:6" x14ac:dyDescent="0.3">
      <c r="B69" s="305"/>
      <c r="C69" s="305"/>
      <c r="D69" s="305"/>
      <c r="E69" s="305"/>
      <c r="F69" s="305"/>
    </row>
    <row r="70" spans="2:6" x14ac:dyDescent="0.3">
      <c r="B70" s="305"/>
      <c r="C70" s="305"/>
      <c r="D70" s="305"/>
      <c r="E70" s="305"/>
      <c r="F70" s="305"/>
    </row>
    <row r="71" spans="2:6" x14ac:dyDescent="0.3">
      <c r="B71" s="305"/>
      <c r="C71" s="305"/>
      <c r="D71" s="305"/>
      <c r="E71" s="305"/>
      <c r="F71" s="305"/>
    </row>
    <row r="72" spans="2:6" x14ac:dyDescent="0.3">
      <c r="B72" s="305"/>
      <c r="C72" s="305"/>
      <c r="D72" s="305"/>
      <c r="E72" s="305"/>
      <c r="F72" s="305"/>
    </row>
    <row r="73" spans="2:6" x14ac:dyDescent="0.3">
      <c r="B73" s="305"/>
      <c r="C73" s="305"/>
      <c r="D73" s="305"/>
      <c r="E73" s="305"/>
      <c r="F73" s="305"/>
    </row>
    <row r="74" spans="2:6" x14ac:dyDescent="0.3">
      <c r="B74" s="305"/>
      <c r="C74" s="305"/>
      <c r="D74" s="305"/>
      <c r="E74" s="305"/>
      <c r="F74" s="305"/>
    </row>
    <row r="75" spans="2:6" x14ac:dyDescent="0.3">
      <c r="B75" s="305"/>
      <c r="C75" s="305"/>
      <c r="D75" s="305"/>
      <c r="E75" s="305"/>
      <c r="F75" s="305"/>
    </row>
    <row r="76" spans="2:6" x14ac:dyDescent="0.3">
      <c r="B76" s="305"/>
      <c r="C76" s="305"/>
      <c r="D76" s="305"/>
      <c r="E76" s="305"/>
      <c r="F76" s="305"/>
    </row>
    <row r="77" spans="2:6" x14ac:dyDescent="0.3">
      <c r="B77" s="305"/>
      <c r="C77" s="305"/>
      <c r="D77" s="305"/>
      <c r="E77" s="305"/>
      <c r="F77" s="305"/>
    </row>
    <row r="78" spans="2:6" x14ac:dyDescent="0.3">
      <c r="B78" s="305"/>
      <c r="C78" s="305"/>
      <c r="D78" s="305"/>
      <c r="E78" s="305"/>
      <c r="F78" s="305"/>
    </row>
    <row r="79" spans="2:6" x14ac:dyDescent="0.3">
      <c r="B79" s="305"/>
      <c r="C79" s="305"/>
      <c r="D79" s="305"/>
      <c r="E79" s="305"/>
      <c r="F79" s="305"/>
    </row>
    <row r="80" spans="2:6" x14ac:dyDescent="0.3">
      <c r="B80" s="305"/>
      <c r="C80" s="305"/>
      <c r="D80" s="305"/>
      <c r="E80" s="305"/>
      <c r="F80" s="305"/>
    </row>
    <row r="81" spans="2:6" x14ac:dyDescent="0.3">
      <c r="B81" s="305"/>
      <c r="C81" s="305"/>
      <c r="D81" s="305"/>
      <c r="E81" s="305"/>
      <c r="F81" s="305"/>
    </row>
    <row r="82" spans="2:6" x14ac:dyDescent="0.3">
      <c r="B82" s="305"/>
      <c r="C82" s="305"/>
      <c r="D82" s="305"/>
      <c r="E82" s="305"/>
      <c r="F82" s="305"/>
    </row>
    <row r="83" spans="2:6" x14ac:dyDescent="0.3">
      <c r="B83" s="305"/>
      <c r="C83" s="305"/>
      <c r="D83" s="305"/>
      <c r="E83" s="305"/>
      <c r="F83" s="305"/>
    </row>
    <row r="84" spans="2:6" x14ac:dyDescent="0.3">
      <c r="B84" s="305"/>
      <c r="C84" s="305"/>
      <c r="D84" s="305"/>
      <c r="E84" s="305"/>
      <c r="F84" s="305"/>
    </row>
    <row r="85" spans="2:6" x14ac:dyDescent="0.3">
      <c r="B85" s="305"/>
      <c r="C85" s="305"/>
      <c r="D85" s="305"/>
      <c r="E85" s="305"/>
      <c r="F85" s="305"/>
    </row>
    <row r="86" spans="2:6" x14ac:dyDescent="0.3">
      <c r="B86" s="305"/>
      <c r="C86" s="305"/>
      <c r="D86" s="305"/>
      <c r="E86" s="305"/>
      <c r="F86" s="305"/>
    </row>
    <row r="87" spans="2:6" x14ac:dyDescent="0.3">
      <c r="B87" s="305"/>
      <c r="C87" s="305"/>
      <c r="D87" s="305"/>
      <c r="E87" s="305"/>
      <c r="F87" s="305"/>
    </row>
    <row r="88" spans="2:6" x14ac:dyDescent="0.3">
      <c r="B88" s="305"/>
      <c r="C88" s="305"/>
      <c r="D88" s="305"/>
      <c r="E88" s="305"/>
      <c r="F88" s="305"/>
    </row>
    <row r="89" spans="2:6" x14ac:dyDescent="0.3">
      <c r="B89" s="305"/>
      <c r="C89" s="305"/>
      <c r="D89" s="305"/>
      <c r="E89" s="305"/>
      <c r="F89" s="305"/>
    </row>
    <row r="90" spans="2:6" x14ac:dyDescent="0.3">
      <c r="B90" s="305"/>
      <c r="C90" s="305"/>
      <c r="D90" s="305"/>
      <c r="E90" s="305"/>
      <c r="F90" s="305"/>
    </row>
    <row r="91" spans="2:6" x14ac:dyDescent="0.3">
      <c r="B91" s="305"/>
      <c r="C91" s="305"/>
      <c r="D91" s="305"/>
      <c r="E91" s="305"/>
      <c r="F91" s="305"/>
    </row>
    <row r="92" spans="2:6" x14ac:dyDescent="0.3">
      <c r="B92" s="305"/>
      <c r="C92" s="305"/>
      <c r="D92" s="305"/>
      <c r="E92" s="305"/>
      <c r="F92" s="305"/>
    </row>
    <row r="93" spans="2:6" x14ac:dyDescent="0.3">
      <c r="B93" s="305"/>
      <c r="C93" s="305"/>
      <c r="D93" s="305"/>
      <c r="E93" s="305"/>
      <c r="F93" s="305"/>
    </row>
    <row r="94" spans="2:6" x14ac:dyDescent="0.3">
      <c r="B94" s="305"/>
      <c r="C94" s="305"/>
      <c r="D94" s="305"/>
      <c r="E94" s="305"/>
      <c r="F94" s="305"/>
    </row>
    <row r="95" spans="2:6" x14ac:dyDescent="0.3">
      <c r="B95" s="305"/>
      <c r="C95" s="305"/>
      <c r="D95" s="305"/>
      <c r="E95" s="305"/>
      <c r="F95" s="305"/>
    </row>
    <row r="96" spans="2:6" x14ac:dyDescent="0.3">
      <c r="B96" s="305"/>
      <c r="C96" s="305"/>
      <c r="D96" s="305"/>
      <c r="E96" s="305"/>
      <c r="F96" s="305"/>
    </row>
    <row r="97" spans="2:6" x14ac:dyDescent="0.3">
      <c r="B97" s="305"/>
      <c r="C97" s="305"/>
      <c r="D97" s="305"/>
      <c r="E97" s="305"/>
      <c r="F97" s="305"/>
    </row>
    <row r="98" spans="2:6" x14ac:dyDescent="0.3">
      <c r="B98" s="305"/>
      <c r="C98" s="305"/>
      <c r="D98" s="305"/>
      <c r="E98" s="305"/>
      <c r="F98" s="305"/>
    </row>
    <row r="99" spans="2:6" x14ac:dyDescent="0.3">
      <c r="B99" s="305"/>
      <c r="C99" s="305"/>
      <c r="D99" s="305"/>
      <c r="E99" s="305"/>
      <c r="F99" s="305"/>
    </row>
    <row r="100" spans="2:6" x14ac:dyDescent="0.3">
      <c r="B100" s="305"/>
      <c r="C100" s="305"/>
      <c r="D100" s="305"/>
      <c r="E100" s="305"/>
      <c r="F100" s="305"/>
    </row>
    <row r="101" spans="2:6" x14ac:dyDescent="0.3">
      <c r="B101" s="305"/>
      <c r="C101" s="305"/>
      <c r="D101" s="305"/>
      <c r="E101" s="305"/>
      <c r="F101" s="305"/>
    </row>
    <row r="102" spans="2:6" x14ac:dyDescent="0.3">
      <c r="B102" s="305"/>
      <c r="C102" s="305"/>
      <c r="D102" s="305"/>
      <c r="E102" s="305"/>
      <c r="F102" s="305"/>
    </row>
    <row r="103" spans="2:6" x14ac:dyDescent="0.3">
      <c r="B103" s="305"/>
      <c r="C103" s="305"/>
      <c r="D103" s="305"/>
      <c r="E103" s="305"/>
      <c r="F103" s="305"/>
    </row>
    <row r="104" spans="2:6" x14ac:dyDescent="0.3">
      <c r="B104" s="305"/>
      <c r="C104" s="305"/>
      <c r="D104" s="305"/>
      <c r="E104" s="305"/>
      <c r="F104" s="305"/>
    </row>
    <row r="105" spans="2:6" x14ac:dyDescent="0.3">
      <c r="B105" s="305"/>
      <c r="C105" s="305"/>
      <c r="D105" s="305"/>
      <c r="E105" s="305"/>
      <c r="F105" s="305"/>
    </row>
    <row r="106" spans="2:6" x14ac:dyDescent="0.3">
      <c r="B106" s="305"/>
      <c r="C106" s="305"/>
      <c r="D106" s="305"/>
      <c r="E106" s="305"/>
      <c r="F106" s="305"/>
    </row>
    <row r="107" spans="2:6" x14ac:dyDescent="0.3">
      <c r="B107" s="305"/>
      <c r="C107" s="305"/>
      <c r="D107" s="305"/>
      <c r="E107" s="305"/>
      <c r="F107" s="305"/>
    </row>
    <row r="108" spans="2:6" x14ac:dyDescent="0.3">
      <c r="B108" s="305"/>
      <c r="C108" s="305"/>
      <c r="D108" s="305"/>
      <c r="E108" s="305"/>
      <c r="F108" s="305"/>
    </row>
    <row r="109" spans="2:6" x14ac:dyDescent="0.3">
      <c r="B109" s="305"/>
      <c r="C109" s="305"/>
      <c r="D109" s="305"/>
      <c r="E109" s="305"/>
      <c r="F109" s="305"/>
    </row>
    <row r="110" spans="2:6" x14ac:dyDescent="0.3">
      <c r="B110" s="305"/>
      <c r="C110" s="305"/>
      <c r="D110" s="305"/>
      <c r="E110" s="305"/>
      <c r="F110" s="305"/>
    </row>
    <row r="111" spans="2:6" x14ac:dyDescent="0.3">
      <c r="B111" s="305"/>
      <c r="C111" s="305"/>
      <c r="D111" s="305"/>
      <c r="E111" s="305"/>
      <c r="F111" s="305"/>
    </row>
    <row r="112" spans="2:6" x14ac:dyDescent="0.3">
      <c r="B112" s="305"/>
      <c r="C112" s="305"/>
      <c r="D112" s="305"/>
      <c r="E112" s="305"/>
      <c r="F112" s="305"/>
    </row>
    <row r="113" spans="2:6" x14ac:dyDescent="0.3">
      <c r="B113" s="305"/>
      <c r="C113" s="305"/>
      <c r="D113" s="305"/>
      <c r="E113" s="305"/>
      <c r="F113" s="305"/>
    </row>
    <row r="114" spans="2:6" x14ac:dyDescent="0.3">
      <c r="B114" s="305"/>
      <c r="C114" s="305"/>
      <c r="D114" s="305"/>
      <c r="E114" s="305"/>
      <c r="F114" s="305"/>
    </row>
    <row r="115" spans="2:6" x14ac:dyDescent="0.3">
      <c r="B115" s="305"/>
      <c r="C115" s="305"/>
      <c r="D115" s="305"/>
      <c r="E115" s="305"/>
      <c r="F115" s="305"/>
    </row>
    <row r="116" spans="2:6" x14ac:dyDescent="0.3">
      <c r="B116" s="305"/>
      <c r="C116" s="305"/>
      <c r="D116" s="305"/>
      <c r="E116" s="305"/>
      <c r="F116" s="305"/>
    </row>
    <row r="117" spans="2:6" x14ac:dyDescent="0.3">
      <c r="B117" s="305"/>
      <c r="C117" s="305"/>
      <c r="D117" s="305"/>
      <c r="E117" s="305"/>
      <c r="F117" s="305"/>
    </row>
    <row r="118" spans="2:6" x14ac:dyDescent="0.3">
      <c r="B118" s="305"/>
      <c r="C118" s="305"/>
      <c r="D118" s="305"/>
      <c r="E118" s="305"/>
      <c r="F118" s="305"/>
    </row>
    <row r="119" spans="2:6" x14ac:dyDescent="0.3">
      <c r="B119" s="305"/>
      <c r="C119" s="305"/>
      <c r="D119" s="305"/>
      <c r="E119" s="305"/>
      <c r="F119" s="305"/>
    </row>
    <row r="120" spans="2:6" x14ac:dyDescent="0.3">
      <c r="B120" s="305"/>
      <c r="C120" s="305"/>
      <c r="D120" s="305"/>
      <c r="E120" s="305"/>
      <c r="F120" s="305"/>
    </row>
    <row r="121" spans="2:6" x14ac:dyDescent="0.3">
      <c r="B121" s="305"/>
      <c r="C121" s="305"/>
      <c r="D121" s="305"/>
      <c r="E121" s="305"/>
      <c r="F121" s="305"/>
    </row>
    <row r="122" spans="2:6" x14ac:dyDescent="0.3">
      <c r="B122" s="305"/>
      <c r="C122" s="305"/>
      <c r="D122" s="305"/>
      <c r="E122" s="305"/>
      <c r="F122" s="305"/>
    </row>
    <row r="123" spans="2:6" x14ac:dyDescent="0.3">
      <c r="B123" s="305"/>
      <c r="C123" s="305"/>
      <c r="D123" s="305"/>
      <c r="E123" s="305"/>
      <c r="F123" s="305"/>
    </row>
    <row r="124" spans="2:6" x14ac:dyDescent="0.3">
      <c r="B124" s="305"/>
      <c r="C124" s="305"/>
      <c r="D124" s="305"/>
      <c r="E124" s="305"/>
      <c r="F124" s="305"/>
    </row>
    <row r="125" spans="2:6" x14ac:dyDescent="0.3">
      <c r="B125" s="305"/>
      <c r="C125" s="305"/>
      <c r="D125" s="305"/>
      <c r="E125" s="305"/>
      <c r="F125" s="305"/>
    </row>
    <row r="126" spans="2:6" x14ac:dyDescent="0.3">
      <c r="B126" s="305"/>
      <c r="C126" s="305"/>
      <c r="D126" s="305"/>
      <c r="E126" s="305"/>
      <c r="F126" s="305"/>
    </row>
    <row r="127" spans="2:6" x14ac:dyDescent="0.3">
      <c r="B127" s="305"/>
      <c r="C127" s="305"/>
      <c r="D127" s="305"/>
      <c r="E127" s="305"/>
      <c r="F127" s="305"/>
    </row>
    <row r="128" spans="2:6" x14ac:dyDescent="0.3">
      <c r="B128" s="305"/>
      <c r="C128" s="305"/>
      <c r="D128" s="305"/>
      <c r="E128" s="305"/>
      <c r="F128" s="305"/>
    </row>
    <row r="129" spans="2:6" x14ac:dyDescent="0.3">
      <c r="B129" s="305"/>
      <c r="C129" s="305"/>
      <c r="D129" s="305"/>
      <c r="E129" s="305"/>
      <c r="F129" s="305"/>
    </row>
    <row r="130" spans="2:6" x14ac:dyDescent="0.3">
      <c r="B130" s="305"/>
      <c r="C130" s="305"/>
      <c r="D130" s="305"/>
      <c r="E130" s="305"/>
      <c r="F130" s="305"/>
    </row>
    <row r="131" spans="2:6" x14ac:dyDescent="0.3">
      <c r="B131" s="305"/>
      <c r="C131" s="305"/>
      <c r="D131" s="305"/>
      <c r="E131" s="305"/>
      <c r="F131" s="305"/>
    </row>
    <row r="132" spans="2:6" x14ac:dyDescent="0.3">
      <c r="B132" s="305"/>
      <c r="C132" s="305"/>
      <c r="D132" s="305"/>
      <c r="E132" s="305"/>
      <c r="F132" s="305"/>
    </row>
    <row r="133" spans="2:6" x14ac:dyDescent="0.3">
      <c r="B133" s="305"/>
      <c r="C133" s="305"/>
      <c r="D133" s="305"/>
      <c r="E133" s="305"/>
      <c r="F133" s="305"/>
    </row>
    <row r="134" spans="2:6" x14ac:dyDescent="0.3">
      <c r="B134" s="305"/>
      <c r="C134" s="305"/>
      <c r="D134" s="305"/>
      <c r="E134" s="305"/>
      <c r="F134" s="305"/>
    </row>
    <row r="135" spans="2:6" x14ac:dyDescent="0.3">
      <c r="B135" s="305"/>
      <c r="C135" s="305"/>
      <c r="D135" s="305"/>
      <c r="E135" s="305"/>
      <c r="F135" s="305"/>
    </row>
    <row r="136" spans="2:6" x14ac:dyDescent="0.3">
      <c r="B136" s="305"/>
      <c r="C136" s="305"/>
      <c r="D136" s="305"/>
      <c r="E136" s="305"/>
      <c r="F136" s="305"/>
    </row>
    <row r="137" spans="2:6" x14ac:dyDescent="0.3">
      <c r="B137" s="305"/>
      <c r="C137" s="305"/>
      <c r="D137" s="305"/>
      <c r="E137" s="305"/>
      <c r="F137" s="305"/>
    </row>
    <row r="138" spans="2:6" x14ac:dyDescent="0.3">
      <c r="B138" s="305"/>
      <c r="C138" s="305"/>
      <c r="D138" s="305"/>
      <c r="E138" s="305"/>
      <c r="F138" s="305"/>
    </row>
    <row r="139" spans="2:6" x14ac:dyDescent="0.3">
      <c r="B139" s="305"/>
      <c r="C139" s="305"/>
      <c r="D139" s="305"/>
      <c r="E139" s="305"/>
      <c r="F139" s="305"/>
    </row>
    <row r="140" spans="2:6" x14ac:dyDescent="0.3">
      <c r="B140" s="305"/>
      <c r="C140" s="305"/>
      <c r="D140" s="305"/>
      <c r="E140" s="305"/>
      <c r="F140" s="305"/>
    </row>
    <row r="141" spans="2:6" x14ac:dyDescent="0.3">
      <c r="B141" s="305"/>
      <c r="C141" s="305"/>
      <c r="D141" s="305"/>
      <c r="E141" s="305"/>
      <c r="F141" s="305"/>
    </row>
    <row r="142" spans="2:6" x14ac:dyDescent="0.3">
      <c r="B142" s="305"/>
      <c r="C142" s="305"/>
      <c r="D142" s="305"/>
      <c r="E142" s="305"/>
      <c r="F142" s="305"/>
    </row>
    <row r="143" spans="2:6" x14ac:dyDescent="0.3">
      <c r="B143" s="305"/>
      <c r="C143" s="305"/>
      <c r="D143" s="305"/>
      <c r="E143" s="305"/>
      <c r="F143" s="305"/>
    </row>
    <row r="144" spans="2:6" x14ac:dyDescent="0.3">
      <c r="B144" s="305"/>
      <c r="C144" s="305"/>
      <c r="D144" s="305"/>
      <c r="E144" s="305"/>
      <c r="F144" s="305"/>
    </row>
    <row r="145" spans="2:6" x14ac:dyDescent="0.3">
      <c r="B145" s="305"/>
      <c r="C145" s="305"/>
      <c r="D145" s="305"/>
      <c r="E145" s="305"/>
      <c r="F145" s="305"/>
    </row>
    <row r="146" spans="2:6" x14ac:dyDescent="0.3">
      <c r="B146" s="305"/>
      <c r="C146" s="305"/>
      <c r="D146" s="305"/>
      <c r="E146" s="305"/>
      <c r="F146" s="305"/>
    </row>
    <row r="147" spans="2:6" x14ac:dyDescent="0.3">
      <c r="B147" s="305"/>
      <c r="C147" s="305"/>
      <c r="D147" s="305"/>
      <c r="E147" s="305"/>
      <c r="F147" s="305"/>
    </row>
    <row r="148" spans="2:6" x14ac:dyDescent="0.3">
      <c r="B148" s="305"/>
      <c r="C148" s="305"/>
      <c r="D148" s="305"/>
      <c r="E148" s="305"/>
      <c r="F148" s="305"/>
    </row>
    <row r="149" spans="2:6" x14ac:dyDescent="0.3">
      <c r="B149" s="305"/>
      <c r="C149" s="305"/>
      <c r="D149" s="305"/>
      <c r="E149" s="305"/>
      <c r="F149" s="305"/>
    </row>
    <row r="150" spans="2:6" x14ac:dyDescent="0.3">
      <c r="B150" s="305"/>
      <c r="C150" s="305"/>
      <c r="D150" s="305"/>
      <c r="E150" s="305"/>
      <c r="F150" s="305"/>
    </row>
    <row r="151" spans="2:6" x14ac:dyDescent="0.3">
      <c r="B151" s="305"/>
      <c r="C151" s="305"/>
      <c r="D151" s="305"/>
      <c r="E151" s="305"/>
      <c r="F151" s="305"/>
    </row>
    <row r="152" spans="2:6" x14ac:dyDescent="0.3">
      <c r="B152" s="305"/>
      <c r="C152" s="305"/>
      <c r="D152" s="305"/>
      <c r="E152" s="305"/>
      <c r="F152" s="305"/>
    </row>
    <row r="153" spans="2:6" x14ac:dyDescent="0.3">
      <c r="B153" s="305"/>
      <c r="C153" s="305"/>
      <c r="D153" s="305"/>
      <c r="E153" s="305"/>
      <c r="F153" s="305"/>
    </row>
    <row r="154" spans="2:6" x14ac:dyDescent="0.3">
      <c r="B154" s="305"/>
      <c r="C154" s="305"/>
      <c r="D154" s="305"/>
      <c r="E154" s="305"/>
      <c r="F154" s="305"/>
    </row>
    <row r="155" spans="2:6" x14ac:dyDescent="0.3">
      <c r="B155" s="305"/>
      <c r="C155" s="305"/>
      <c r="D155" s="305"/>
      <c r="E155" s="305"/>
      <c r="F155" s="305"/>
    </row>
    <row r="156" spans="2:6" x14ac:dyDescent="0.3">
      <c r="B156" s="305"/>
      <c r="C156" s="305"/>
      <c r="D156" s="305"/>
      <c r="E156" s="305"/>
      <c r="F156" s="305"/>
    </row>
    <row r="157" spans="2:6" x14ac:dyDescent="0.3">
      <c r="B157" s="305"/>
      <c r="C157" s="305"/>
      <c r="D157" s="305"/>
      <c r="E157" s="305"/>
      <c r="F157" s="305"/>
    </row>
    <row r="158" spans="2:6" x14ac:dyDescent="0.3">
      <c r="B158" s="305"/>
      <c r="C158" s="305"/>
      <c r="D158" s="305"/>
      <c r="E158" s="305"/>
      <c r="F158" s="305"/>
    </row>
    <row r="159" spans="2:6" x14ac:dyDescent="0.3">
      <c r="B159" s="305"/>
      <c r="C159" s="305"/>
      <c r="D159" s="305"/>
      <c r="E159" s="305"/>
      <c r="F159" s="305"/>
    </row>
    <row r="160" spans="2:6" x14ac:dyDescent="0.3">
      <c r="B160" s="305"/>
      <c r="C160" s="305"/>
      <c r="D160" s="305"/>
      <c r="E160" s="305"/>
      <c r="F160" s="305"/>
    </row>
    <row r="161" spans="2:6" x14ac:dyDescent="0.3">
      <c r="B161" s="305"/>
      <c r="C161" s="305"/>
      <c r="D161" s="305"/>
      <c r="E161" s="305"/>
      <c r="F161" s="305"/>
    </row>
    <row r="162" spans="2:6" x14ac:dyDescent="0.3">
      <c r="B162" s="305"/>
      <c r="C162" s="305"/>
      <c r="D162" s="305"/>
      <c r="E162" s="305"/>
      <c r="F162" s="305"/>
    </row>
    <row r="163" spans="2:6" x14ac:dyDescent="0.3">
      <c r="B163" s="305"/>
      <c r="C163" s="305"/>
      <c r="D163" s="305"/>
      <c r="E163" s="305"/>
      <c r="F163" s="305"/>
    </row>
    <row r="164" spans="2:6" x14ac:dyDescent="0.3">
      <c r="B164" s="305"/>
      <c r="C164" s="305"/>
      <c r="D164" s="305"/>
      <c r="E164" s="305"/>
      <c r="F164" s="305"/>
    </row>
    <row r="165" spans="2:6" x14ac:dyDescent="0.3">
      <c r="B165" s="305"/>
      <c r="C165" s="305"/>
      <c r="D165" s="305"/>
      <c r="E165" s="305"/>
      <c r="F165" s="305"/>
    </row>
    <row r="166" spans="2:6" x14ac:dyDescent="0.3">
      <c r="B166" s="305"/>
      <c r="C166" s="305"/>
      <c r="D166" s="305"/>
      <c r="E166" s="305"/>
      <c r="F166" s="305"/>
    </row>
    <row r="167" spans="2:6" x14ac:dyDescent="0.3">
      <c r="B167" s="305"/>
      <c r="C167" s="305"/>
      <c r="D167" s="305"/>
      <c r="E167" s="305"/>
      <c r="F167" s="305"/>
    </row>
    <row r="168" spans="2:6" x14ac:dyDescent="0.3">
      <c r="B168" s="305"/>
      <c r="C168" s="305"/>
      <c r="D168" s="305"/>
      <c r="E168" s="305"/>
      <c r="F168" s="305"/>
    </row>
    <row r="169" spans="2:6" x14ac:dyDescent="0.3">
      <c r="B169" s="305"/>
    </row>
    <row r="170" spans="2:6" x14ac:dyDescent="0.3">
      <c r="B170" s="305"/>
    </row>
    <row r="171" spans="2:6" x14ac:dyDescent="0.3">
      <c r="B171" s="305"/>
    </row>
    <row r="172" spans="2:6" x14ac:dyDescent="0.3">
      <c r="B172" s="305"/>
    </row>
    <row r="173" spans="2:6" x14ac:dyDescent="0.3">
      <c r="B173" s="305"/>
    </row>
    <row r="174" spans="2:6" x14ac:dyDescent="0.3">
      <c r="B174" s="305"/>
    </row>
    <row r="175" spans="2:6" x14ac:dyDescent="0.3">
      <c r="B175" s="305"/>
    </row>
    <row r="176" spans="2:6" x14ac:dyDescent="0.3">
      <c r="B176" s="305"/>
    </row>
    <row r="177" spans="2:2" x14ac:dyDescent="0.3">
      <c r="B177" s="305"/>
    </row>
    <row r="178" spans="2:2" x14ac:dyDescent="0.3">
      <c r="B178" s="305"/>
    </row>
    <row r="179" spans="2:2" x14ac:dyDescent="0.3">
      <c r="B179" s="305"/>
    </row>
    <row r="180" spans="2:2" x14ac:dyDescent="0.3">
      <c r="B180" s="305"/>
    </row>
    <row r="181" spans="2:2" x14ac:dyDescent="0.3">
      <c r="B181" s="305"/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196C-04BD-4668-9CF4-D72DB51987D6}">
  <sheetPr>
    <tabColor theme="0" tint="-0.249977111117893"/>
  </sheetPr>
  <dimension ref="A1:I84"/>
  <sheetViews>
    <sheetView showGridLines="0" zoomScale="120" zoomScaleNormal="120" zoomScaleSheetLayoutView="100" workbookViewId="0">
      <pane xSplit="1" ySplit="5" topLeftCell="B6" activePane="bottomRight" state="frozen"/>
      <selection sqref="A1:XFD1048576"/>
      <selection pane="topRight" sqref="A1:XFD1048576"/>
      <selection pane="bottomLeft" sqref="A1:XFD1048576"/>
      <selection pane="bottomRight" activeCell="B16" sqref="B16"/>
    </sheetView>
  </sheetViews>
  <sheetFormatPr defaultColWidth="11.453125" defaultRowHeight="15" customHeight="1" x14ac:dyDescent="0.35"/>
  <cols>
    <col min="1" max="1" width="54.453125" style="364" customWidth="1"/>
    <col min="2" max="4" width="14.453125" style="364" customWidth="1"/>
    <col min="5" max="5" width="14.26953125" style="364" bestFit="1" customWidth="1"/>
    <col min="6" max="6" width="14.26953125" style="364" customWidth="1"/>
    <col min="7" max="7" width="14.453125" style="364" bestFit="1" customWidth="1"/>
    <col min="8" max="16384" width="11.453125" style="364"/>
  </cols>
  <sheetData>
    <row r="1" spans="1:9" ht="15" customHeight="1" x14ac:dyDescent="0.3">
      <c r="A1" s="289" t="s">
        <v>223</v>
      </c>
    </row>
    <row r="2" spans="1:9" ht="25" x14ac:dyDescent="0.35">
      <c r="A2" s="365" t="s">
        <v>265</v>
      </c>
    </row>
    <row r="3" spans="1:9" ht="14.5" customHeight="1" x14ac:dyDescent="0.3">
      <c r="A3" s="289" t="s">
        <v>270</v>
      </c>
    </row>
    <row r="4" spans="1:9" ht="45" x14ac:dyDescent="0.35">
      <c r="A4" s="366"/>
      <c r="B4" s="295" t="s">
        <v>219</v>
      </c>
      <c r="C4" s="295" t="s">
        <v>271</v>
      </c>
      <c r="D4" s="295" t="s">
        <v>272</v>
      </c>
    </row>
    <row r="5" spans="1:9" ht="14" x14ac:dyDescent="0.35">
      <c r="A5" s="367" t="s">
        <v>239</v>
      </c>
      <c r="B5" s="368"/>
      <c r="C5" s="368"/>
      <c r="D5" s="368"/>
    </row>
    <row r="6" spans="1:9" ht="14" x14ac:dyDescent="0.35">
      <c r="A6" s="369" t="s">
        <v>40</v>
      </c>
      <c r="B6" s="370">
        <f>+'Tabla A6.'!$E$8</f>
        <v>2147000</v>
      </c>
      <c r="C6" s="371">
        <v>1</v>
      </c>
      <c r="D6" s="372">
        <f>B6*(1+C6)</f>
        <v>4294000</v>
      </c>
    </row>
    <row r="7" spans="1:9" ht="14" x14ac:dyDescent="0.35">
      <c r="A7" s="364" t="s">
        <v>41</v>
      </c>
      <c r="B7" s="373">
        <f>+'Tabla A2. Formulado'!S6*'TNA2. Formulado '!$B$6</f>
        <v>1699736.863553226</v>
      </c>
      <c r="C7" s="374">
        <v>1</v>
      </c>
      <c r="D7" s="375">
        <f>B7*(1+C7)</f>
        <v>3399473.727106452</v>
      </c>
    </row>
    <row r="8" spans="1:9" ht="14" x14ac:dyDescent="0.35">
      <c r="A8" s="376" t="s">
        <v>42</v>
      </c>
      <c r="B8" s="377">
        <f>B6-B7</f>
        <v>447263.13644677401</v>
      </c>
      <c r="C8" s="377"/>
      <c r="D8" s="377">
        <f>D6-D7</f>
        <v>894526.27289354801</v>
      </c>
    </row>
    <row r="9" spans="1:9" ht="14" x14ac:dyDescent="0.35">
      <c r="A9" s="364" t="s">
        <v>44</v>
      </c>
      <c r="B9" s="373">
        <f>($B$8-'Tabla TNA2.'!$C$12)*('Tabla A2. Formulado'!S8/(SUM('Tabla A2. Formulado'!$S$8:$S$10)))</f>
        <v>144880.92476246619</v>
      </c>
      <c r="C9" s="378">
        <v>1</v>
      </c>
      <c r="D9" s="375">
        <f>B9*(1+C9)</f>
        <v>289761.84952493239</v>
      </c>
      <c r="E9" s="379"/>
      <c r="F9" s="379"/>
      <c r="G9" s="380"/>
      <c r="I9" s="378"/>
    </row>
    <row r="10" spans="1:9" ht="14" x14ac:dyDescent="0.35">
      <c r="A10" s="369" t="s">
        <v>45</v>
      </c>
      <c r="B10" s="373">
        <f>($B$8-'Tabla TNA2.'!$C$12)*('Tabla A2. Formulado'!S9/(SUM('Tabla A2. Formulado'!$S$8:$S$10)))</f>
        <v>69158.657640396021</v>
      </c>
      <c r="C10" s="378">
        <v>1</v>
      </c>
      <c r="D10" s="375">
        <f>B10*(1+C10)</f>
        <v>138317.31528079204</v>
      </c>
      <c r="E10" s="379"/>
      <c r="F10" s="379"/>
      <c r="G10" s="380"/>
      <c r="I10" s="368"/>
    </row>
    <row r="11" spans="1:9" ht="14" x14ac:dyDescent="0.35">
      <c r="A11" s="364" t="s">
        <v>46</v>
      </c>
      <c r="B11" s="373">
        <f>($B$8-'Tabla TNA2.'!$C$12)*('Tabla A2. Formulado'!S10/(SUM('Tabla A2. Formulado'!$S$8:$S$10)))</f>
        <v>38223.554043911819</v>
      </c>
      <c r="C11" s="378">
        <v>1</v>
      </c>
      <c r="D11" s="375">
        <f>B11*(1+C11)</f>
        <v>76447.108087823639</v>
      </c>
      <c r="E11" s="381"/>
      <c r="F11" s="381"/>
    </row>
    <row r="12" spans="1:9" ht="14" x14ac:dyDescent="0.35">
      <c r="A12" s="376" t="s">
        <v>47</v>
      </c>
      <c r="B12" s="382">
        <f>+'Tabla A6.'!$E$10</f>
        <v>195000</v>
      </c>
      <c r="C12" s="382"/>
      <c r="D12" s="382">
        <f>D8-D9-D10-D11</f>
        <v>389999.99999999988</v>
      </c>
      <c r="E12" s="381"/>
      <c r="F12" s="383"/>
    </row>
    <row r="13" spans="1:9" ht="14" x14ac:dyDescent="0.35">
      <c r="A13" s="369" t="s">
        <v>49</v>
      </c>
      <c r="B13" s="373">
        <f>(300000*('Tabla A2. Formulado'!S12/('Tabla A2. Formulado'!$S$12+'Tabla A2. Formulado'!$S$13+'Tabla A2. Formulado'!$S$16)))</f>
        <v>6732.2429699996774</v>
      </c>
      <c r="C13" s="378">
        <v>1</v>
      </c>
      <c r="D13" s="375">
        <f t="shared" ref="D13:D18" si="0">B13*(1+C13)</f>
        <v>13464.485939999355</v>
      </c>
      <c r="E13" s="379"/>
      <c r="F13" s="380"/>
      <c r="G13" s="384"/>
    </row>
    <row r="14" spans="1:9" ht="14" x14ac:dyDescent="0.35">
      <c r="A14" s="364" t="s">
        <v>50</v>
      </c>
      <c r="B14" s="373">
        <f>(300000*('Tabla A2. Formulado'!S13/('Tabla A2. Formulado'!$S$12+'Tabla A2. Formulado'!$S$13+'Tabla A2. Formulado'!$S$16)))</f>
        <v>25905.068863480792</v>
      </c>
      <c r="C14" s="378">
        <v>0.5</v>
      </c>
      <c r="D14" s="375">
        <f t="shared" si="0"/>
        <v>38857.60329522119</v>
      </c>
      <c r="E14" s="379"/>
      <c r="F14" s="380"/>
      <c r="G14" s="384"/>
    </row>
    <row r="15" spans="1:9" ht="14" x14ac:dyDescent="0.35">
      <c r="A15" s="369" t="s">
        <v>51</v>
      </c>
      <c r="B15" s="373">
        <f>(-120430.07*('Tabla A2. Formulado'!S14/('Tabla A2. Formulado'!$S$14+'Tabla A2. Formulado'!$S$15+'Tabla A2. Formulado'!$S$17)))</f>
        <v>-33468.016279479714</v>
      </c>
      <c r="C15" s="378">
        <v>5</v>
      </c>
      <c r="D15" s="375">
        <f t="shared" si="0"/>
        <v>-200808.09767687827</v>
      </c>
      <c r="E15" s="379"/>
      <c r="F15" s="380"/>
      <c r="G15" s="384"/>
    </row>
    <row r="16" spans="1:9" ht="14" x14ac:dyDescent="0.35">
      <c r="A16" s="364" t="s">
        <v>52</v>
      </c>
      <c r="B16" s="373">
        <f>(-120430.07*('Tabla A2. Formulado'!S15/('Tabla A2. Formulado'!$S$14+'Tabla A2. Formulado'!$S$15+'Tabla A2. Formulado'!$S$17)))</f>
        <v>-2706.6391206360104</v>
      </c>
      <c r="C16" s="378">
        <v>1</v>
      </c>
      <c r="D16" s="375">
        <f t="shared" si="0"/>
        <v>-5413.2782412720208</v>
      </c>
      <c r="E16" s="379"/>
      <c r="F16" s="380"/>
      <c r="G16" s="384"/>
    </row>
    <row r="17" spans="1:7" ht="14" x14ac:dyDescent="0.35">
      <c r="A17" s="369" t="s">
        <v>53</v>
      </c>
      <c r="B17" s="373">
        <f>(300000*('Tabla A2. Formulado'!S16/('Tabla A2. Formulado'!$S$12+'Tabla A2. Formulado'!$S$13+'Tabla A2. Formulado'!$S$16)))</f>
        <v>267362.68816651951</v>
      </c>
      <c r="C17" s="378">
        <v>0.5</v>
      </c>
      <c r="D17" s="375">
        <f t="shared" si="0"/>
        <v>401044.03224977927</v>
      </c>
      <c r="E17" s="379"/>
      <c r="F17" s="379"/>
      <c r="G17" s="384"/>
    </row>
    <row r="18" spans="1:7" ht="14" x14ac:dyDescent="0.35">
      <c r="A18" s="369" t="s">
        <v>54</v>
      </c>
      <c r="B18" s="373">
        <f>(-120430.07*('Tabla A2. Formulado'!S17/('Tabla A2. Formulado'!$S$14+'Tabla A2. Formulado'!$S$15+'Tabla A2. Formulado'!$S$17)))</f>
        <v>-84255.414599884272</v>
      </c>
      <c r="C18" s="378">
        <v>1</v>
      </c>
      <c r="D18" s="375">
        <f t="shared" si="0"/>
        <v>-168510.82919976854</v>
      </c>
      <c r="E18" s="379"/>
      <c r="F18" s="379"/>
      <c r="G18" s="384"/>
    </row>
    <row r="19" spans="1:7" ht="14" x14ac:dyDescent="0.35">
      <c r="A19" s="376" t="s">
        <v>55</v>
      </c>
      <c r="B19" s="377">
        <f>+B21+B20</f>
        <v>374569.92764289473</v>
      </c>
      <c r="C19" s="377"/>
      <c r="D19" s="377">
        <f>D12+SUM(D13:D18)</f>
        <v>468633.91636708088</v>
      </c>
    </row>
    <row r="20" spans="1:7" ht="14" x14ac:dyDescent="0.35">
      <c r="A20" s="364" t="s">
        <v>56</v>
      </c>
      <c r="B20" s="373">
        <f>+$B$6*'Tabla A2. Formulado'!S19</f>
        <v>14644.92764289472</v>
      </c>
      <c r="C20" s="378">
        <v>1</v>
      </c>
      <c r="D20" s="375">
        <f>B20*(1+C20)</f>
        <v>29289.855285789439</v>
      </c>
      <c r="E20" s="385"/>
      <c r="F20" s="385"/>
    </row>
    <row r="21" spans="1:7" ht="14" x14ac:dyDescent="0.35">
      <c r="A21" s="376" t="s">
        <v>57</v>
      </c>
      <c r="B21" s="377">
        <f>+B23-B22</f>
        <v>359925</v>
      </c>
      <c r="C21" s="377"/>
      <c r="D21" s="377">
        <f>D19-D20</f>
        <v>439344.06108129141</v>
      </c>
      <c r="E21" s="385"/>
      <c r="F21" s="385"/>
    </row>
    <row r="22" spans="1:7" ht="28" x14ac:dyDescent="0.35">
      <c r="A22" s="386" t="s">
        <v>58</v>
      </c>
      <c r="B22" s="373">
        <v>-5925</v>
      </c>
      <c r="C22" s="378">
        <v>1</v>
      </c>
      <c r="D22" s="375">
        <f>B22*(1+C22)</f>
        <v>-11850</v>
      </c>
      <c r="E22" s="385"/>
      <c r="F22" s="385"/>
    </row>
    <row r="23" spans="1:7" ht="14" x14ac:dyDescent="0.35">
      <c r="A23" s="387" t="s">
        <v>59</v>
      </c>
      <c r="B23" s="382">
        <f>+'Tabla A6.'!$E$13</f>
        <v>354000</v>
      </c>
      <c r="C23" s="382"/>
      <c r="D23" s="382">
        <f>D21+D22</f>
        <v>427494.06108129141</v>
      </c>
      <c r="E23" s="380"/>
      <c r="F23" s="380"/>
    </row>
    <row r="24" spans="1:7" ht="14" x14ac:dyDescent="0.35">
      <c r="B24" s="388"/>
      <c r="C24" s="388"/>
      <c r="D24" s="388"/>
    </row>
    <row r="25" spans="1:7" ht="14" x14ac:dyDescent="0.35">
      <c r="B25" s="389"/>
      <c r="C25" s="389"/>
      <c r="D25" s="389"/>
    </row>
    <row r="26" spans="1:7" ht="14" x14ac:dyDescent="0.35">
      <c r="B26" s="389"/>
      <c r="C26" s="389"/>
      <c r="D26" s="389"/>
    </row>
    <row r="27" spans="1:7" ht="14" x14ac:dyDescent="0.35">
      <c r="B27" s="389"/>
      <c r="C27" s="390"/>
      <c r="D27" s="389"/>
    </row>
    <row r="28" spans="1:7" ht="14" x14ac:dyDescent="0.35">
      <c r="B28" s="389"/>
      <c r="C28" s="389"/>
      <c r="D28" s="389"/>
    </row>
    <row r="29" spans="1:7" ht="14" x14ac:dyDescent="0.35">
      <c r="B29" s="389"/>
      <c r="C29" s="389"/>
      <c r="D29" s="389"/>
    </row>
    <row r="30" spans="1:7" ht="14" x14ac:dyDescent="0.35">
      <c r="B30" s="389"/>
      <c r="C30" s="389"/>
      <c r="D30" s="389"/>
    </row>
    <row r="31" spans="1:7" ht="14" x14ac:dyDescent="0.35">
      <c r="B31" s="389"/>
      <c r="C31" s="389"/>
      <c r="D31" s="389"/>
    </row>
    <row r="32" spans="1:7" ht="14" x14ac:dyDescent="0.35">
      <c r="B32" s="389"/>
      <c r="C32" s="389"/>
      <c r="D32" s="389"/>
    </row>
    <row r="33" spans="1:4" ht="14" x14ac:dyDescent="0.35">
      <c r="B33" s="389"/>
      <c r="C33" s="389"/>
      <c r="D33" s="389"/>
    </row>
    <row r="34" spans="1:4" s="391" customFormat="1" ht="14" x14ac:dyDescent="0.35">
      <c r="A34" s="364"/>
      <c r="B34" s="389"/>
      <c r="C34" s="389"/>
      <c r="D34" s="389"/>
    </row>
    <row r="35" spans="1:4" s="391" customFormat="1" ht="14" x14ac:dyDescent="0.35">
      <c r="A35" s="364"/>
      <c r="B35" s="389"/>
      <c r="C35" s="389"/>
      <c r="D35" s="389"/>
    </row>
    <row r="36" spans="1:4" s="391" customFormat="1" ht="14" x14ac:dyDescent="0.35">
      <c r="A36" s="364"/>
      <c r="B36" s="389"/>
      <c r="C36" s="389"/>
      <c r="D36" s="389"/>
    </row>
    <row r="37" spans="1:4" s="391" customFormat="1" ht="14" x14ac:dyDescent="0.35">
      <c r="A37" s="364"/>
      <c r="B37" s="389"/>
      <c r="C37" s="389"/>
      <c r="D37" s="389"/>
    </row>
    <row r="38" spans="1:4" s="391" customFormat="1" ht="14" x14ac:dyDescent="0.35">
      <c r="A38" s="364"/>
      <c r="B38" s="389"/>
      <c r="C38" s="389"/>
      <c r="D38" s="389"/>
    </row>
    <row r="39" spans="1:4" s="391" customFormat="1" ht="14" x14ac:dyDescent="0.35">
      <c r="A39" s="364"/>
      <c r="B39" s="389"/>
      <c r="C39" s="389"/>
      <c r="D39" s="389"/>
    </row>
    <row r="40" spans="1:4" s="391" customFormat="1" ht="14" x14ac:dyDescent="0.35">
      <c r="A40" s="364"/>
      <c r="B40" s="389"/>
      <c r="C40" s="389"/>
      <c r="D40" s="389"/>
    </row>
    <row r="41" spans="1:4" s="391" customFormat="1" ht="14" x14ac:dyDescent="0.35">
      <c r="A41" s="364"/>
      <c r="B41" s="389"/>
      <c r="C41" s="389"/>
      <c r="D41" s="389"/>
    </row>
    <row r="42" spans="1:4" s="391" customFormat="1" ht="14" x14ac:dyDescent="0.35">
      <c r="A42" s="364"/>
      <c r="B42" s="389"/>
      <c r="C42" s="389"/>
      <c r="D42" s="389"/>
    </row>
    <row r="43" spans="1:4" s="391" customFormat="1" ht="14" x14ac:dyDescent="0.35">
      <c r="A43" s="364"/>
      <c r="B43" s="389"/>
      <c r="C43" s="389"/>
      <c r="D43" s="389"/>
    </row>
    <row r="44" spans="1:4" s="391" customFormat="1" ht="14" x14ac:dyDescent="0.35">
      <c r="A44" s="364"/>
      <c r="B44" s="389"/>
      <c r="C44" s="389"/>
      <c r="D44" s="389"/>
    </row>
    <row r="45" spans="1:4" s="391" customFormat="1" ht="14" x14ac:dyDescent="0.35">
      <c r="A45" s="364"/>
      <c r="B45" s="389"/>
      <c r="C45" s="389"/>
      <c r="D45" s="389"/>
    </row>
    <row r="46" spans="1:4" s="391" customFormat="1" ht="14" x14ac:dyDescent="0.35">
      <c r="A46" s="364"/>
      <c r="B46" s="389"/>
      <c r="C46" s="389"/>
      <c r="D46" s="389"/>
    </row>
    <row r="47" spans="1:4" s="391" customFormat="1" ht="14" x14ac:dyDescent="0.35">
      <c r="A47" s="364"/>
      <c r="B47" s="389"/>
      <c r="C47" s="389"/>
      <c r="D47" s="389"/>
    </row>
    <row r="48" spans="1:4" s="391" customFormat="1" ht="14" x14ac:dyDescent="0.35">
      <c r="A48" s="364"/>
      <c r="B48" s="389"/>
      <c r="C48" s="389"/>
      <c r="D48" s="389"/>
    </row>
    <row r="49" spans="1:4" s="391" customFormat="1" ht="14" x14ac:dyDescent="0.35">
      <c r="A49" s="364"/>
      <c r="B49" s="389"/>
      <c r="C49" s="389"/>
      <c r="D49" s="389"/>
    </row>
    <row r="50" spans="1:4" s="391" customFormat="1" ht="14" x14ac:dyDescent="0.35">
      <c r="A50" s="364"/>
      <c r="B50" s="389"/>
      <c r="C50" s="389"/>
      <c r="D50" s="389"/>
    </row>
    <row r="51" spans="1:4" s="391" customFormat="1" ht="14" x14ac:dyDescent="0.35">
      <c r="A51" s="364"/>
      <c r="B51" s="389"/>
      <c r="C51" s="389"/>
      <c r="D51" s="389"/>
    </row>
    <row r="52" spans="1:4" s="391" customFormat="1" ht="14" x14ac:dyDescent="0.35">
      <c r="A52" s="364"/>
      <c r="B52" s="389"/>
      <c r="C52" s="389"/>
      <c r="D52" s="389"/>
    </row>
    <row r="53" spans="1:4" s="391" customFormat="1" ht="14" x14ac:dyDescent="0.35">
      <c r="A53" s="364"/>
      <c r="B53" s="389"/>
      <c r="C53" s="389"/>
      <c r="D53" s="389"/>
    </row>
    <row r="54" spans="1:4" s="391" customFormat="1" ht="14" x14ac:dyDescent="0.35">
      <c r="A54" s="364"/>
      <c r="B54" s="389"/>
      <c r="C54" s="389"/>
      <c r="D54" s="389"/>
    </row>
    <row r="55" spans="1:4" s="391" customFormat="1" ht="14" x14ac:dyDescent="0.35">
      <c r="A55" s="364"/>
      <c r="B55" s="389"/>
      <c r="C55" s="389"/>
      <c r="D55" s="389"/>
    </row>
    <row r="56" spans="1:4" s="391" customFormat="1" ht="14" x14ac:dyDescent="0.35">
      <c r="A56" s="364"/>
      <c r="B56" s="389"/>
      <c r="C56" s="389"/>
      <c r="D56" s="389"/>
    </row>
    <row r="57" spans="1:4" s="391" customFormat="1" ht="14" x14ac:dyDescent="0.35">
      <c r="A57" s="364"/>
      <c r="B57" s="389"/>
      <c r="C57" s="389"/>
      <c r="D57" s="389"/>
    </row>
    <row r="58" spans="1:4" s="391" customFormat="1" ht="14" x14ac:dyDescent="0.35">
      <c r="A58" s="364"/>
      <c r="B58" s="389"/>
      <c r="C58" s="389"/>
      <c r="D58" s="389"/>
    </row>
    <row r="59" spans="1:4" s="391" customFormat="1" ht="14" x14ac:dyDescent="0.35">
      <c r="A59" s="364"/>
      <c r="B59" s="389"/>
      <c r="C59" s="389"/>
      <c r="D59" s="389"/>
    </row>
    <row r="60" spans="1:4" s="391" customFormat="1" ht="14" x14ac:dyDescent="0.35">
      <c r="A60" s="364"/>
      <c r="B60" s="389"/>
      <c r="C60" s="389"/>
      <c r="D60" s="389"/>
    </row>
    <row r="61" spans="1:4" s="391" customFormat="1" ht="14" x14ac:dyDescent="0.35">
      <c r="A61" s="364"/>
      <c r="B61" s="389"/>
      <c r="C61" s="389"/>
      <c r="D61" s="389"/>
    </row>
    <row r="62" spans="1:4" s="391" customFormat="1" ht="14" x14ac:dyDescent="0.35">
      <c r="A62" s="364"/>
      <c r="B62" s="389"/>
      <c r="C62" s="389"/>
      <c r="D62" s="389"/>
    </row>
    <row r="63" spans="1:4" s="391" customFormat="1" ht="14" x14ac:dyDescent="0.35">
      <c r="A63" s="364"/>
      <c r="B63" s="389"/>
      <c r="C63" s="389"/>
      <c r="D63" s="389"/>
    </row>
    <row r="64" spans="1:4" s="391" customFormat="1" ht="14" x14ac:dyDescent="0.35">
      <c r="A64" s="364"/>
      <c r="B64" s="389"/>
      <c r="C64" s="389"/>
      <c r="D64" s="389"/>
    </row>
    <row r="65" spans="1:4" s="391" customFormat="1" ht="14" x14ac:dyDescent="0.35">
      <c r="A65" s="364"/>
      <c r="B65" s="389"/>
      <c r="C65" s="389"/>
      <c r="D65" s="389"/>
    </row>
    <row r="66" spans="1:4" s="391" customFormat="1" ht="14" x14ac:dyDescent="0.35">
      <c r="A66" s="364"/>
      <c r="B66" s="389"/>
      <c r="C66" s="389"/>
      <c r="D66" s="389"/>
    </row>
    <row r="67" spans="1:4" s="391" customFormat="1" ht="14" x14ac:dyDescent="0.35">
      <c r="A67" s="364"/>
      <c r="B67" s="389"/>
      <c r="C67" s="389"/>
      <c r="D67" s="389"/>
    </row>
    <row r="68" spans="1:4" s="391" customFormat="1" ht="14" x14ac:dyDescent="0.35">
      <c r="A68" s="364"/>
      <c r="B68" s="389"/>
      <c r="C68" s="389"/>
      <c r="D68" s="389"/>
    </row>
    <row r="69" spans="1:4" s="391" customFormat="1" ht="14" x14ac:dyDescent="0.35">
      <c r="A69" s="364"/>
      <c r="B69" s="389"/>
      <c r="C69" s="389"/>
      <c r="D69" s="389"/>
    </row>
    <row r="70" spans="1:4" s="391" customFormat="1" ht="14" x14ac:dyDescent="0.35">
      <c r="A70" s="364"/>
      <c r="B70" s="389"/>
      <c r="C70" s="389"/>
      <c r="D70" s="389"/>
    </row>
    <row r="71" spans="1:4" s="391" customFormat="1" ht="14" x14ac:dyDescent="0.35">
      <c r="A71" s="364"/>
      <c r="B71" s="389"/>
      <c r="C71" s="389"/>
      <c r="D71" s="389"/>
    </row>
    <row r="72" spans="1:4" s="391" customFormat="1" ht="14" x14ac:dyDescent="0.35">
      <c r="A72" s="364"/>
      <c r="B72" s="389"/>
      <c r="C72" s="389"/>
      <c r="D72" s="389"/>
    </row>
    <row r="73" spans="1:4" s="391" customFormat="1" ht="14" x14ac:dyDescent="0.35">
      <c r="A73" s="364"/>
      <c r="B73" s="389"/>
      <c r="C73" s="389"/>
      <c r="D73" s="389"/>
    </row>
    <row r="74" spans="1:4" s="391" customFormat="1" ht="14" x14ac:dyDescent="0.35">
      <c r="A74" s="364"/>
      <c r="B74" s="389"/>
      <c r="C74" s="389"/>
      <c r="D74" s="389"/>
    </row>
    <row r="75" spans="1:4" s="391" customFormat="1" ht="14" x14ac:dyDescent="0.35">
      <c r="A75" s="364"/>
      <c r="B75" s="389"/>
      <c r="C75" s="389"/>
      <c r="D75" s="389"/>
    </row>
    <row r="76" spans="1:4" s="391" customFormat="1" ht="14" x14ac:dyDescent="0.35">
      <c r="A76" s="364"/>
      <c r="B76" s="389"/>
      <c r="C76" s="389"/>
      <c r="D76" s="389"/>
    </row>
    <row r="77" spans="1:4" s="391" customFormat="1" ht="14" x14ac:dyDescent="0.35">
      <c r="A77" s="364"/>
      <c r="B77" s="389"/>
      <c r="C77" s="389"/>
      <c r="D77" s="389"/>
    </row>
    <row r="78" spans="1:4" s="391" customFormat="1" ht="14" x14ac:dyDescent="0.35">
      <c r="A78" s="364"/>
      <c r="B78" s="389"/>
      <c r="C78" s="389"/>
      <c r="D78" s="389"/>
    </row>
    <row r="79" spans="1:4" s="391" customFormat="1" ht="14" x14ac:dyDescent="0.35">
      <c r="A79" s="364"/>
      <c r="B79" s="389"/>
      <c r="C79" s="389"/>
      <c r="D79" s="389"/>
    </row>
    <row r="80" spans="1:4" s="391" customFormat="1" ht="14" x14ac:dyDescent="0.35">
      <c r="A80" s="364"/>
      <c r="B80" s="389"/>
      <c r="C80" s="389"/>
      <c r="D80" s="389"/>
    </row>
    <row r="81" spans="1:4" s="391" customFormat="1" ht="14" x14ac:dyDescent="0.35">
      <c r="A81" s="364"/>
      <c r="B81" s="389"/>
      <c r="C81" s="389"/>
      <c r="D81" s="389"/>
    </row>
    <row r="82" spans="1:4" s="391" customFormat="1" ht="14" x14ac:dyDescent="0.35">
      <c r="A82" s="364"/>
      <c r="B82" s="389"/>
      <c r="C82" s="389"/>
      <c r="D82" s="389"/>
    </row>
    <row r="83" spans="1:4" s="391" customFormat="1" ht="14" x14ac:dyDescent="0.35">
      <c r="A83" s="364"/>
      <c r="B83" s="364"/>
      <c r="C83" s="364"/>
      <c r="D83" s="364"/>
    </row>
    <row r="84" spans="1:4" s="391" customFormat="1" ht="14" x14ac:dyDescent="0.35">
      <c r="A84" s="364"/>
      <c r="B84" s="364"/>
      <c r="C84" s="364"/>
      <c r="D84" s="364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4F044-DC6A-4019-B5B3-C13DB8023181}">
  <sheetPr>
    <tabColor theme="1"/>
  </sheetPr>
  <dimension ref="B19:P21"/>
  <sheetViews>
    <sheetView showGridLines="0" topLeftCell="B9" zoomScale="130" zoomScaleNormal="130" workbookViewId="0">
      <selection activeCell="C17" sqref="C17"/>
    </sheetView>
  </sheetViews>
  <sheetFormatPr defaultColWidth="11.453125" defaultRowHeight="14.5" x14ac:dyDescent="0.35"/>
  <cols>
    <col min="1" max="16384" width="11.453125" style="75"/>
  </cols>
  <sheetData>
    <row r="19" spans="2:16" ht="21" x14ac:dyDescent="0.5">
      <c r="B19" s="78" t="s">
        <v>486</v>
      </c>
      <c r="C19" s="79"/>
      <c r="D19" s="76"/>
      <c r="E19" s="76"/>
      <c r="F19" s="76"/>
      <c r="G19" s="76"/>
      <c r="H19" s="76"/>
      <c r="I19" s="77"/>
      <c r="J19" s="77"/>
      <c r="K19" s="77"/>
      <c r="L19" s="77"/>
      <c r="M19" s="77"/>
      <c r="N19" s="77"/>
      <c r="O19" s="77"/>
      <c r="P19" s="77"/>
    </row>
    <row r="20" spans="2:16" ht="15.5" x14ac:dyDescent="0.35">
      <c r="B20" s="79"/>
      <c r="C20" s="79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</row>
    <row r="21" spans="2:16" ht="15.5" x14ac:dyDescent="0.35">
      <c r="B21" s="79"/>
      <c r="C21" s="79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249977111117893"/>
  </sheetPr>
  <dimension ref="A1:J38"/>
  <sheetViews>
    <sheetView showGridLines="0" zoomScale="90" zoomScaleNormal="90" workbookViewId="0">
      <selection sqref="A1:H1"/>
    </sheetView>
  </sheetViews>
  <sheetFormatPr defaultColWidth="11.453125" defaultRowHeight="14" outlineLevelCol="1" x14ac:dyDescent="0.3"/>
  <cols>
    <col min="1" max="1" width="51.453125" style="353" bestFit="1" customWidth="1"/>
    <col min="2" max="2" width="11.54296875" style="290" customWidth="1" outlineLevel="1"/>
    <col min="3" max="3" width="12.453125" style="290" customWidth="1" outlineLevel="1"/>
    <col min="4" max="9" width="12.54296875" style="290" customWidth="1"/>
    <col min="10" max="10" width="66.81640625" style="356" customWidth="1"/>
    <col min="11" max="16384" width="11.453125" style="290"/>
  </cols>
  <sheetData>
    <row r="1" spans="1:9" ht="15" x14ac:dyDescent="0.3">
      <c r="A1" s="476" t="s">
        <v>273</v>
      </c>
      <c r="B1" s="476"/>
      <c r="C1" s="476"/>
      <c r="D1" s="476"/>
      <c r="E1" s="476"/>
      <c r="F1" s="476"/>
      <c r="G1" s="476"/>
      <c r="H1" s="476"/>
      <c r="I1" s="355"/>
    </row>
    <row r="2" spans="1:9" ht="30" x14ac:dyDescent="0.3">
      <c r="A2" s="357"/>
      <c r="B2" s="337" t="s">
        <v>274</v>
      </c>
      <c r="C2" s="337" t="s">
        <v>275</v>
      </c>
      <c r="D2" s="337" t="s">
        <v>276</v>
      </c>
      <c r="E2" s="337" t="s">
        <v>277</v>
      </c>
      <c r="F2" s="337" t="s">
        <v>278</v>
      </c>
      <c r="G2" s="337" t="s">
        <v>279</v>
      </c>
      <c r="H2" s="337">
        <v>2012</v>
      </c>
      <c r="I2" s="358" t="s">
        <v>280</v>
      </c>
    </row>
    <row r="3" spans="1:9" ht="15" x14ac:dyDescent="0.3">
      <c r="A3" s="345" t="s">
        <v>281</v>
      </c>
      <c r="B3" s="346"/>
      <c r="C3" s="346"/>
      <c r="D3" s="346"/>
      <c r="E3" s="346"/>
      <c r="F3" s="346"/>
      <c r="G3" s="346"/>
      <c r="H3" s="346"/>
      <c r="I3" s="355"/>
    </row>
    <row r="4" spans="1:9" ht="15.5" x14ac:dyDescent="0.3">
      <c r="A4" s="180" t="s">
        <v>282</v>
      </c>
      <c r="B4" s="340">
        <f>+'Tabla A1. Formulado'!C15/'Tabla A1. Formulado'!C36</f>
        <v>0.90058267620368637</v>
      </c>
      <c r="C4" s="340">
        <f>+'Tabla A1. Formulado'!D15/'Tabla A1. Formulado'!D36</f>
        <v>1.0186419421185609</v>
      </c>
      <c r="D4" s="340">
        <f>+'Tabla A1. Formulado'!E15/'Tabla A1. Formulado'!E36</f>
        <v>0.84569028949227065</v>
      </c>
      <c r="E4" s="340">
        <f>+'Tabla A1. Formulado'!F15/'Tabla A1. Formulado'!F36</f>
        <v>0.83489116389467077</v>
      </c>
      <c r="F4" s="340">
        <f>+'Tabla A1. Formulado'!G15/'Tabla A1. Formulado'!G36</f>
        <v>0.83690947001031202</v>
      </c>
      <c r="G4" s="340">
        <f>+'Tabla A1. Formulado'!H15/'Tabla A1. Formulado'!H36</f>
        <v>0.5493871143998218</v>
      </c>
      <c r="H4" s="340">
        <f>+'Tabla A1. Formulado'!I15/'Tabla A1. Formulado'!I36</f>
        <v>0.75362552241201219</v>
      </c>
      <c r="I4" s="340">
        <f>+'Tabla A1. Formulado'!J15/'Tabla A1. Formulado'!J36</f>
        <v>0.83754680422833749</v>
      </c>
    </row>
    <row r="5" spans="1:9" ht="15.5" x14ac:dyDescent="0.3">
      <c r="A5" s="180" t="s">
        <v>283</v>
      </c>
      <c r="B5" s="340">
        <f>('Tabla A1. Formulado'!C15-'Tabla A1. Formulado'!C11)/'Tabla A1. Formulado'!C36</f>
        <v>0.6211886648239523</v>
      </c>
      <c r="C5" s="340">
        <f>('Tabla A1. Formulado'!D15-'Tabla A1. Formulado'!D11)/'Tabla A1. Formulado'!D36</f>
        <v>0.78678927147063127</v>
      </c>
      <c r="D5" s="340">
        <f>('Tabla A1. Formulado'!E15-'Tabla A1. Formulado'!E11)/'Tabla A1. Formulado'!E36</f>
        <v>0.71371800427577392</v>
      </c>
      <c r="E5" s="340">
        <f>('Tabla A1. Formulado'!F15-'Tabla A1. Formulado'!F11)/'Tabla A1. Formulado'!F36</f>
        <v>0.66721331189468758</v>
      </c>
      <c r="F5" s="340">
        <f>('Tabla A1. Formulado'!G15-'Tabla A1. Formulado'!G11)/'Tabla A1. Formulado'!G36</f>
        <v>0.67289539587748026</v>
      </c>
      <c r="G5" s="340">
        <f>('Tabla A1. Formulado'!H15-'Tabla A1. Formulado'!H11)/'Tabla A1. Formulado'!H36</f>
        <v>0.41453366341384118</v>
      </c>
      <c r="H5" s="340">
        <f>('Tabla A1. Formulado'!I15-'Tabla A1. Formulado'!I11)/'Tabla A1. Formulado'!I36</f>
        <v>0.55280966685427158</v>
      </c>
      <c r="I5" s="340">
        <f>('Tabla A1. Formulado'!J15-'Tabla A1. Formulado'!J11)/'Tabla A1. Formulado'!J36</f>
        <v>0.64356311730098181</v>
      </c>
    </row>
    <row r="6" spans="1:9" ht="15.5" x14ac:dyDescent="0.3">
      <c r="A6" s="180" t="s">
        <v>284</v>
      </c>
      <c r="B6" s="340">
        <f>'Tabla A1. Formulado'!C25/'Tabla A1. Formulado'!C46</f>
        <v>2.7762320056538625</v>
      </c>
      <c r="C6" s="340">
        <f>'Tabla A1. Formulado'!D25/'Tabla A1. Formulado'!D46</f>
        <v>2.8300541295915465</v>
      </c>
      <c r="D6" s="340">
        <f>'Tabla A1. Formulado'!E25/'Tabla A1. Formulado'!E46</f>
        <v>2.1878646385807405</v>
      </c>
      <c r="E6" s="340">
        <f>'Tabla A1. Formulado'!F25/'Tabla A1. Formulado'!F46</f>
        <v>3.0179219734416729</v>
      </c>
      <c r="F6" s="340">
        <f>'Tabla A1. Formulado'!G25/'Tabla A1. Formulado'!G46</f>
        <v>3.6716519753472339</v>
      </c>
      <c r="G6" s="340">
        <f>'Tabla A1. Formulado'!H25/'Tabla A1. Formulado'!H46</f>
        <v>3.3018242305447743</v>
      </c>
      <c r="H6" s="340">
        <f>'Tabla A1. Formulado'!I25/'Tabla A1. Formulado'!I46</f>
        <v>2.296611291757114</v>
      </c>
      <c r="I6" s="340">
        <f>'Tabla A1. Formulado'!J25/'Tabla A1. Formulado'!J46</f>
        <v>2.1635783207148607</v>
      </c>
    </row>
    <row r="7" spans="1:9" ht="15.5" x14ac:dyDescent="0.3">
      <c r="A7" s="180" t="s">
        <v>285</v>
      </c>
      <c r="B7" s="347">
        <f>+'Tabla A1. Formulado'!C15-'Tabla A1. Formulado'!C36</f>
        <v>-148151</v>
      </c>
      <c r="C7" s="347">
        <f>+'Tabla A1. Formulado'!D15-'Tabla A1. Formulado'!D36</f>
        <v>28569</v>
      </c>
      <c r="D7" s="347">
        <f>+'Tabla A1. Formulado'!E15-'Tabla A1. Formulado'!E36</f>
        <v>-470388</v>
      </c>
      <c r="E7" s="347">
        <f>+'Tabla A1. Formulado'!F15-'Tabla A1. Formulado'!F36</f>
        <v>-355602</v>
      </c>
      <c r="F7" s="347">
        <f>+'Tabla A1. Formulado'!G15-'Tabla A1. Formulado'!G36</f>
        <v>-287845</v>
      </c>
      <c r="G7" s="347">
        <f>+'Tabla A1. Formulado'!H15-'Tabla A1. Formulado'!H36</f>
        <v>-1258496</v>
      </c>
      <c r="H7" s="347">
        <f>+'Tabla A1. Formulado'!I15-'Tabla A1. Formulado'!I36</f>
        <v>-436003</v>
      </c>
      <c r="I7" s="347">
        <f>+'Tabla A1. Formulado'!J15-'Tabla A1. Formulado'!J36</f>
        <v>-285569</v>
      </c>
    </row>
    <row r="8" spans="1:9" ht="15.5" x14ac:dyDescent="0.3">
      <c r="A8" s="180"/>
      <c r="B8" s="359"/>
      <c r="C8" s="359"/>
      <c r="D8" s="359"/>
      <c r="E8" s="359"/>
      <c r="F8" s="359"/>
      <c r="G8" s="359"/>
      <c r="H8" s="359"/>
      <c r="I8" s="359"/>
    </row>
    <row r="9" spans="1:9" ht="15" x14ac:dyDescent="0.3">
      <c r="A9" s="345" t="s">
        <v>286</v>
      </c>
      <c r="B9" s="346"/>
      <c r="C9" s="346"/>
      <c r="D9" s="346"/>
      <c r="E9" s="346"/>
      <c r="F9" s="346"/>
      <c r="G9" s="346"/>
      <c r="H9" s="346"/>
      <c r="I9" s="346"/>
    </row>
    <row r="10" spans="1:9" ht="15.5" x14ac:dyDescent="0.3">
      <c r="A10" s="180" t="s">
        <v>287</v>
      </c>
      <c r="B10" s="343">
        <f>+'Tabla A1. Formulado'!C46/'Tabla A1. Formulado'!C25</f>
        <v>0.36020044360971137</v>
      </c>
      <c r="C10" s="343">
        <f>+'Tabla A1. Formulado'!D46/'Tabla A1. Formulado'!D25</f>
        <v>0.35335013190872328</v>
      </c>
      <c r="D10" s="343">
        <f>+'Tabla A1. Formulado'!E46/'Tabla A1. Formulado'!E25</f>
        <v>0.45706666782123057</v>
      </c>
      <c r="E10" s="343">
        <f>+'Tabla A1. Formulado'!F46/'Tabla A1. Formulado'!F25</f>
        <v>0.33135382849530348</v>
      </c>
      <c r="F10" s="343">
        <f>+'Tabla A1. Formulado'!G46/'Tabla A1. Formulado'!G25</f>
        <v>0.27235696812071314</v>
      </c>
      <c r="G10" s="343">
        <f>+'Tabla A1. Formulado'!H46/'Tabla A1. Formulado'!H25</f>
        <v>0.30286288129729066</v>
      </c>
      <c r="H10" s="343">
        <f>+'Tabla A1. Formulado'!I46/'Tabla A1. Formulado'!I25</f>
        <v>0.43542414146841113</v>
      </c>
      <c r="I10" s="343">
        <f>+'Tabla A1. Formulado'!J46/'Tabla A1. Formulado'!J25</f>
        <v>0.46219727311262454</v>
      </c>
    </row>
    <row r="11" spans="1:9" ht="15.5" x14ac:dyDescent="0.3">
      <c r="A11" s="180" t="s">
        <v>288</v>
      </c>
      <c r="B11" s="343">
        <f>+'Tabla A1. Formulado'!C47/'Tabla A1. Formulado'!C25</f>
        <v>0.63979955639028863</v>
      </c>
      <c r="C11" s="343">
        <f>+'Tabla A1. Formulado'!D47/'Tabla A1. Formulado'!D25</f>
        <v>0.64664986809127678</v>
      </c>
      <c r="D11" s="343">
        <f>+'Tabla A1. Formulado'!E47/'Tabla A1. Formulado'!E25</f>
        <v>0.54293333217876949</v>
      </c>
      <c r="E11" s="343">
        <f>+'Tabla A1. Formulado'!F47/'Tabla A1. Formulado'!F25</f>
        <v>0.66864617150469652</v>
      </c>
      <c r="F11" s="343">
        <f>+'Tabla A1. Formulado'!G47/'Tabla A1. Formulado'!G25</f>
        <v>0.72764303187928692</v>
      </c>
      <c r="G11" s="343">
        <f>+'Tabla A1. Formulado'!H47/'Tabla A1. Formulado'!H25</f>
        <v>0.69713711870270934</v>
      </c>
      <c r="H11" s="343">
        <f>+'Tabla A1. Formulado'!I47/'Tabla A1. Formulado'!I25</f>
        <v>0.56457585853158887</v>
      </c>
      <c r="I11" s="343">
        <f>+'Tabla A1. Formulado'!J47/'Tabla A1. Formulado'!J25</f>
        <v>0.5378027268873754</v>
      </c>
    </row>
    <row r="12" spans="1:9" ht="15.5" x14ac:dyDescent="0.3">
      <c r="A12" s="180" t="s">
        <v>289</v>
      </c>
      <c r="B12" s="360">
        <f>+'Tabla A1. Formulado'!C46/'Tabla A1. Formulado'!C47</f>
        <v>0.56298951759507476</v>
      </c>
      <c r="C12" s="360">
        <f>+'Tabla A1. Formulado'!D46/'Tabla A1. Formulado'!D47</f>
        <v>0.54643192451536504</v>
      </c>
      <c r="D12" s="360">
        <f>+'Tabla A1. Formulado'!E46/'Tabla A1. Formulado'!E47</f>
        <v>0.84184676226644728</v>
      </c>
      <c r="E12" s="361">
        <f>+'Tabla A1. Formulado'!F46/'Tabla A1. Formulado'!F47</f>
        <v>0.49555929969603674</v>
      </c>
      <c r="F12" s="361">
        <f>+'Tabla A1. Formulado'!G46/'Tabla A1. Formulado'!G47</f>
        <v>0.37430024914455046</v>
      </c>
      <c r="G12" s="361">
        <f>+'Tabla A1. Formulado'!H46/'Tabla A1. Formulado'!H47</f>
        <v>0.43443803689707849</v>
      </c>
      <c r="H12" s="361">
        <f>+'Tabla A1. Formulado'!I46/'Tabla A1. Formulado'!I47</f>
        <v>0.77124116252669783</v>
      </c>
      <c r="I12" s="361">
        <f>+'Tabla A1. Formulado'!J46/'Tabla A1. Formulado'!J47</f>
        <v>0.85941786830957456</v>
      </c>
    </row>
    <row r="13" spans="1:9" ht="15.5" x14ac:dyDescent="0.3">
      <c r="A13" s="180" t="s">
        <v>290</v>
      </c>
      <c r="B13" s="340">
        <f>+'Tabla A1. Formulado'!C25/'Tabla A1. Formulado'!C47</f>
        <v>1.5629895175950748</v>
      </c>
      <c r="C13" s="340">
        <f>+'Tabla A1. Formulado'!D25/'Tabla A1. Formulado'!D47</f>
        <v>1.546431924515365</v>
      </c>
      <c r="D13" s="340">
        <f>+'Tabla A1. Formulado'!E25/'Tabla A1. Formulado'!E47</f>
        <v>1.8418467622664472</v>
      </c>
      <c r="E13" s="340">
        <f>+'Tabla A1. Formulado'!F25/'Tabla A1. Formulado'!F47</f>
        <v>1.4955592996960367</v>
      </c>
      <c r="F13" s="340">
        <f>+'Tabla A1. Formulado'!G25/'Tabla A1. Formulado'!G47</f>
        <v>1.3743002491445504</v>
      </c>
      <c r="G13" s="340">
        <f>+'Tabla A1. Formulado'!H25/'Tabla A1. Formulado'!H47</f>
        <v>1.4344380368970786</v>
      </c>
      <c r="H13" s="340">
        <f>+'Tabla A1. Formulado'!I25/'Tabla A1. Formulado'!I47</f>
        <v>1.7712411625266979</v>
      </c>
      <c r="I13" s="340">
        <f>+'Tabla A1. Formulado'!J25/'Tabla A1. Formulado'!J47</f>
        <v>1.8594178683095746</v>
      </c>
    </row>
    <row r="14" spans="1:9" ht="15.5" x14ac:dyDescent="0.3">
      <c r="A14" s="180" t="s">
        <v>291</v>
      </c>
      <c r="B14" s="343">
        <f>+('Tabla A1. Formulado'!C29+'Tabla A1. Formulado'!C38)/'Tabla A1. Formulado'!C46</f>
        <v>0.4079455001149655</v>
      </c>
      <c r="C14" s="343">
        <f>+('Tabla A1. Formulado'!D29+'Tabla A1. Formulado'!D38)/'Tabla A1. Formulado'!D46</f>
        <v>0.39428479719988868</v>
      </c>
      <c r="D14" s="343">
        <f>+('Tabla A1. Formulado'!E29+'Tabla A1. Formulado'!E38)/'Tabla A1. Formulado'!E46</f>
        <v>0.4787382701300717</v>
      </c>
      <c r="E14" s="362">
        <f>+('Tabla A1. Formulado'!F29+'Tabla A1. Formulado'!F38)/'Tabla A1. Formulado'!F46</f>
        <v>0.35271454798463525</v>
      </c>
      <c r="F14" s="362">
        <f>+('Tabla A1. Formulado'!G29+'Tabla A1. Formulado'!G38)/'Tabla A1. Formulado'!G46</f>
        <v>0.32785660108502152</v>
      </c>
      <c r="G14" s="362">
        <f>+('Tabla A1. Formulado'!H29+'Tabla A1. Formulado'!H38)/'Tabla A1. Formulado'!H46</f>
        <v>0.39138101536254205</v>
      </c>
      <c r="H14" s="362">
        <f>+('Tabla A1. Formulado'!I29+'Tabla A1. Formulado'!I38)/'Tabla A1. Formulado'!I46</f>
        <v>0.22884540360810812</v>
      </c>
      <c r="I14" s="362">
        <f>+('Tabla A1. Formulado'!J29+'Tabla A1. Formulado'!J38)/'Tabla A1. Formulado'!J46</f>
        <v>0.19597167787846403</v>
      </c>
    </row>
    <row r="15" spans="1:9" ht="15.5" x14ac:dyDescent="0.3">
      <c r="A15" s="180" t="s">
        <v>292</v>
      </c>
      <c r="B15" s="340">
        <f>+'Tabla A2. Formulado'!C11/-'Tabla A2. Formulado'!C14</f>
        <v>1.2123896887557633</v>
      </c>
      <c r="C15" s="340">
        <f>+'Tabla A2. Formulado'!D11/-'Tabla A2. Formulado'!D14</f>
        <v>1.6147427392009435</v>
      </c>
      <c r="D15" s="340">
        <f>+'Tabla A2. Formulado'!E11/-'Tabla A2. Formulado'!E14</f>
        <v>0.6983247618343138</v>
      </c>
      <c r="E15" s="340">
        <f>+'Tabla A2. Formulado'!F11/-'Tabla A2. Formulado'!F14</f>
        <v>0.78350294283814037</v>
      </c>
      <c r="F15" s="340">
        <f>+'Tabla A2. Formulado'!G11/-'Tabla A2. Formulado'!G14</f>
        <v>0.6776877133105802</v>
      </c>
      <c r="G15" s="340">
        <f>+'Tabla A2. Formulado'!H11/-'Tabla A2. Formulado'!H14</f>
        <v>1.3922679281292898</v>
      </c>
      <c r="H15" s="340">
        <f>+'Tabla A2. Formulado'!I11/-'Tabla A2. Formulado'!I14</f>
        <v>1.8512248707254557</v>
      </c>
      <c r="I15" s="340">
        <f>+'Tabla A2. Formulado'!J11/-'Tabla A2. Formulado'!J14</f>
        <v>1.9421527543553132</v>
      </c>
    </row>
    <row r="16" spans="1:9" ht="15.5" x14ac:dyDescent="0.3">
      <c r="A16" s="180" t="s">
        <v>293</v>
      </c>
      <c r="B16" s="343">
        <f>+'Tabla A1. Formulado'!C45/('Tabla A1. Formulado'!C45+'Tabla A1. Formulado'!C47)</f>
        <v>0.26144382682596584</v>
      </c>
      <c r="C16" s="343">
        <f>+'Tabla A1. Formulado'!D45/('Tabla A1. Formulado'!D45+'Tabla A1. Formulado'!D47)</f>
        <v>0.251557931189408</v>
      </c>
      <c r="D16" s="343">
        <f>+'Tabla A1. Formulado'!E45/('Tabla A1. Formulado'!E45+'Tabla A1. Formulado'!E47)</f>
        <v>0.27239256547388574</v>
      </c>
      <c r="E16" s="343">
        <f>+'Tabla A1. Formulado'!F45/('Tabla A1. Formulado'!F45+'Tabla A1. Formulado'!F47)</f>
        <v>0.2165494035653425</v>
      </c>
      <c r="F16" s="343">
        <f>+'Tabla A1. Formulado'!G45/('Tabla A1. Formulado'!G45+'Tabla A1. Formulado'!G47)</f>
        <v>0.17872521485423479</v>
      </c>
      <c r="G16" s="343">
        <f>+'Tabla A1. Formulado'!H45/('Tabla A1. Formulado'!H45+'Tabla A1. Formulado'!H47)</f>
        <v>0.16367409930590129</v>
      </c>
      <c r="H16" s="343">
        <f>+'Tabla A1. Formulado'!I45/('Tabla A1. Formulado'!I45+'Tabla A1. Formulado'!I47)</f>
        <v>0.31784009490363702</v>
      </c>
      <c r="I16" s="343">
        <f>+'Tabla A1. Formulado'!J45/('Tabla A1. Formulado'!J45+'Tabla A1. Formulado'!J47)</f>
        <v>0.35901825580744312</v>
      </c>
    </row>
    <row r="17" spans="1:9" ht="15.5" x14ac:dyDescent="0.3">
      <c r="A17" s="180"/>
      <c r="B17" s="344"/>
      <c r="C17" s="344"/>
      <c r="D17" s="344"/>
      <c r="E17" s="344"/>
      <c r="F17" s="344"/>
      <c r="G17" s="344"/>
      <c r="H17" s="344"/>
      <c r="I17" s="344"/>
    </row>
    <row r="18" spans="1:9" ht="15" x14ac:dyDescent="0.3">
      <c r="A18" s="345" t="s">
        <v>294</v>
      </c>
      <c r="B18" s="346"/>
      <c r="C18" s="346"/>
      <c r="D18" s="346"/>
      <c r="E18" s="346"/>
      <c r="F18" s="346"/>
      <c r="G18" s="346"/>
      <c r="H18" s="346"/>
      <c r="I18" s="346"/>
    </row>
    <row r="19" spans="1:9" ht="15.5" x14ac:dyDescent="0.3">
      <c r="A19" s="180" t="s">
        <v>295</v>
      </c>
      <c r="B19" s="343">
        <f>+'Tabla A2. Formulado'!C7/'Tabla A2. Formulado'!C5</f>
        <v>0.15936725252559747</v>
      </c>
      <c r="C19" s="343">
        <f>+'Tabla A2. Formulado'!D7/'Tabla A2. Formulado'!D5</f>
        <v>0.21222984919506627</v>
      </c>
      <c r="D19" s="343">
        <f>+'Tabla A2. Formulado'!E7/'Tabla A2. Formulado'!E5</f>
        <v>0.17562122750365505</v>
      </c>
      <c r="E19" s="362">
        <f>+'Tabla A2. Formulado'!F7/'Tabla A2. Formulado'!F5</f>
        <v>0.21935764955788331</v>
      </c>
      <c r="F19" s="362">
        <f>+'Tabla A2. Formulado'!G7/'Tabla A2. Formulado'!G5</f>
        <v>0.19835339517556497</v>
      </c>
      <c r="G19" s="362">
        <f>+'Tabla A2. Formulado'!H7/'Tabla A2. Formulado'!H5</f>
        <v>0.20832004492164607</v>
      </c>
      <c r="H19" s="362">
        <f>+'Tabla A2. Formulado'!I7/'Tabla A2. Formulado'!I5</f>
        <v>0.20818588651748826</v>
      </c>
      <c r="I19" s="362">
        <f>+'Tabla A2. Formulado'!J7/'Tabla A2. Formulado'!J5</f>
        <v>0.20832004492164602</v>
      </c>
    </row>
    <row r="20" spans="1:9" ht="15.5" x14ac:dyDescent="0.3">
      <c r="A20" s="180" t="s">
        <v>296</v>
      </c>
      <c r="B20" s="343">
        <f>+'Tabla A2. Formulado'!C11/'Tabla A2. Formulado'!C5</f>
        <v>7.669328359894266E-2</v>
      </c>
      <c r="C20" s="343">
        <f>+'Tabla A2. Formulado'!D11/'Tabla A2. Formulado'!D5</f>
        <v>8.6763006635079104E-2</v>
      </c>
      <c r="D20" s="343">
        <f>+'Tabla A2. Formulado'!E11/'Tabla A2. Formulado'!E5</f>
        <v>4.7140780555725653E-2</v>
      </c>
      <c r="E20" s="362">
        <f>+'Tabla A2. Formulado'!F11/'Tabla A2. Formulado'!F5</f>
        <v>6.3516155289283227E-2</v>
      </c>
      <c r="F20" s="362">
        <f>+'Tabla A2. Formulado'!G11/'Tabla A2. Formulado'!G5</f>
        <v>4.3087670178881134E-2</v>
      </c>
      <c r="G20" s="362">
        <f>+'Tabla A2. Formulado'!H11/'Tabla A2. Formulado'!H5</f>
        <v>7.4369584120416179E-2</v>
      </c>
      <c r="H20" s="362">
        <f>+'Tabla A2. Formulado'!I11/'Tabla A2. Formulado'!I5</f>
        <v>9.4641508193442914E-2</v>
      </c>
      <c r="I20" s="362">
        <f>+'Tabla A2. Formulado'!J11/'Tabla A2. Formulado'!J5</f>
        <v>9.0824406148113615E-2</v>
      </c>
    </row>
    <row r="21" spans="1:9" ht="15.5" x14ac:dyDescent="0.3">
      <c r="A21" s="180" t="s">
        <v>297</v>
      </c>
      <c r="B21" s="343">
        <f>+'Tabla A2. Formulado'!C22/'Tabla A2. Formulado'!C5</f>
        <v>4.4591853202762197E-2</v>
      </c>
      <c r="C21" s="343">
        <f>+'Tabla A2. Formulado'!D22/'Tabla A2. Formulado'!D5</f>
        <v>5.5988364846966475E-2</v>
      </c>
      <c r="D21" s="343">
        <f>+'Tabla A2. Formulado'!E22/'Tabla A2. Formulado'!E5</f>
        <v>1.8564223403531189E-2</v>
      </c>
      <c r="E21" s="362">
        <f>+'Tabla A2. Formulado'!F22/'Tabla A2. Formulado'!F5</f>
        <v>6.0823510450557831E-2</v>
      </c>
      <c r="F21" s="362">
        <f>+'Tabla A2. Formulado'!G22/'Tabla A2. Formulado'!G5</f>
        <v>9.5557858586754058E-2</v>
      </c>
      <c r="G21" s="362">
        <f>+'Tabla A2. Formulado'!H22/'Tabla A2. Formulado'!H5</f>
        <v>0.10084855026835778</v>
      </c>
      <c r="H21" s="362">
        <f>+'Tabla A2. Formulado'!I22/'Tabla A2. Formulado'!I5</f>
        <v>8.848954876879768E-2</v>
      </c>
      <c r="I21" s="362">
        <f>+'Tabla A2. Formulado'!J22/'Tabla A2. Formulado'!J5</f>
        <v>9.9556139050137729E-2</v>
      </c>
    </row>
    <row r="22" spans="1:9" ht="15.5" x14ac:dyDescent="0.3">
      <c r="A22" s="180" t="s">
        <v>298</v>
      </c>
      <c r="B22" s="343">
        <f>+'Tabla A2. Formulado'!C11/('Tabla A1. Formulado'!C10+'Tabla A1. Formulado'!C11+'Tabla A1. Formulado'!C12+'Tabla A1. Formulado'!C17+'Tabla A1. Formulado'!C19)</f>
        <v>7.6658849606609819E-2</v>
      </c>
      <c r="C22" s="343">
        <f>+'Tabla A2. Formulado'!D11/('Tabla A1. Formulado'!D10+'Tabla A1. Formulado'!D11+'Tabla A1. Formulado'!D12+'Tabla A1. Formulado'!D17+'Tabla A1. Formulado'!D19)</f>
        <v>8.8989684981216732E-2</v>
      </c>
      <c r="D22" s="343">
        <f>+'Tabla A2. Formulado'!E11/('Tabla A1. Formulado'!E10+'Tabla A1. Formulado'!E11+'Tabla A1. Formulado'!E12+'Tabla A1. Formulado'!E17+'Tabla A1. Formulado'!E19)</f>
        <v>4.2255518546552073E-2</v>
      </c>
      <c r="E22" s="362">
        <f>+'Tabla A2. Formulado'!F11/('Tabla A1. Formulado'!F10+'Tabla A1. Formulado'!F11+'Tabla A1. Formulado'!F12+'Tabla A1. Formulado'!F17+'Tabla A1. Formulado'!F19)</f>
        <v>5.3566037260758079E-2</v>
      </c>
      <c r="F22" s="362">
        <f>+'Tabla A2. Formulado'!G11/('Tabla A1. Formulado'!G10+'Tabla A1. Formulado'!G11+'Tabla A1. Formulado'!G12+'Tabla A1. Formulado'!G17+'Tabla A1. Formulado'!G19)</f>
        <v>3.3314850233178629E-2</v>
      </c>
      <c r="G22" s="362">
        <f>+'Tabla A2. Formulado'!H11/('Tabla A1. Formulado'!H10+'Tabla A1. Formulado'!H11+'Tabla A1. Formulado'!H12+'Tabla A1. Formulado'!H17+'Tabla A1. Formulado'!H19)</f>
        <v>4.9838200707843359E-2</v>
      </c>
      <c r="H22" s="362">
        <f>+'Tabla A2. Formulado'!I11/('Tabla A1. Formulado'!I10+'Tabla A1. Formulado'!I11+'Tabla A1. Formulado'!I12+'Tabla A1. Formulado'!I17+'Tabla A1. Formulado'!I19)</f>
        <v>8.2982358339780363E-2</v>
      </c>
      <c r="I22" s="362">
        <f>+'Tabla A2. Formulado'!J11/('Tabla A1. Formulado'!J10+'Tabla A1. Formulado'!J11+'Tabla A1. Formulado'!J12+'Tabla A1. Formulado'!J17+'Tabla A1. Formulado'!J19)</f>
        <v>7.2962876488442657E-2</v>
      </c>
    </row>
    <row r="23" spans="1:9" ht="15.5" x14ac:dyDescent="0.3">
      <c r="A23" s="180" t="s">
        <v>299</v>
      </c>
      <c r="B23" s="343">
        <f>+'Tabla A2. Formulado'!C22/'Tabla A1. Formulado'!C25</f>
        <v>1.452862632185384E-2</v>
      </c>
      <c r="C23" s="343">
        <f>+'Tabla A2. Formulado'!D22/'Tabla A1. Formulado'!D25</f>
        <v>1.8817504656319803E-2</v>
      </c>
      <c r="D23" s="343">
        <f>+'Tabla A2. Formulado'!E22/'Tabla A1. Formulado'!E25</f>
        <v>5.8813650641902828E-3</v>
      </c>
      <c r="E23" s="362">
        <f>+'Tabla A2. Formulado'!F22/'Tabla A1. Formulado'!F25</f>
        <v>1.4276261828874957E-2</v>
      </c>
      <c r="F23" s="362">
        <f>+'Tabla A2. Formulado'!G22/'Tabla A1. Formulado'!G25</f>
        <v>1.8660324386224621E-2</v>
      </c>
      <c r="G23" s="362">
        <f>+'Tabla A2. Formulado'!H22/'Tabla A1. Formulado'!H25</f>
        <v>2.2047109522124519E-2</v>
      </c>
      <c r="H23" s="362">
        <f>+'Tabla A2. Formulado'!I22/'Tabla A1. Formulado'!I25</f>
        <v>3.775491598287125E-2</v>
      </c>
      <c r="I23" s="362">
        <f>+'Tabla A2. Formulado'!J22/'Tabla A1. Formulado'!J25</f>
        <v>3.9146506492622218E-2</v>
      </c>
    </row>
    <row r="24" spans="1:9" ht="15.5" x14ac:dyDescent="0.3">
      <c r="A24" s="180" t="s">
        <v>300</v>
      </c>
      <c r="B24" s="343">
        <f>+'Tabla A2. Formulado'!C22/'Tabla A1. Formulado'!C47</f>
        <v>2.2708090646113437E-2</v>
      </c>
      <c r="C24" s="343">
        <f>+'Tabla A2. Formulado'!D22/'Tabla A1. Formulado'!D47</f>
        <v>2.9099989940249475E-2</v>
      </c>
      <c r="D24" s="343">
        <f>+'Tabla A2. Formulado'!E22/'Tabla A1. Formulado'!E47</f>
        <v>1.0832573201185868E-2</v>
      </c>
      <c r="E24" s="362">
        <f>+'Tabla A2. Formulado'!F22/'Tabla A1. Formulado'!F47</f>
        <v>2.1350996143069491E-2</v>
      </c>
      <c r="F24" s="362">
        <f>+'Tabla A2. Formulado'!G22/'Tabla A1. Formulado'!G47</f>
        <v>2.5644888453106626E-2</v>
      </c>
      <c r="G24" s="362">
        <f>+'Tabla A2. Formulado'!H22/'Tabla A1. Formulado'!H47</f>
        <v>3.1625212502171179E-2</v>
      </c>
      <c r="H24" s="362">
        <f>+'Tabla A2. Formulado'!I22/'Tabla A1. Formulado'!I47</f>
        <v>6.6873061276598686E-2</v>
      </c>
      <c r="I24" s="362">
        <f>+'Tabla A2. Formulado'!J22/'Tabla A1. Formulado'!J47</f>
        <v>7.2789713654278526E-2</v>
      </c>
    </row>
    <row r="25" spans="1:9" ht="15.5" x14ac:dyDescent="0.3">
      <c r="A25" s="180"/>
      <c r="B25" s="344"/>
      <c r="C25" s="344"/>
      <c r="D25" s="344"/>
      <c r="E25" s="344"/>
      <c r="F25" s="344"/>
      <c r="G25" s="344"/>
      <c r="H25" s="344"/>
      <c r="I25" s="344"/>
    </row>
    <row r="26" spans="1:9" ht="15" x14ac:dyDescent="0.3">
      <c r="A26" s="345" t="s">
        <v>301</v>
      </c>
      <c r="B26" s="346"/>
      <c r="C26" s="346"/>
      <c r="D26" s="346"/>
      <c r="E26" s="346"/>
      <c r="F26" s="346"/>
      <c r="G26" s="346"/>
      <c r="H26" s="346"/>
      <c r="I26" s="346"/>
    </row>
    <row r="27" spans="1:9" ht="15.5" x14ac:dyDescent="0.3">
      <c r="A27" s="180" t="s">
        <v>302</v>
      </c>
      <c r="B27" s="360">
        <f>+'Tabla A2. Formulado'!C5/'Tabla A1. Formulado'!C15</f>
        <v>2.7055949068658061</v>
      </c>
      <c r="C27" s="360">
        <f>+'Tabla A2. Formulado'!D5/'Tabla A1. Formulado'!D15</f>
        <v>2.4259753337591068</v>
      </c>
      <c r="D27" s="360">
        <f>+'Tabla A2. Formulado'!E5/'Tabla A1. Formulado'!E15</f>
        <v>1.4759822634194859</v>
      </c>
      <c r="E27" s="361">
        <f>+'Tabla A2. Formulado'!F5/'Tabla A1. Formulado'!F15</f>
        <v>1.9185191817549347</v>
      </c>
      <c r="F27" s="361">
        <f>+'Tabla A2. Formulado'!G5/'Tabla A1. Formulado'!G15</f>
        <v>2.0466313947308739</v>
      </c>
      <c r="G27" s="361">
        <f>+'Tabla A2. Formulado'!H5/'Tabla A1. Formulado'!H15</f>
        <v>2.390973944802973</v>
      </c>
      <c r="H27" s="361">
        <f>+'Tabla A2. Formulado'!I5/'Tabla A1. Formulado'!I15</f>
        <v>3.2844580343157581</v>
      </c>
      <c r="I27" s="361">
        <f>+'Tabla A2. Formulado'!J5/'Tabla A1. Formulado'!J15</f>
        <v>2.9165548789806319</v>
      </c>
    </row>
    <row r="28" spans="1:9" ht="15.5" x14ac:dyDescent="0.3">
      <c r="A28" s="180" t="s">
        <v>303</v>
      </c>
      <c r="B28" s="360">
        <f>+'Tabla A2. Formulado'!C5/'Tabla A1. Formulado'!C19</f>
        <v>1.4325066979441228</v>
      </c>
      <c r="C28" s="360">
        <f>+'Tabla A2. Formulado'!D5/'Tabla A1. Formulado'!D19</f>
        <v>1.6291075651897857</v>
      </c>
      <c r="D28" s="360">
        <f>+'Tabla A2. Formulado'!E5/'Tabla A1. Formulado'!E19</f>
        <v>1.3706496363012195</v>
      </c>
      <c r="E28" s="361">
        <f>+'Tabla A2. Formulado'!F5/'Tabla A1. Formulado'!F19</f>
        <v>1.1978273769531542</v>
      </c>
      <c r="F28" s="361">
        <f>+'Tabla A2. Formulado'!G5/'Tabla A1. Formulado'!G19</f>
        <v>1.0530835344759417</v>
      </c>
      <c r="G28" s="361">
        <f>+'Tabla A2. Formulado'!H5/'Tabla A1. Formulado'!H19</f>
        <v>0.87825943941987061</v>
      </c>
      <c r="H28" s="361">
        <f>+'Tabla A2. Formulado'!I5/'Tabla A1. Formulado'!I19</f>
        <v>1.1590429386881604</v>
      </c>
      <c r="I28" s="361">
        <f>+'Tabla A2. Formulado'!J5/'Tabla A1. Formulado'!J19</f>
        <v>1.0376091011898434</v>
      </c>
    </row>
    <row r="29" spans="1:9" ht="15.5" x14ac:dyDescent="0.3">
      <c r="A29" s="180" t="s">
        <v>304</v>
      </c>
      <c r="B29" s="360">
        <f>'Tabla A2. Formulado'!C5/('Tabla A1. Formulado'!C10+'Tabla A1. Formulado'!C11+'Tabla A1. Formulado'!C12+'Tabla A1. Formulado'!C17+'Tabla A1. Formulado'!C19)</f>
        <v>0.99955101684636549</v>
      </c>
      <c r="C29" s="360">
        <f>'Tabla A2. Formulado'!D5/('Tabla A1. Formulado'!D10+'Tabla A1. Formulado'!D11+'Tabla A1. Formulado'!D12+'Tabla A1. Formulado'!D17+'Tabla A1. Formulado'!D19)</f>
        <v>1.0256639140630861</v>
      </c>
      <c r="D29" s="360">
        <f>'Tabla A2. Formulado'!E5/('Tabla A1. Formulado'!E10+'Tabla A1. Formulado'!E11+'Tabla A1. Formulado'!E12+'Tabla A1. Formulado'!E17+'Tabla A1. Formulado'!E19)</f>
        <v>0.89636866527064274</v>
      </c>
      <c r="E29" s="361">
        <f>'Tabla A2. Formulado'!F5/('Tabla A1. Formulado'!F10+'Tabla A1. Formulado'!F11+'Tabla A1. Formulado'!F12+'Tabla A1. Formulado'!F17+'Tabla A1. Formulado'!F19)</f>
        <v>0.84334508310196821</v>
      </c>
      <c r="F29" s="361">
        <f>'Tabla A2. Formulado'!G5/('Tabla A1. Formulado'!G10+'Tabla A1. Formulado'!G11+'Tabla A1. Formulado'!G12+'Tabla A1. Formulado'!G17+'Tabla A1. Formulado'!G19)</f>
        <v>0.77318755214357071</v>
      </c>
      <c r="G29" s="361">
        <f>'Tabla A2. Formulado'!H5/('Tabla A1. Formulado'!H10+'Tabla A1. Formulado'!H11+'Tabla A1. Formulado'!H12+'Tabla A1. Formulado'!H17+'Tabla A1. Formulado'!H19)</f>
        <v>0.67014225368192715</v>
      </c>
      <c r="H29" s="361">
        <f>'Tabla A2. Formulado'!I5/('Tabla A1. Formulado'!I10+'Tabla A1. Formulado'!I11+'Tabla A1. Formulado'!I12+'Tabla A1. Formulado'!I17+'Tabla A1. Formulado'!I19)</f>
        <v>0.8768072268054754</v>
      </c>
      <c r="I29" s="361">
        <f>'Tabla A2. Formulado'!J5/('Tabla A1. Formulado'!J10+'Tabla A1. Formulado'!J11+'Tabla A1. Formulado'!J12+'Tabla A1. Formulado'!J17+'Tabla A1. Formulado'!J19)</f>
        <v>0.80333997856762274</v>
      </c>
    </row>
    <row r="30" spans="1:9" ht="15.5" x14ac:dyDescent="0.3">
      <c r="A30" s="180" t="s">
        <v>305</v>
      </c>
      <c r="B30" s="360">
        <f>+('Tabla A2. Formulado'!C5)/'Tabla A1. Formulado'!C25</f>
        <v>0.32581346767067931</v>
      </c>
      <c r="C30" s="360">
        <f>+('Tabla A2. Formulado'!D5)/'Tabla A1. Formulado'!D25</f>
        <v>0.33609669987244428</v>
      </c>
      <c r="D30" s="360">
        <f>+('Tabla A2. Formulado'!E5)/'Tabla A1. Formulado'!E25</f>
        <v>0.31681180172996409</v>
      </c>
      <c r="E30" s="361">
        <f>+('Tabla A2. Formulado'!F5)/'Tabla A1. Formulado'!F25</f>
        <v>0.23471617674023984</v>
      </c>
      <c r="F30" s="361">
        <f>+('Tabla A2. Formulado'!G5)/'Tabla A1. Formulado'!G25</f>
        <v>0.19527775802220895</v>
      </c>
      <c r="G30" s="361">
        <f>+('Tabla A2. Formulado'!H5)/'Tabla A1. Formulado'!H25</f>
        <v>0.21861602832621002</v>
      </c>
      <c r="H30" s="361">
        <f>+('Tabla A2. Formulado'!I5)/'Tabla A1. Formulado'!I25</f>
        <v>0.42665960566163513</v>
      </c>
      <c r="I30" s="361">
        <f>+('Tabla A2. Formulado'!J5)/'Tabla A1. Formulado'!J25</f>
        <v>0.39321037221931177</v>
      </c>
    </row>
    <row r="31" spans="1:9" ht="15.5" x14ac:dyDescent="0.3">
      <c r="A31" s="180" t="s">
        <v>306</v>
      </c>
      <c r="B31" s="360">
        <f>+'Tabla A2. Formulado'!C5/AVERAGE(('Tabla A1. Formulado'!B10+'Tabla A1. Formulado'!B17),('Tabla A1. Formulado'!C10+'Tabla A1. Formulado'!C17))</f>
        <v>5.6125147035865162</v>
      </c>
      <c r="C31" s="360">
        <f>+'Tabla A2. Formulado'!D5/AVERAGE(('Tabla A1. Formulado'!C10+'Tabla A1. Formulado'!C17),('Tabla A1. Formulado'!D10+'Tabla A1. Formulado'!D17))</f>
        <v>4.7419706039052469</v>
      </c>
      <c r="D31" s="360">
        <f>+'Tabla A2. Formulado'!E5/AVERAGE(('Tabla A1. Formulado'!D10+'Tabla A1. Formulado'!D17),('Tabla A1. Formulado'!E10+'Tabla A1. Formulado'!E17))</f>
        <v>3.7777505299265797</v>
      </c>
      <c r="E31" s="361">
        <f>+'Tabla A2. Formulado'!F5/AVERAGE(('Tabla A1. Formulado'!E10+'Tabla A1. Formulado'!E17),('Tabla A1. Formulado'!F10+'Tabla A1. Formulado'!F17))</f>
        <v>3.7426307255930165</v>
      </c>
      <c r="F31" s="361">
        <f>+'Tabla A2. Formulado'!G5/AVERAGE(('Tabla A1. Formulado'!F10+'Tabla A1. Formulado'!F17),('Tabla A1. Formulado'!G10+'Tabla A1. Formulado'!G17))</f>
        <v>3.9363543914154797</v>
      </c>
      <c r="G31" s="361">
        <f>+'Tabla A2. Formulado'!H5/AVERAGE(('Tabla A1. Formulado'!G10+'Tabla A1. Formulado'!G17),('Tabla A1. Formulado'!H10+'Tabla A1. Formulado'!H17))</f>
        <v>4.5370319413054165</v>
      </c>
      <c r="H31" s="361">
        <f>+'Tabla A2. Formulado'!I5/AVERAGE(('Tabla A1. Formulado'!H10+'Tabla A1. Formulado'!H17),('Tabla A1. Formulado'!I10+'Tabla A1. Formulado'!I17))</f>
        <v>5.0718981265186107</v>
      </c>
      <c r="I31" s="361">
        <f>+'Tabla A2. Formulado'!J5/AVERAGE(('Tabla A1. Formulado'!I10+'Tabla A1. Formulado'!I17),('Tabla A1. Formulado'!J10+'Tabla A1. Formulado'!J17))</f>
        <v>5.1347175785752892</v>
      </c>
    </row>
    <row r="32" spans="1:9" ht="15.5" x14ac:dyDescent="0.3">
      <c r="A32" s="180" t="s">
        <v>307</v>
      </c>
      <c r="B32" s="360">
        <f>360/B31</f>
        <v>64.142370935786118</v>
      </c>
      <c r="C32" s="360">
        <f>360/C31</f>
        <v>75.917805079500539</v>
      </c>
      <c r="D32" s="360">
        <f>360/D31</f>
        <v>95.294804976705692</v>
      </c>
      <c r="E32" s="361">
        <f>360/E31</f>
        <v>96.189024885151696</v>
      </c>
      <c r="F32" s="361">
        <f>360/F31</f>
        <v>91.455180149708795</v>
      </c>
      <c r="G32" s="361">
        <f t="shared" ref="G32:H32" si="0">360/G31</f>
        <v>79.34702789339832</v>
      </c>
      <c r="H32" s="361">
        <f t="shared" si="0"/>
        <v>70.979343634235562</v>
      </c>
      <c r="I32" s="361">
        <f t="shared" ref="I32" si="1">360/I31</f>
        <v>70.11096413600373</v>
      </c>
    </row>
    <row r="33" spans="1:9" ht="15.5" x14ac:dyDescent="0.3">
      <c r="A33" s="180" t="s">
        <v>308</v>
      </c>
      <c r="B33" s="360">
        <f>+'Tabla A2. Formulado'!C6/AVERAGE(('Tabla A1. Formulado'!B11),('Tabla A1. Formulado'!C11))</f>
        <v>8.4325515991524238</v>
      </c>
      <c r="C33" s="360">
        <f>+'Tabla A2. Formulado'!D6/AVERAGE(('Tabla A1. Formulado'!C11),('Tabla A1. Formulado'!D11))</f>
        <v>7.7323382594587313</v>
      </c>
      <c r="D33" s="360">
        <f>+'Tabla A2. Formulado'!E6/AVERAGE(('Tabla A1. Formulado'!D11),('Tabla A1. Formulado'!E11))</f>
        <v>8.2806578028624109</v>
      </c>
      <c r="E33" s="361">
        <f>+'Tabla A2. Formulado'!F6/AVERAGE(('Tabla A1. Formulado'!E11),('Tabla A1. Formulado'!F11))</f>
        <v>7.0550842184820892</v>
      </c>
      <c r="F33" s="361">
        <f>+'Tabla A2. Formulado'!G6/AVERAGE(('Tabla A1. Formulado'!F11),('Tabla A1. Formulado'!G11))</f>
        <v>7.4497256420897315</v>
      </c>
      <c r="G33" s="361">
        <f>+'Tabla A2. Formulado'!H6/AVERAGE(('Tabla A1. Formulado'!G11),('Tabla A1. Formulado'!H11))</f>
        <v>8.7204943394470202</v>
      </c>
      <c r="H33" s="361">
        <f>+'Tabla A2. Formulado'!I6/AVERAGE(('Tabla A1. Formulado'!H11),('Tabla A1. Formulado'!I11))</f>
        <v>9.4765937391138042</v>
      </c>
      <c r="I33" s="361">
        <f>+'Tabla A2. Formulado'!J6/AVERAGE(('Tabla A1. Formulado'!I11),('Tabla A1. Formulado'!J11))</f>
        <v>9.7633562628887702</v>
      </c>
    </row>
    <row r="34" spans="1:9" ht="15.5" x14ac:dyDescent="0.3">
      <c r="A34" s="180" t="s">
        <v>309</v>
      </c>
      <c r="B34" s="360">
        <f>360/B33</f>
        <v>42.691704375243248</v>
      </c>
      <c r="C34" s="360">
        <f>360/C33</f>
        <v>46.557714874879288</v>
      </c>
      <c r="D34" s="360">
        <f>360/D33</f>
        <v>43.474807022644654</v>
      </c>
      <c r="E34" s="361">
        <f>360/E33</f>
        <v>51.027030840668615</v>
      </c>
      <c r="F34" s="361">
        <f>360/F33</f>
        <v>48.323927255261438</v>
      </c>
      <c r="G34" s="361">
        <f t="shared" ref="G34:H34" si="2">360/G33</f>
        <v>41.282063377020449</v>
      </c>
      <c r="H34" s="361">
        <f t="shared" si="2"/>
        <v>37.988333140644386</v>
      </c>
      <c r="I34" s="361">
        <f t="shared" ref="I34" si="3">360/I33</f>
        <v>36.872566185911523</v>
      </c>
    </row>
    <row r="35" spans="1:9" ht="15.5" x14ac:dyDescent="0.3">
      <c r="A35" s="180" t="s">
        <v>310</v>
      </c>
      <c r="B35" s="360">
        <f>+'Tabla A2. Formulado'!C6/AVERAGE(('Tabla A1. Formulado'!B32+'Tabla A1. Formulado'!B40),('Tabla A1. Formulado'!C32+'Tabla A1. Formulado'!C40))</f>
        <v>4.6623205628347026</v>
      </c>
      <c r="C35" s="360">
        <f>+'Tabla A2. Formulado'!D6/AVERAGE(('Tabla A1. Formulado'!C32+'Tabla A1. Formulado'!C40),('Tabla A1. Formulado'!D32+'Tabla A1. Formulado'!D40))</f>
        <v>3.71383632923368</v>
      </c>
      <c r="D35" s="360">
        <f>+'Tabla A2. Formulado'!E6/AVERAGE(('Tabla A1. Formulado'!D32+'Tabla A1. Formulado'!D40),('Tabla A1. Formulado'!E32+'Tabla A1. Formulado'!E40))</f>
        <v>3.4548764792667233</v>
      </c>
      <c r="E35" s="361">
        <f>+'Tabla A2. Formulado'!F6/AVERAGE(('Tabla A1. Formulado'!E32+'Tabla A1. Formulado'!E40),('Tabla A1. Formulado'!F32+'Tabla A1. Formulado'!F40))</f>
        <v>2.9036450892592405</v>
      </c>
      <c r="F35" s="361">
        <f>+'Tabla A2. Formulado'!G6/AVERAGE(('Tabla A1. Formulado'!F32+'Tabla A1. Formulado'!F40),('Tabla A1. Formulado'!G32+'Tabla A1. Formulado'!G40))</f>
        <v>3.4150728162693578</v>
      </c>
      <c r="G35" s="361">
        <f>+'Tabla A2. Formulado'!H6/AVERAGE(('Tabla A1. Formulado'!G32+'Tabla A1. Formulado'!G40),('Tabla A1. Formulado'!H32+'Tabla A1. Formulado'!H40))</f>
        <v>4.2490424763069576</v>
      </c>
      <c r="H35" s="361">
        <f>+'Tabla A2. Formulado'!I6/AVERAGE(('Tabla A1. Formulado'!H32+'Tabla A1. Formulado'!H40),('Tabla A1. Formulado'!I32+'Tabla A1. Formulado'!I40))</f>
        <v>5.0778776155566376</v>
      </c>
      <c r="I35" s="361">
        <f>+'Tabla A2. Formulado'!J6/AVERAGE(('Tabla A1. Formulado'!I32+'Tabla A1. Formulado'!I40),('Tabla A1. Formulado'!J32+'Tabla A1. Formulado'!J40))</f>
        <v>5.0070901461507953</v>
      </c>
    </row>
    <row r="36" spans="1:9" ht="15.5" x14ac:dyDescent="0.3">
      <c r="A36" s="180" t="s">
        <v>311</v>
      </c>
      <c r="B36" s="360">
        <f>360/B35</f>
        <v>77.214767871113324</v>
      </c>
      <c r="C36" s="360">
        <f>360/C35</f>
        <v>96.934804898707824</v>
      </c>
      <c r="D36" s="360">
        <f>360/D35</f>
        <v>104.20054151296542</v>
      </c>
      <c r="E36" s="361">
        <f>360/E35</f>
        <v>123.98209455131479</v>
      </c>
      <c r="F36" s="361">
        <f>360/F35</f>
        <v>105.41502901049874</v>
      </c>
      <c r="G36" s="361">
        <f t="shared" ref="G36:H36" si="4">360/G35</f>
        <v>84.724970862821991</v>
      </c>
      <c r="H36" s="361">
        <f t="shared" si="4"/>
        <v>70.895761429361812</v>
      </c>
      <c r="I36" s="361">
        <f t="shared" ref="I36" si="5">360/I35</f>
        <v>71.898046468516313</v>
      </c>
    </row>
    <row r="37" spans="1:9" ht="15.5" x14ac:dyDescent="0.3">
      <c r="A37" s="180" t="s">
        <v>312</v>
      </c>
      <c r="B37" s="363">
        <f>+B34+B32</f>
        <v>106.83407531102937</v>
      </c>
      <c r="C37" s="363">
        <f>+C34+C32</f>
        <v>122.47551995437982</v>
      </c>
      <c r="D37" s="363">
        <f>+D34+D32</f>
        <v>138.76961199935033</v>
      </c>
      <c r="E37" s="363">
        <f>+E34+E32</f>
        <v>147.2160557258203</v>
      </c>
      <c r="F37" s="363">
        <f>+F34+F32</f>
        <v>139.77910740497023</v>
      </c>
      <c r="G37" s="363">
        <f t="shared" ref="G37:H37" si="6">+G34+G32</f>
        <v>120.62909127041877</v>
      </c>
      <c r="H37" s="363">
        <f t="shared" si="6"/>
        <v>108.96767677487995</v>
      </c>
      <c r="I37" s="363">
        <f t="shared" ref="I37" si="7">+I34+I32</f>
        <v>106.98353032191525</v>
      </c>
    </row>
    <row r="38" spans="1:9" ht="15.5" x14ac:dyDescent="0.3">
      <c r="A38" s="180" t="s">
        <v>313</v>
      </c>
      <c r="B38" s="363">
        <f>+B37-B36</f>
        <v>29.619307439916042</v>
      </c>
      <c r="C38" s="363">
        <f>+C37-C36</f>
        <v>25.540715055671996</v>
      </c>
      <c r="D38" s="363">
        <f>+D37-D36</f>
        <v>34.569070486384916</v>
      </c>
      <c r="E38" s="363">
        <f>+E37-E36</f>
        <v>23.233961174505509</v>
      </c>
      <c r="F38" s="363">
        <f>+F37-F36</f>
        <v>34.364078394471491</v>
      </c>
      <c r="G38" s="363">
        <f t="shared" ref="G38:H38" si="8">+G37-G36</f>
        <v>35.904120407596778</v>
      </c>
      <c r="H38" s="363">
        <f t="shared" si="8"/>
        <v>38.071915345518136</v>
      </c>
      <c r="I38" s="363">
        <f t="shared" ref="I38" si="9">+I37-I36</f>
        <v>35.085483853398941</v>
      </c>
    </row>
  </sheetData>
  <mergeCells count="1">
    <mergeCell ref="A1:H1"/>
  </mergeCells>
  <pageMargins left="0.7" right="0.7" top="0.75" bottom="0.75" header="0.3" footer="0.3"/>
  <pageSetup paperSize="9" orientation="portrait" r:id="rId1"/>
  <customProperties>
    <customPr name="EpmWorksheetKeyString_GUID" r:id="rId2"/>
  </customProperties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249977111117893"/>
  </sheetPr>
  <dimension ref="A1:K35"/>
  <sheetViews>
    <sheetView showGridLines="0" zoomScale="110" zoomScaleNormal="110" workbookViewId="0">
      <selection activeCell="E7" sqref="E7"/>
    </sheetView>
  </sheetViews>
  <sheetFormatPr defaultColWidth="11.453125" defaultRowHeight="14" outlineLevelRow="1" outlineLevelCol="1" x14ac:dyDescent="0.3"/>
  <cols>
    <col min="1" max="1" width="49.453125" style="353" customWidth="1"/>
    <col min="2" max="3" width="18.453125" style="290" customWidth="1" outlineLevel="1"/>
    <col min="4" max="4" width="18.453125" style="290" bestFit="1" customWidth="1"/>
    <col min="5" max="9" width="18.453125" style="290" customWidth="1"/>
    <col min="10" max="10" width="11.1796875" style="290" bestFit="1" customWidth="1"/>
    <col min="11" max="16384" width="11.453125" style="290"/>
  </cols>
  <sheetData>
    <row r="1" spans="1:11" ht="15" x14ac:dyDescent="0.3">
      <c r="A1" s="477" t="s">
        <v>314</v>
      </c>
      <c r="B1" s="477"/>
      <c r="C1" s="477"/>
      <c r="D1" s="477"/>
      <c r="E1" s="477"/>
      <c r="F1" s="477"/>
      <c r="G1" s="477"/>
      <c r="H1" s="477"/>
      <c r="I1" s="337" t="s">
        <v>315</v>
      </c>
    </row>
    <row r="2" spans="1:11" ht="15" x14ac:dyDescent="0.3">
      <c r="A2" s="338"/>
      <c r="B2" s="294" t="s">
        <v>274</v>
      </c>
      <c r="C2" s="294" t="s">
        <v>275</v>
      </c>
      <c r="D2" s="294" t="s">
        <v>276</v>
      </c>
      <c r="E2" s="294" t="s">
        <v>277</v>
      </c>
      <c r="F2" s="294" t="s">
        <v>278</v>
      </c>
      <c r="G2" s="294" t="s">
        <v>279</v>
      </c>
      <c r="H2" s="294" t="s">
        <v>316</v>
      </c>
      <c r="I2" s="337" t="s">
        <v>316</v>
      </c>
    </row>
    <row r="3" spans="1:11" ht="15.5" outlineLevel="1" x14ac:dyDescent="0.3">
      <c r="A3" s="339" t="s">
        <v>317</v>
      </c>
      <c r="B3" s="340">
        <f>+'Tabla A2. Formulado'!C11</f>
        <v>278475</v>
      </c>
      <c r="C3" s="340">
        <f>+'Tabla A2. Formulado'!D11</f>
        <v>328584</v>
      </c>
      <c r="D3" s="340">
        <f>+'Tabla A2. Formulado'!E11</f>
        <v>179371</v>
      </c>
      <c r="E3" s="340">
        <f>+'Tabla A2. Formulado'!F11</f>
        <v>219116</v>
      </c>
      <c r="F3" s="340">
        <f>+'Tabla A2. Formulado'!G11</f>
        <v>130257</v>
      </c>
      <c r="G3" s="340">
        <f>+'Tabla A2. Formulado'!H11</f>
        <v>272833</v>
      </c>
      <c r="H3" s="340">
        <f>+'Tabla A2. Formulado'!I11</f>
        <v>414567</v>
      </c>
      <c r="I3" s="340">
        <f>+'Tabla A2. Formulado'!J11</f>
        <v>389999.99999999988</v>
      </c>
      <c r="K3" s="308"/>
    </row>
    <row r="4" spans="1:11" ht="15.5" outlineLevel="1" x14ac:dyDescent="0.3">
      <c r="A4" s="180" t="s">
        <v>318</v>
      </c>
      <c r="B4" s="340">
        <f>+'Tabla A3. Formulado'!C8+'Tabla A3. Formulado'!C9+'Tabla A3. Formulado'!C22</f>
        <v>327805</v>
      </c>
      <c r="C4" s="340">
        <f>+'Tabla A3. Formulado'!D8+'Tabla A3. Formulado'!D9+'Tabla A3. Formulado'!D22</f>
        <v>354383</v>
      </c>
      <c r="D4" s="340">
        <f>+'Tabla A3. Formulado'!E8+'Tabla A3. Formulado'!E9+'Tabla A3. Formulado'!E22</f>
        <v>412571</v>
      </c>
      <c r="E4" s="340">
        <f>+'Tabla A3. Formulado'!F8+'Tabla A3. Formulado'!F9+'Tabla A3. Formulado'!F22</f>
        <v>432602</v>
      </c>
      <c r="F4" s="340">
        <f>+'Tabla A3. Formulado'!G8+'Tabla A3. Formulado'!G9+'Tabla A3. Formulado'!G22</f>
        <v>408925</v>
      </c>
      <c r="G4" s="340">
        <f>+'Tabla A3. Formulado'!H8+'Tabla A3. Formulado'!H9</f>
        <v>408711</v>
      </c>
      <c r="H4" s="340">
        <f>+'Tabla A3. Formulado'!I8+'Tabla A3. Formulado'!I9</f>
        <v>376623</v>
      </c>
      <c r="I4" s="340">
        <f>G4</f>
        <v>408711</v>
      </c>
      <c r="J4" s="341"/>
    </row>
    <row r="5" spans="1:11" ht="15.5" outlineLevel="1" x14ac:dyDescent="0.3">
      <c r="A5" s="180" t="s">
        <v>142</v>
      </c>
      <c r="B5" s="340">
        <f>+B3+B4</f>
        <v>606280</v>
      </c>
      <c r="C5" s="340">
        <f t="shared" ref="C5:H5" si="0">+C3+C4</f>
        <v>682967</v>
      </c>
      <c r="D5" s="340">
        <f t="shared" si="0"/>
        <v>591942</v>
      </c>
      <c r="E5" s="340">
        <f t="shared" si="0"/>
        <v>651718</v>
      </c>
      <c r="F5" s="340">
        <f t="shared" si="0"/>
        <v>539182</v>
      </c>
      <c r="G5" s="340">
        <f t="shared" si="0"/>
        <v>681544</v>
      </c>
      <c r="H5" s="340">
        <f t="shared" si="0"/>
        <v>791190</v>
      </c>
      <c r="I5" s="340">
        <f t="shared" ref="I5" si="1">+I3+I4</f>
        <v>798710.99999999988</v>
      </c>
      <c r="J5" s="308"/>
      <c r="K5" s="308"/>
    </row>
    <row r="6" spans="1:11" ht="15.5" outlineLevel="1" x14ac:dyDescent="0.3">
      <c r="A6" s="180" t="s">
        <v>143</v>
      </c>
      <c r="B6" s="342">
        <f>+B5/'Tabla A2. Formulado'!C5</f>
        <v>0.16697227392177738</v>
      </c>
      <c r="C6" s="342">
        <f>+C5/'Tabla A2. Formulado'!D5</f>
        <v>0.18033827073911105</v>
      </c>
      <c r="D6" s="342">
        <f>+D5/'Tabla A2. Formulado'!E5</f>
        <v>0.15556922759931849</v>
      </c>
      <c r="E6" s="342">
        <f>+E5/'Tabla A2. Formulado'!F5</f>
        <v>0.18891647206420836</v>
      </c>
      <c r="F6" s="342">
        <f>+F5/'Tabla A2. Formulado'!G5</f>
        <v>0.17835583640333713</v>
      </c>
      <c r="G6" s="342">
        <f>+G5/'Tabla A2. Formulado'!H5</f>
        <v>0.18577717446117195</v>
      </c>
      <c r="H6" s="342">
        <f>+H5/'Tabla A2. Formulado'!I5</f>
        <v>0.18062077991632258</v>
      </c>
      <c r="I6" s="342">
        <f>+I5/'Tabla A2. Formulado'!J5</f>
        <v>0.18600628784350254</v>
      </c>
    </row>
    <row r="7" spans="1:11" ht="15.5" outlineLevel="1" x14ac:dyDescent="0.3">
      <c r="A7" s="180" t="s">
        <v>319</v>
      </c>
      <c r="B7" s="340">
        <f>+'Tabla A1. Formulado'!C10+'Tabla A1. Formulado'!C11+'Tabla A1. Formulado'!C12-'Tabla A1. Formulado'!C32-'Tabla A1. Formulado'!C33-'Tabla A1. Formulado'!C34</f>
        <v>362109</v>
      </c>
      <c r="C7" s="340">
        <f>+'Tabla A1. Formulado'!D10+'Tabla A1. Formulado'!D11+'Tabla A1. Formulado'!D12-'Tabla A1. Formulado'!D32-'Tabla A1. Formulado'!D33-'Tabla A1. Formulado'!D34</f>
        <v>622370</v>
      </c>
      <c r="D7" s="340">
        <f>+'Tabla A1. Formulado'!E10+'Tabla A1. Formulado'!E11+'Tabla A1. Formulado'!E12-'Tabla A1. Formulado'!E32-'Tabla A1. Formulado'!E33-'Tabla A1. Formulado'!E34</f>
        <v>322109</v>
      </c>
      <c r="E7" s="340">
        <f>+'Tabla A1. Formulado'!F10+'Tabla A1. Formulado'!F11+'Tabla A1. Formulado'!F12-'Tabla A1. Formulado'!F32-'Tabla A1. Formulado'!F33-'Tabla A1. Formulado'!F34</f>
        <v>324026</v>
      </c>
      <c r="F7" s="340">
        <f>+'Tabla A1. Formulado'!G10+'Tabla A1. Formulado'!G11+'Tabla A1. Formulado'!G12-'Tabla A1. Formulado'!G32-'Tabla A1. Formulado'!G33-'Tabla A1. Formulado'!G34</f>
        <v>417352</v>
      </c>
      <c r="G7" s="340">
        <f>+'Tabla A1. Formulado'!H10+'Tabla A1. Formulado'!H11+'Tabla A1. Formulado'!H12-'Tabla A1. Formulado'!H32-'Tabla A1. Formulado'!H33-'Tabla A1. Formulado'!H34</f>
        <v>465107</v>
      </c>
      <c r="H7" s="340">
        <f>+'Tabla A1. Formulado'!I10+'Tabla A1. Formulado'!I11+'Tabla A1. Formulado'!I12-'Tabla A1. Formulado'!I32-'Tabla A1. Formulado'!I33-'Tabla A1. Formulado'!I34</f>
        <v>440603</v>
      </c>
      <c r="I7" s="340">
        <f>+'Tabla A1. Formulado'!J10+'Tabla A1. Formulado'!J11+'Tabla A1. Formulado'!J12-'Tabla A1. Formulado'!J32-'Tabla A1. Formulado'!J33-'Tabla A1. Formulado'!J34</f>
        <v>412171</v>
      </c>
      <c r="K7" s="308"/>
    </row>
    <row r="8" spans="1:11" ht="15.5" outlineLevel="1" x14ac:dyDescent="0.3">
      <c r="A8" s="180" t="s">
        <v>320</v>
      </c>
      <c r="B8" s="343">
        <f>+B7/'Tabla A2. Formulado'!C5</f>
        <v>9.972646819545572E-2</v>
      </c>
      <c r="C8" s="343">
        <f>+C7/'Tabla A2. Formulado'!D5</f>
        <v>0.16433755885701731</v>
      </c>
      <c r="D8" s="343">
        <f>+D7/'Tabla A2. Formulado'!E5</f>
        <v>8.4653983553775333E-2</v>
      </c>
      <c r="E8" s="343">
        <f>+E7/'Tabla A2. Formulado'!F5</f>
        <v>9.3926895953582959E-2</v>
      </c>
      <c r="F8" s="343">
        <f>+F7/'Tabla A2. Formulado'!G5</f>
        <v>0.13805573078219519</v>
      </c>
      <c r="G8" s="343">
        <f>+G7/'Tabla A2. Formulado'!H5</f>
        <v>0.12678017014618614</v>
      </c>
      <c r="H8" s="343">
        <f>+H7/'Tabla A2. Formulado'!I5</f>
        <v>0.10058526712100946</v>
      </c>
      <c r="I8" s="343">
        <f>+I7/'Tabla A2. Formulado'!J5</f>
        <v>9.5987657196087567E-2</v>
      </c>
    </row>
    <row r="9" spans="1:11" ht="15.5" outlineLevel="1" x14ac:dyDescent="0.3">
      <c r="A9" s="180" t="s">
        <v>321</v>
      </c>
      <c r="B9" s="340">
        <f>+B6/B8</f>
        <v>1.6743024890295461</v>
      </c>
      <c r="C9" s="340">
        <f t="shared" ref="C9:H9" si="2">+C6/C8</f>
        <v>1.097364911547793</v>
      </c>
      <c r="D9" s="340">
        <f t="shared" si="2"/>
        <v>1.8377071115678234</v>
      </c>
      <c r="E9" s="340">
        <f t="shared" si="2"/>
        <v>2.0113139069087049</v>
      </c>
      <c r="F9" s="340">
        <f t="shared" si="2"/>
        <v>1.2919118633671336</v>
      </c>
      <c r="G9" s="340">
        <f t="shared" si="2"/>
        <v>1.4653488337092326</v>
      </c>
      <c r="H9" s="340">
        <f t="shared" si="2"/>
        <v>1.7956981681922275</v>
      </c>
      <c r="I9" s="340">
        <f t="shared" ref="I9" si="3">+I6/I8</f>
        <v>1.9378146448925322</v>
      </c>
    </row>
    <row r="10" spans="1:11" ht="15.5" outlineLevel="1" x14ac:dyDescent="0.3">
      <c r="A10" s="180" t="s">
        <v>322</v>
      </c>
      <c r="B10" s="340">
        <f>-'Tabla A2. Formulado'!C14/'Indicadores Estratégicos'!B5</f>
        <v>0.37885300521211324</v>
      </c>
      <c r="C10" s="340">
        <f>-'Tabla A2. Formulado'!D14/'Indicadores Estratégicos'!C5</f>
        <v>0.2979499741568773</v>
      </c>
      <c r="D10" s="340">
        <f>-'Tabla A2. Formulado'!E14/'Indicadores Estratégicos'!D5</f>
        <v>0.4339259589621956</v>
      </c>
      <c r="E10" s="340">
        <f>-'Tabla A2. Formulado'!F14/'Indicadores Estratégicos'!E5</f>
        <v>0.42911504669197414</v>
      </c>
      <c r="F10" s="340">
        <f>-'Tabla A2. Formulado'!G14/'Indicadores Estratégicos'!F5</f>
        <v>0.35648074305151134</v>
      </c>
      <c r="G10" s="340">
        <f>-'Tabla A2. Formulado'!H14/'Indicadores Estratégicos'!G5</f>
        <v>0.28752802460296034</v>
      </c>
      <c r="H10" s="340">
        <f>-'Tabla A2. Formulado'!I14/'Indicadores Estratégicos'!H5</f>
        <v>0.28304452786309231</v>
      </c>
      <c r="I10" s="340">
        <f>-'Tabla A2. Formulado'!J14/'Indicadores Estratégicos'!I5</f>
        <v>0.25141521486104274</v>
      </c>
    </row>
    <row r="11" spans="1:11" ht="15.5" outlineLevel="1" x14ac:dyDescent="0.3">
      <c r="A11" s="180" t="s">
        <v>323</v>
      </c>
      <c r="B11" s="340">
        <f>+('Tabla A1. Formulado'!C29+'Tabla A1. Formulado'!C38)/'Indicadores Estratégicos'!B5</f>
        <v>2.7010523190605</v>
      </c>
      <c r="C11" s="340">
        <f>+('Tabla A1. Formulado'!D29+'Tabla A1. Formulado'!D38)/'Indicadores Estratégicos'!C5</f>
        <v>2.2985986145743498</v>
      </c>
      <c r="D11" s="340">
        <f>+('Tabla A1. Formulado'!E29+'Tabla A1. Formulado'!E38)/'Indicadores Estratégicos'!D5</f>
        <v>4.4396900371995907</v>
      </c>
      <c r="E11" s="340">
        <f>+('Tabla A1. Formulado'!F29+'Tabla A1. Formulado'!F38)/'Indicadores Estratégicos'!E5</f>
        <v>2.635739691093387</v>
      </c>
      <c r="F11" s="340">
        <f>+('Tabla A1. Formulado'!G29+'Tabla A1. Formulado'!G38)/'Indicadores Estratégicos'!F5</f>
        <v>2.5637892214502709</v>
      </c>
      <c r="G11" s="340">
        <f>+('Tabla A1. Formulado'!H29+'Tabla A1. Formulado'!H38)/'Indicadores Estratégicos'!G5</f>
        <v>2.9185789912316737</v>
      </c>
      <c r="H11" s="340">
        <f>+('Tabla A1. Formulado'!I29+'Tabla A1. Formulado'!I38)/'Indicadores Estratégicos'!H5</f>
        <v>1.2930206397957507</v>
      </c>
      <c r="I11" s="340">
        <f>+('Tabla A1. Formulado'!J29+'Tabla A1. Formulado'!J38)/'Indicadores Estratégicos'!I5</f>
        <v>1.2384204048773588</v>
      </c>
    </row>
    <row r="12" spans="1:11" ht="15.5" outlineLevel="1" x14ac:dyDescent="0.3">
      <c r="A12" s="180" t="s">
        <v>324</v>
      </c>
      <c r="B12" s="340">
        <f>+('Tabla A1. Formulado'!C29+'Tabla A1. Formulado'!C38+'Tabla A1. Formulado'!C41)/'Indicadores Estratégicos'!B5</f>
        <v>3.486778386224187</v>
      </c>
      <c r="C12" s="340">
        <f>+('Tabla A1. Formulado'!D29+'Tabla A1. Formulado'!D38+'Tabla A1. Formulado'!D41)/'Indicadores Estratégicos'!C5</f>
        <v>3.1530762101243544</v>
      </c>
      <c r="D12" s="340">
        <f>+('Tabla A1. Formulado'!E29+'Tabla A1. Formulado'!E38+'Tabla A1. Formulado'!E41)/'Indicadores Estratégicos'!D5</f>
        <v>5.4283375736136312</v>
      </c>
      <c r="E12" s="340">
        <f>+('Tabla A1. Formulado'!F29+'Tabla A1. Formulado'!F38+'Tabla A1. Formulado'!F41)/'Indicadores Estratégicos'!E5</f>
        <v>4.5182471559785062</v>
      </c>
      <c r="F12" s="340">
        <f>+('Tabla A1. Formulado'!G29+'Tabla A1. Formulado'!G38+'Tabla A1. Formulado'!G41)/'Indicadores Estratégicos'!F5</f>
        <v>4.8422517814021981</v>
      </c>
      <c r="G12" s="340">
        <f>+('Tabla A1. Formulado'!H29+'Tabla A1. Formulado'!H38+'Tabla A1. Formulado'!H41)/'Indicadores Estratégicos'!G5</f>
        <v>4.3948534504008547</v>
      </c>
      <c r="H12" s="340">
        <f>+('Tabla A1. Formulado'!I29+'Tabla A1. Formulado'!I38+'Tabla A1. Formulado'!I41)/'Indicadores Estratégicos'!H5</f>
        <v>3.7331273145514983</v>
      </c>
      <c r="I12" s="340">
        <f>+('Tabla A1. Formulado'!J29+'Tabla A1. Formulado'!J38+'Tabla A1. Formulado'!J41)/'Indicadores Estratégicos'!I5</f>
        <v>3.7501499290732196</v>
      </c>
    </row>
    <row r="13" spans="1:11" ht="15.5" outlineLevel="1" x14ac:dyDescent="0.3">
      <c r="A13" s="180"/>
      <c r="B13" s="344"/>
      <c r="C13" s="344"/>
      <c r="D13" s="344"/>
      <c r="E13" s="344"/>
      <c r="F13" s="344"/>
      <c r="G13" s="344"/>
      <c r="H13" s="344"/>
      <c r="I13" s="344"/>
    </row>
    <row r="14" spans="1:11" ht="15" x14ac:dyDescent="0.3">
      <c r="A14" s="345" t="s">
        <v>325</v>
      </c>
      <c r="B14" s="346"/>
      <c r="C14" s="346"/>
      <c r="D14" s="346"/>
      <c r="E14" s="346"/>
      <c r="F14" s="346"/>
      <c r="G14" s="346"/>
      <c r="H14" s="346"/>
      <c r="I14" s="346"/>
    </row>
    <row r="15" spans="1:11" ht="15.5" x14ac:dyDescent="0.3">
      <c r="A15" s="180" t="s">
        <v>47</v>
      </c>
      <c r="B15" s="347">
        <f>+'Tabla A2. Formulado'!C11</f>
        <v>278475</v>
      </c>
      <c r="C15" s="347">
        <f>+'Tabla A2. Formulado'!D11</f>
        <v>328584</v>
      </c>
      <c r="D15" s="347">
        <f>+'Tabla A2. Formulado'!E11</f>
        <v>179371</v>
      </c>
      <c r="E15" s="347">
        <f>+'Tabla A2. Formulado'!F11</f>
        <v>219116</v>
      </c>
      <c r="F15" s="347">
        <f>+'Tabla A2. Formulado'!G11</f>
        <v>130257</v>
      </c>
      <c r="G15" s="347">
        <f>+'Tabla A2. Formulado'!H11</f>
        <v>272833</v>
      </c>
      <c r="H15" s="347">
        <f>+'Tabla A2. Formulado'!I11</f>
        <v>414567</v>
      </c>
      <c r="I15" s="347">
        <f>+'Tabla A2. Formulado'!J11</f>
        <v>389999.99999999988</v>
      </c>
    </row>
    <row r="16" spans="1:11" ht="15.5" x14ac:dyDescent="0.3">
      <c r="A16" s="180" t="s">
        <v>207</v>
      </c>
      <c r="B16" s="347">
        <f>('Tabla A1. Formulado'!C19+'Tabla A1. Formulado'!C22)+'Tabla A1. Formulado'!C15-'Tabla A1. Formulado'!C36-'Tabla A1. Formulado'!C8</f>
        <v>6872388</v>
      </c>
      <c r="C16" s="347">
        <f>('Tabla A1. Formulado'!D19+'Tabla A1. Formulado'!D22)+'Tabla A1. Formulado'!D15-'Tabla A1. Formulado'!D36-'Tabla A1. Formulado'!D8</f>
        <v>7233132</v>
      </c>
      <c r="D16" s="347">
        <f>('Tabla A1. Formulado'!E19+'Tabla A1. Formulado'!E22)+'Tabla A1. Formulado'!E15-'Tabla A1. Formulado'!E36-'Tabla A1. Formulado'!E8</f>
        <v>6176938</v>
      </c>
      <c r="E16" s="347">
        <f>('Tabla A1. Formulado'!F19+'Tabla A1. Formulado'!F22)+'Tabla A1. Formulado'!F15-'Tabla A1. Formulado'!F36-'Tabla A1. Formulado'!F8</f>
        <v>10009981</v>
      </c>
      <c r="F16" s="347">
        <f>('Tabla A1. Formulado'!G19+'Tabla A1. Formulado'!G22)+'Tabla A1. Formulado'!G15-'Tabla A1. Formulado'!G36-'Tabla A1. Formulado'!G8</f>
        <v>11378319</v>
      </c>
      <c r="G16" s="347">
        <f>('Tabla A1. Formulado'!H19+'Tabla A1. Formulado'!H22)+'Tabla A1. Formulado'!H15-'Tabla A1. Formulado'!H36-'Tabla A1. Formulado'!H8</f>
        <v>11840431</v>
      </c>
      <c r="H16" s="347">
        <f>('Tabla A1. Formulado'!I19+'Tabla A1. Formulado'!I22)+'Tabla A1. Formulado'!I15-'Tabla A1. Formulado'!I36-'Tabla A1. Formulado'!I8</f>
        <v>6762195</v>
      </c>
      <c r="I16" s="347">
        <f>('Tabla A1. Formulado'!J19+'Tabla A1. Formulado'!J22)+'Tabla A1. Formulado'!J15-'Tabla A1. Formulado'!J36-'Tabla A1. Formulado'!J8</f>
        <v>7273038</v>
      </c>
    </row>
    <row r="17" spans="1:9" ht="15.5" x14ac:dyDescent="0.3">
      <c r="A17" s="180" t="s">
        <v>326</v>
      </c>
      <c r="B17" s="342">
        <f>+'Tabla A2. Formulado'!C19/'Tabla A2. Formulado'!C18</f>
        <v>0.26434828735398014</v>
      </c>
      <c r="C17" s="342">
        <f>+'Tabla A2. Formulado'!D19/'Tabla A2. Formulado'!D18</f>
        <v>0.22545249805421697</v>
      </c>
      <c r="D17" s="342">
        <f>+'Tabla A2. Formulado'!E19/'Tabla A2. Formulado'!E18</f>
        <v>0.12293471778861333</v>
      </c>
      <c r="E17" s="342">
        <f>+'Tabla A2. Formulado'!F19/'Tabla A2. Formulado'!F18</f>
        <v>0.20271876539156131</v>
      </c>
      <c r="F17" s="342">
        <f>+'Tabla A2. Formulado'!G19/'Tabla A2. Formulado'!G18</f>
        <v>9.6826989231342767E-2</v>
      </c>
      <c r="G17" s="342">
        <f>+'Tabla A2. Formulado'!H19/'Tabla A2. Formulado'!H18</f>
        <v>6.1821541684577722E-2</v>
      </c>
      <c r="H17" s="342">
        <f>+'Tabla A2. Formulado'!I19/'Tabla A2. Formulado'!I18</f>
        <v>4.0987067827922934E-2</v>
      </c>
      <c r="I17" s="342">
        <f>+'Tabla A2. Formulado'!J19/'Tabla A2. Formulado'!J18</f>
        <v>6.2500502551861195E-2</v>
      </c>
    </row>
    <row r="18" spans="1:9" ht="15.5" x14ac:dyDescent="0.3">
      <c r="A18" s="180" t="s">
        <v>327</v>
      </c>
      <c r="B18" s="348">
        <f>+B15*(1-B17)</f>
        <v>204860.61067910035</v>
      </c>
      <c r="C18" s="348">
        <f>+C15*(1-C17)</f>
        <v>254503.91637935318</v>
      </c>
      <c r="D18" s="348">
        <f>+D15*(1-D17)</f>
        <v>157320.07673553863</v>
      </c>
      <c r="E18" s="348">
        <f>+E15*(1-E17)</f>
        <v>174697.07500246266</v>
      </c>
      <c r="F18" s="348">
        <f>+F15*(1-F17)</f>
        <v>117644.60686369298</v>
      </c>
      <c r="G18" s="348">
        <f t="shared" ref="G18:H18" si="4">+G15*(1-G17)</f>
        <v>255966.0433175716</v>
      </c>
      <c r="H18" s="348">
        <f t="shared" si="4"/>
        <v>397575.11425178149</v>
      </c>
      <c r="I18" s="348">
        <f>+I15*(1-I17)</f>
        <v>365624.80400477402</v>
      </c>
    </row>
    <row r="19" spans="1:9" ht="15.5" x14ac:dyDescent="0.3">
      <c r="A19" s="180" t="s">
        <v>328</v>
      </c>
      <c r="B19" s="342">
        <f>'Calculo WACC'!$B$61</f>
        <v>9.0300015808122816E-2</v>
      </c>
      <c r="C19" s="342">
        <f>'Calculo WACC'!$B$61</f>
        <v>9.0300015808122816E-2</v>
      </c>
      <c r="D19" s="342">
        <f>'Calculo WACC'!$B$61</f>
        <v>9.0300015808122816E-2</v>
      </c>
      <c r="E19" s="342">
        <f>'Calculo WACC'!$B$61</f>
        <v>9.0300015808122816E-2</v>
      </c>
      <c r="F19" s="342">
        <f>'Calculo WACC'!$B$61</f>
        <v>9.0300015808122816E-2</v>
      </c>
      <c r="G19" s="342">
        <f>'Calculo WACC'!$B$61</f>
        <v>9.0300015808122816E-2</v>
      </c>
      <c r="H19" s="342">
        <f>'Calculo WACC'!$B$61</f>
        <v>9.0300015808122816E-2</v>
      </c>
      <c r="I19" s="342">
        <f>'Calculo WACC'!$B$61</f>
        <v>9.0300015808122816E-2</v>
      </c>
    </row>
    <row r="20" spans="1:9" ht="15.5" x14ac:dyDescent="0.3">
      <c r="A20" s="180" t="s">
        <v>208</v>
      </c>
      <c r="B20" s="342">
        <f t="shared" ref="B20:I20" si="5">(B15*(1-$B$35))/B16</f>
        <v>2.7148969179272179E-2</v>
      </c>
      <c r="C20" s="342">
        <f t="shared" si="5"/>
        <v>3.0436508002342551E-2</v>
      </c>
      <c r="D20" s="342">
        <f t="shared" si="5"/>
        <v>1.9456010405155433E-2</v>
      </c>
      <c r="E20" s="342">
        <f t="shared" si="5"/>
        <v>1.4666133731922165E-2</v>
      </c>
      <c r="F20" s="342">
        <f t="shared" si="5"/>
        <v>7.6700424728819777E-3</v>
      </c>
      <c r="G20" s="342">
        <f t="shared" si="5"/>
        <v>1.5438467569297096E-2</v>
      </c>
      <c r="H20" s="342">
        <f t="shared" si="5"/>
        <v>4.1075403770521254E-2</v>
      </c>
      <c r="I20" s="342">
        <f t="shared" si="5"/>
        <v>3.5927215009738694E-2</v>
      </c>
    </row>
    <row r="21" spans="1:9" ht="15.5" x14ac:dyDescent="0.3">
      <c r="A21" s="180" t="s">
        <v>329</v>
      </c>
      <c r="B21" s="347">
        <f>+'Tabla A1. Formulado'!C17+'Tabla A1. Formulado'!C19-'Tabla A1. Formulado'!C40-'Tabla A1. Formulado'!C42+B7</f>
        <v>2464978</v>
      </c>
      <c r="C21" s="347">
        <f>+'Tabla A1. Formulado'!D17+'Tabla A1. Formulado'!D19-'Tabla A1. Formulado'!D40-'Tabla A1. Formulado'!D42+C7</f>
        <v>2597845</v>
      </c>
      <c r="D21" s="347">
        <f>+'Tabla A1. Formulado'!E17+'Tabla A1. Formulado'!E19-'Tabla A1. Formulado'!E40-'Tabla A1. Formulado'!E42+D7</f>
        <v>2698232</v>
      </c>
      <c r="E21" s="347">
        <f>+'Tabla A1. Formulado'!F17+'Tabla A1. Formulado'!F19-'Tabla A1. Formulado'!F40-'Tabla A1. Formulado'!F42+E7</f>
        <v>2863348</v>
      </c>
      <c r="F21" s="347">
        <f>+'Tabla A1. Formulado'!G17+'Tabla A1. Formulado'!G19-'Tabla A1. Formulado'!G40-'Tabla A1. Formulado'!G42+F7</f>
        <v>2964425</v>
      </c>
      <c r="G21" s="347">
        <f>+'Tabla A1. Formulado'!H17+'Tabla A1. Formulado'!H19-'Tabla A1. Formulado'!H40-'Tabla A1. Formulado'!H42+G7</f>
        <v>4331571</v>
      </c>
      <c r="H21" s="347">
        <f>+'Tabla A1. Formulado'!I17+'Tabla A1. Formulado'!I19-'Tabla A1. Formulado'!I40-'Tabla A1. Formulado'!I42+H7</f>
        <v>3928156</v>
      </c>
      <c r="I21" s="347">
        <f>+'Tabla A1. Formulado'!J17+'Tabla A1. Formulado'!J19-'Tabla A1. Formulado'!J40-'Tabla A1. Formulado'!J42+I7</f>
        <v>4211517</v>
      </c>
    </row>
    <row r="22" spans="1:9" ht="15.5" x14ac:dyDescent="0.3">
      <c r="A22" s="180" t="s">
        <v>330</v>
      </c>
      <c r="B22" s="340">
        <f>+B21*B19</f>
        <v>222587.55236667497</v>
      </c>
      <c r="C22" s="340">
        <f>+C21*C19</f>
        <v>234585.44456705282</v>
      </c>
      <c r="D22" s="340">
        <f>+D21*D19</f>
        <v>243650.39225398283</v>
      </c>
      <c r="E22" s="340">
        <f>+E21*E19</f>
        <v>258560.36966415684</v>
      </c>
      <c r="F22" s="340">
        <f>+F21*F19</f>
        <v>267687.6243619945</v>
      </c>
      <c r="G22" s="340">
        <f t="shared" ref="G22:H22" si="6">+G21*G19</f>
        <v>391140.92977400636</v>
      </c>
      <c r="H22" s="340">
        <f t="shared" si="6"/>
        <v>354712.5488967725</v>
      </c>
      <c r="I22" s="340">
        <f>+I21*I19</f>
        <v>380300.051676178</v>
      </c>
    </row>
    <row r="23" spans="1:9" ht="15" x14ac:dyDescent="0.3">
      <c r="A23" s="339" t="s">
        <v>325</v>
      </c>
      <c r="B23" s="349">
        <f>+B18-B22</f>
        <v>-17726.94168757461</v>
      </c>
      <c r="C23" s="349">
        <f>+C18-C22</f>
        <v>19918.471812300355</v>
      </c>
      <c r="D23" s="349">
        <f>+D18-D22</f>
        <v>-86330.3155184442</v>
      </c>
      <c r="E23" s="349">
        <f>+E18-E22</f>
        <v>-83863.294661694177</v>
      </c>
      <c r="F23" s="349">
        <f>+F18-F22</f>
        <v>-150043.01749830152</v>
      </c>
      <c r="G23" s="349">
        <f t="shared" ref="G23:H23" si="7">+G18-G22</f>
        <v>-135174.88645643476</v>
      </c>
      <c r="H23" s="349">
        <f t="shared" si="7"/>
        <v>42862.565355008992</v>
      </c>
      <c r="I23" s="349">
        <f>+I18-I22</f>
        <v>-14675.24767140398</v>
      </c>
    </row>
    <row r="24" spans="1:9" ht="15" x14ac:dyDescent="0.3">
      <c r="A24" s="339" t="s">
        <v>331</v>
      </c>
      <c r="B24" s="350">
        <f>+B18/B21</f>
        <v>8.310849455009349E-2</v>
      </c>
      <c r="C24" s="350">
        <f>+C18/C21</f>
        <v>9.7967321522012735E-2</v>
      </c>
      <c r="D24" s="350">
        <f>+D18/D21</f>
        <v>5.8304873982496182E-2</v>
      </c>
      <c r="E24" s="350">
        <f>+E18/E21</f>
        <v>6.1011471536977925E-2</v>
      </c>
      <c r="F24" s="350">
        <f>+F18/F21</f>
        <v>3.9685472516151697E-2</v>
      </c>
      <c r="G24" s="350">
        <f t="shared" ref="G24:H24" si="8">+G18/G21</f>
        <v>5.9093119636633364E-2</v>
      </c>
      <c r="H24" s="350">
        <f t="shared" si="8"/>
        <v>0.10121164084414709</v>
      </c>
      <c r="I24" s="350">
        <f>+I18/I21</f>
        <v>8.6815464357563793E-2</v>
      </c>
    </row>
    <row r="25" spans="1:9" ht="15.5" x14ac:dyDescent="0.3">
      <c r="A25" s="351" t="s">
        <v>332</v>
      </c>
      <c r="B25" s="344"/>
      <c r="C25" s="344"/>
      <c r="D25" s="344"/>
      <c r="E25" s="344"/>
      <c r="F25" s="344"/>
      <c r="G25" s="344"/>
      <c r="H25" s="344"/>
      <c r="I25" s="344"/>
    </row>
    <row r="27" spans="1:9" ht="15" x14ac:dyDescent="0.3">
      <c r="A27" s="345" t="s">
        <v>333</v>
      </c>
      <c r="B27" s="346"/>
      <c r="C27" s="346"/>
      <c r="D27" s="346"/>
      <c r="E27" s="346"/>
      <c r="F27" s="346"/>
      <c r="G27" s="346"/>
      <c r="H27" s="346"/>
      <c r="I27" s="346"/>
    </row>
    <row r="28" spans="1:9" ht="15.5" x14ac:dyDescent="0.3">
      <c r="A28" s="180" t="s">
        <v>334</v>
      </c>
      <c r="B28" s="347">
        <f t="shared" ref="B28:I28" si="9">B4</f>
        <v>327805</v>
      </c>
      <c r="C28" s="347">
        <f t="shared" si="9"/>
        <v>354383</v>
      </c>
      <c r="D28" s="347">
        <f t="shared" si="9"/>
        <v>412571</v>
      </c>
      <c r="E28" s="347">
        <f t="shared" si="9"/>
        <v>432602</v>
      </c>
      <c r="F28" s="347">
        <f t="shared" si="9"/>
        <v>408925</v>
      </c>
      <c r="G28" s="347">
        <f t="shared" si="9"/>
        <v>408711</v>
      </c>
      <c r="H28" s="347">
        <f t="shared" si="9"/>
        <v>376623</v>
      </c>
      <c r="I28" s="347">
        <f t="shared" si="9"/>
        <v>408711</v>
      </c>
    </row>
    <row r="29" spans="1:9" ht="15.5" x14ac:dyDescent="0.3">
      <c r="A29" s="180" t="s">
        <v>335</v>
      </c>
      <c r="B29" s="347">
        <f>'Tabla A3. Formulado'!C41</f>
        <v>45126</v>
      </c>
      <c r="C29" s="347">
        <f>'Tabla A3. Formulado'!D41</f>
        <v>42518</v>
      </c>
      <c r="D29" s="347">
        <f>'Tabla A3. Formulado'!E41</f>
        <v>107886</v>
      </c>
      <c r="E29" s="347">
        <f>'Tabla A3. Formulado'!F41</f>
        <v>-32883</v>
      </c>
      <c r="F29" s="347">
        <f>'Tabla A3. Formulado'!G41</f>
        <v>-147780</v>
      </c>
      <c r="G29" s="347">
        <f>'Tabla A3. Formulado'!H41</f>
        <v>75054</v>
      </c>
      <c r="H29" s="347">
        <f>'Tabla A3. Formulado'!I41</f>
        <v>-26088</v>
      </c>
      <c r="I29" s="347">
        <f>AVERAGE(E29:G29)</f>
        <v>-35203</v>
      </c>
    </row>
    <row r="30" spans="1:9" ht="15.5" x14ac:dyDescent="0.3">
      <c r="A30" s="180" t="s">
        <v>336</v>
      </c>
      <c r="B30" s="347">
        <f>'Tabla A3. Formulado'!C36+'Tabla A3. Formulado'!C39</f>
        <v>168504</v>
      </c>
      <c r="C30" s="347">
        <f>'Tabla A3. Formulado'!D36+'Tabla A3. Formulado'!D39</f>
        <v>-419409</v>
      </c>
      <c r="D30" s="347">
        <f>'Tabla A3. Formulado'!E36+'Tabla A3. Formulado'!E39</f>
        <v>308472</v>
      </c>
      <c r="E30" s="347">
        <f>'Tabla A3. Formulado'!F36+'Tabla A3. Formulado'!F39</f>
        <v>-9785</v>
      </c>
      <c r="F30" s="347">
        <f>'Tabla A3. Formulado'!G36+'Tabla A3. Formulado'!G39</f>
        <v>-17379</v>
      </c>
      <c r="G30" s="347">
        <f>'Tabla A3. Formulado'!H36+'Tabla A3. Formulado'!H39</f>
        <v>-36773</v>
      </c>
      <c r="H30" s="347">
        <f>'Tabla A3. Formulado'!I36+'Tabla A3. Formulado'!I39</f>
        <v>-23129</v>
      </c>
      <c r="I30" s="347">
        <f>AVERAGE(E30:G30)</f>
        <v>-21312.333333333332</v>
      </c>
    </row>
    <row r="31" spans="1:9" ht="15.5" x14ac:dyDescent="0.3">
      <c r="A31" s="180" t="s">
        <v>337</v>
      </c>
      <c r="B31" s="347">
        <f>'Tabla A3. Formulado'!C53+'Tabla A3. Formulado'!C56+'Tabla A3. Formulado'!C57</f>
        <v>-1511352</v>
      </c>
      <c r="C31" s="347">
        <f>'Tabla A3. Formulado'!D53+'Tabla A3. Formulado'!D56+'Tabla A3. Formulado'!D57</f>
        <v>-302357</v>
      </c>
      <c r="D31" s="347">
        <f>'Tabla A3. Formulado'!E53+'Tabla A3. Formulado'!E56+'Tabla A3. Formulado'!E57</f>
        <v>-1041697</v>
      </c>
      <c r="E31" s="347">
        <f>'Tabla A3. Formulado'!F53+'Tabla A3. Formulado'!F56+'Tabla A3. Formulado'!F57</f>
        <v>-363575</v>
      </c>
      <c r="F31" s="347">
        <f>'Tabla A3. Formulado'!G53+'Tabla A3. Formulado'!G56+'Tabla A3. Formulado'!G57</f>
        <v>-315105</v>
      </c>
      <c r="G31" s="347">
        <f>'Tabla A3. Formulado'!H53+'Tabla A3. Formulado'!H56+'Tabla A3. Formulado'!H57</f>
        <v>-391520</v>
      </c>
      <c r="H31" s="347">
        <f>'Tabla A3. Formulado'!I53+'Tabla A3. Formulado'!I56+'Tabla A3. Formulado'!I57</f>
        <v>-157661</v>
      </c>
      <c r="I31" s="347">
        <f>AVERAGE(E31:G31)</f>
        <v>-356733.33333333331</v>
      </c>
    </row>
    <row r="32" spans="1:9" ht="15" x14ac:dyDescent="0.3">
      <c r="A32" s="339" t="s">
        <v>333</v>
      </c>
      <c r="B32" s="349">
        <f t="shared" ref="B32:C32" si="10">SUM(B28:B31)</f>
        <v>-969917</v>
      </c>
      <c r="C32" s="349">
        <f t="shared" si="10"/>
        <v>-324865</v>
      </c>
      <c r="D32" s="349">
        <f>SUM(D28:D31)</f>
        <v>-212768</v>
      </c>
      <c r="E32" s="349">
        <f t="shared" ref="E32:F32" si="11">SUM(E28:E31)</f>
        <v>26359</v>
      </c>
      <c r="F32" s="349">
        <f t="shared" si="11"/>
        <v>-71339</v>
      </c>
      <c r="G32" s="352">
        <f t="shared" ref="G32:H32" si="12">SUM(G28:G31)</f>
        <v>55472</v>
      </c>
      <c r="H32" s="352">
        <f t="shared" si="12"/>
        <v>169745</v>
      </c>
      <c r="I32" s="352">
        <f>SUM(I28:I31)</f>
        <v>-4537.6666666666279</v>
      </c>
    </row>
    <row r="35" spans="1:2" x14ac:dyDescent="0.3">
      <c r="A35" s="353" t="s">
        <v>338</v>
      </c>
      <c r="B35" s="354">
        <v>0.33</v>
      </c>
    </row>
  </sheetData>
  <mergeCells count="1">
    <mergeCell ref="A1:H1"/>
  </mergeCells>
  <pageMargins left="0.7" right="0.7" top="0.75" bottom="0.75" header="0.3" footer="0.3"/>
  <customProperties>
    <customPr name="EpmWorksheetKeyString_GUID" r:id="rId1"/>
  </customPropertie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390BE-C245-4D7D-9A4F-E5F081CB8D92}">
  <sheetPr>
    <tabColor theme="1"/>
  </sheetPr>
  <dimension ref="B19:N21"/>
  <sheetViews>
    <sheetView showGridLines="0" topLeftCell="A10" zoomScale="120" zoomScaleNormal="120" workbookViewId="0">
      <selection activeCell="D25" sqref="D25"/>
    </sheetView>
  </sheetViews>
  <sheetFormatPr defaultColWidth="11.453125" defaultRowHeight="14" x14ac:dyDescent="0.3"/>
  <cols>
    <col min="1" max="16384" width="11.453125" style="329"/>
  </cols>
  <sheetData>
    <row r="19" spans="2:14" ht="20.5" x14ac:dyDescent="0.45">
      <c r="B19" s="78" t="s">
        <v>339</v>
      </c>
      <c r="C19" s="79"/>
      <c r="D19" s="328"/>
      <c r="E19" s="328"/>
      <c r="F19" s="328"/>
      <c r="G19" s="328"/>
      <c r="H19" s="328"/>
      <c r="I19" s="185"/>
      <c r="J19" s="185"/>
      <c r="K19" s="185"/>
      <c r="L19" s="185"/>
      <c r="M19" s="185"/>
      <c r="N19" s="185"/>
    </row>
    <row r="20" spans="2:14" ht="15.5" x14ac:dyDescent="0.35">
      <c r="B20" s="79"/>
      <c r="C20" s="79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</row>
    <row r="21" spans="2:14" ht="15.5" x14ac:dyDescent="0.35">
      <c r="B21" s="79"/>
      <c r="C21" s="79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4C246-DA42-4798-BD13-E31C895B88BF}">
  <sheetPr>
    <tabColor theme="0" tint="-0.249977111117893"/>
  </sheetPr>
  <dimension ref="A1:O68"/>
  <sheetViews>
    <sheetView showGridLines="0" zoomScale="85" zoomScaleNormal="85" workbookViewId="0"/>
  </sheetViews>
  <sheetFormatPr defaultColWidth="11.453125" defaultRowHeight="15.5" outlineLevelRow="1" outlineLevelCol="2" x14ac:dyDescent="0.35"/>
  <cols>
    <col min="1" max="1" width="36.1796875" style="231" customWidth="1"/>
    <col min="2" max="6" width="11.453125" style="231" customWidth="1" outlineLevel="2"/>
    <col min="7" max="11" width="11.453125" style="233" customWidth="1" outlineLevel="1"/>
    <col min="12" max="12" width="11.453125" style="231" customWidth="1" outlineLevel="2"/>
    <col min="13" max="14" width="11.453125" style="231" customWidth="1" outlineLevel="1"/>
    <col min="15" max="256" width="10.81640625" style="231"/>
    <col min="257" max="257" width="31" style="231" customWidth="1"/>
    <col min="258" max="512" width="10.81640625" style="231"/>
    <col min="513" max="513" width="31" style="231" customWidth="1"/>
    <col min="514" max="768" width="10.81640625" style="231"/>
    <col min="769" max="769" width="31" style="231" customWidth="1"/>
    <col min="770" max="1024" width="10.81640625" style="231"/>
    <col min="1025" max="1025" width="31" style="231" customWidth="1"/>
    <col min="1026" max="1280" width="10.81640625" style="231"/>
    <col min="1281" max="1281" width="31" style="231" customWidth="1"/>
    <col min="1282" max="1536" width="10.81640625" style="231"/>
    <col min="1537" max="1537" width="31" style="231" customWidth="1"/>
    <col min="1538" max="1792" width="10.81640625" style="231"/>
    <col min="1793" max="1793" width="31" style="231" customWidth="1"/>
    <col min="1794" max="2048" width="10.81640625" style="231"/>
    <col min="2049" max="2049" width="31" style="231" customWidth="1"/>
    <col min="2050" max="2304" width="10.81640625" style="231"/>
    <col min="2305" max="2305" width="31" style="231" customWidth="1"/>
    <col min="2306" max="2560" width="10.81640625" style="231"/>
    <col min="2561" max="2561" width="31" style="231" customWidth="1"/>
    <col min="2562" max="2816" width="10.81640625" style="231"/>
    <col min="2817" max="2817" width="31" style="231" customWidth="1"/>
    <col min="2818" max="3072" width="10.81640625" style="231"/>
    <col min="3073" max="3073" width="31" style="231" customWidth="1"/>
    <col min="3074" max="3328" width="10.81640625" style="231"/>
    <col min="3329" max="3329" width="31" style="231" customWidth="1"/>
    <col min="3330" max="3584" width="10.81640625" style="231"/>
    <col min="3585" max="3585" width="31" style="231" customWidth="1"/>
    <col min="3586" max="3840" width="10.81640625" style="231"/>
    <col min="3841" max="3841" width="31" style="231" customWidth="1"/>
    <col min="3842" max="4096" width="10.81640625" style="231"/>
    <col min="4097" max="4097" width="31" style="231" customWidth="1"/>
    <col min="4098" max="4352" width="10.81640625" style="231"/>
    <col min="4353" max="4353" width="31" style="231" customWidth="1"/>
    <col min="4354" max="4608" width="10.81640625" style="231"/>
    <col min="4609" max="4609" width="31" style="231" customWidth="1"/>
    <col min="4610" max="4864" width="10.81640625" style="231"/>
    <col min="4865" max="4865" width="31" style="231" customWidth="1"/>
    <col min="4866" max="5120" width="10.81640625" style="231"/>
    <col min="5121" max="5121" width="31" style="231" customWidth="1"/>
    <col min="5122" max="5376" width="10.81640625" style="231"/>
    <col min="5377" max="5377" width="31" style="231" customWidth="1"/>
    <col min="5378" max="5632" width="10.81640625" style="231"/>
    <col min="5633" max="5633" width="31" style="231" customWidth="1"/>
    <col min="5634" max="5888" width="10.81640625" style="231"/>
    <col min="5889" max="5889" width="31" style="231" customWidth="1"/>
    <col min="5890" max="6144" width="10.81640625" style="231"/>
    <col min="6145" max="6145" width="31" style="231" customWidth="1"/>
    <col min="6146" max="6400" width="10.81640625" style="231"/>
    <col min="6401" max="6401" width="31" style="231" customWidth="1"/>
    <col min="6402" max="6656" width="10.81640625" style="231"/>
    <col min="6657" max="6657" width="31" style="231" customWidth="1"/>
    <col min="6658" max="6912" width="10.81640625" style="231"/>
    <col min="6913" max="6913" width="31" style="231" customWidth="1"/>
    <col min="6914" max="7168" width="10.81640625" style="231"/>
    <col min="7169" max="7169" width="31" style="231" customWidth="1"/>
    <col min="7170" max="7424" width="10.81640625" style="231"/>
    <col min="7425" max="7425" width="31" style="231" customWidth="1"/>
    <col min="7426" max="7680" width="10.81640625" style="231"/>
    <col min="7681" max="7681" width="31" style="231" customWidth="1"/>
    <col min="7682" max="7936" width="10.81640625" style="231"/>
    <col min="7937" max="7937" width="31" style="231" customWidth="1"/>
    <col min="7938" max="8192" width="10.81640625" style="231"/>
    <col min="8193" max="8193" width="31" style="231" customWidth="1"/>
    <col min="8194" max="8448" width="10.81640625" style="231"/>
    <col min="8449" max="8449" width="31" style="231" customWidth="1"/>
    <col min="8450" max="8704" width="10.81640625" style="231"/>
    <col min="8705" max="8705" width="31" style="231" customWidth="1"/>
    <col min="8706" max="8960" width="10.81640625" style="231"/>
    <col min="8961" max="8961" width="31" style="231" customWidth="1"/>
    <col min="8962" max="9216" width="10.81640625" style="231"/>
    <col min="9217" max="9217" width="31" style="231" customWidth="1"/>
    <col min="9218" max="9472" width="10.81640625" style="231"/>
    <col min="9473" max="9473" width="31" style="231" customWidth="1"/>
    <col min="9474" max="9728" width="10.81640625" style="231"/>
    <col min="9729" max="9729" width="31" style="231" customWidth="1"/>
    <col min="9730" max="9984" width="10.81640625" style="231"/>
    <col min="9985" max="9985" width="31" style="231" customWidth="1"/>
    <col min="9986" max="10240" width="10.81640625" style="231"/>
    <col min="10241" max="10241" width="31" style="231" customWidth="1"/>
    <col min="10242" max="10496" width="10.81640625" style="231"/>
    <col min="10497" max="10497" width="31" style="231" customWidth="1"/>
    <col min="10498" max="10752" width="10.81640625" style="231"/>
    <col min="10753" max="10753" width="31" style="231" customWidth="1"/>
    <col min="10754" max="11008" width="10.81640625" style="231"/>
    <col min="11009" max="11009" width="31" style="231" customWidth="1"/>
    <col min="11010" max="11264" width="10.81640625" style="231"/>
    <col min="11265" max="11265" width="31" style="231" customWidth="1"/>
    <col min="11266" max="11520" width="10.81640625" style="231"/>
    <col min="11521" max="11521" width="31" style="231" customWidth="1"/>
    <col min="11522" max="11776" width="10.81640625" style="231"/>
    <col min="11777" max="11777" width="31" style="231" customWidth="1"/>
    <col min="11778" max="12032" width="10.81640625" style="231"/>
    <col min="12033" max="12033" width="31" style="231" customWidth="1"/>
    <col min="12034" max="12288" width="10.81640625" style="231"/>
    <col min="12289" max="12289" width="31" style="231" customWidth="1"/>
    <col min="12290" max="12544" width="10.81640625" style="231"/>
    <col min="12545" max="12545" width="31" style="231" customWidth="1"/>
    <col min="12546" max="12800" width="10.81640625" style="231"/>
    <col min="12801" max="12801" width="31" style="231" customWidth="1"/>
    <col min="12802" max="13056" width="10.81640625" style="231"/>
    <col min="13057" max="13057" width="31" style="231" customWidth="1"/>
    <col min="13058" max="13312" width="10.81640625" style="231"/>
    <col min="13313" max="13313" width="31" style="231" customWidth="1"/>
    <col min="13314" max="13568" width="10.81640625" style="231"/>
    <col min="13569" max="13569" width="31" style="231" customWidth="1"/>
    <col min="13570" max="13824" width="10.81640625" style="231"/>
    <col min="13825" max="13825" width="31" style="231" customWidth="1"/>
    <col min="13826" max="14080" width="10.81640625" style="231"/>
    <col min="14081" max="14081" width="31" style="231" customWidth="1"/>
    <col min="14082" max="14336" width="10.81640625" style="231"/>
    <col min="14337" max="14337" width="31" style="231" customWidth="1"/>
    <col min="14338" max="14592" width="10.81640625" style="231"/>
    <col min="14593" max="14593" width="31" style="231" customWidth="1"/>
    <col min="14594" max="14848" width="10.81640625" style="231"/>
    <col min="14849" max="14849" width="31" style="231" customWidth="1"/>
    <col min="14850" max="15104" width="10.81640625" style="231"/>
    <col min="15105" max="15105" width="31" style="231" customWidth="1"/>
    <col min="15106" max="15360" width="10.81640625" style="231"/>
    <col min="15361" max="15361" width="31" style="231" customWidth="1"/>
    <col min="15362" max="15616" width="10.81640625" style="231"/>
    <col min="15617" max="15617" width="31" style="231" customWidth="1"/>
    <col min="15618" max="15872" width="10.81640625" style="231"/>
    <col min="15873" max="15873" width="31" style="231" customWidth="1"/>
    <col min="15874" max="16128" width="10.81640625" style="231"/>
    <col min="16129" max="16129" width="31" style="231" customWidth="1"/>
    <col min="16130" max="16384" width="10.81640625" style="231"/>
  </cols>
  <sheetData>
    <row r="1" spans="1:15" x14ac:dyDescent="0.35">
      <c r="G1" s="232" t="s">
        <v>340</v>
      </c>
      <c r="L1" s="188" t="s">
        <v>341</v>
      </c>
      <c r="O1" s="188" t="s">
        <v>342</v>
      </c>
    </row>
    <row r="2" spans="1:15" ht="46.5" x14ac:dyDescent="0.35">
      <c r="A2" s="234" t="s">
        <v>343</v>
      </c>
      <c r="B2" s="234" t="s">
        <v>344</v>
      </c>
      <c r="C2" s="234" t="s">
        <v>345</v>
      </c>
      <c r="D2" s="234" t="s">
        <v>346</v>
      </c>
      <c r="E2" s="234" t="s">
        <v>347</v>
      </c>
      <c r="F2" s="234" t="s">
        <v>348</v>
      </c>
      <c r="G2" s="235" t="s">
        <v>349</v>
      </c>
      <c r="H2" s="235" t="s">
        <v>350</v>
      </c>
      <c r="I2" s="235" t="s">
        <v>351</v>
      </c>
      <c r="J2" s="235" t="s">
        <v>352</v>
      </c>
      <c r="K2" s="235" t="s">
        <v>353</v>
      </c>
      <c r="L2" s="236" t="s">
        <v>354</v>
      </c>
      <c r="M2" s="237" t="s">
        <v>355</v>
      </c>
      <c r="N2" s="237" t="s">
        <v>356</v>
      </c>
      <c r="O2" s="237" t="s">
        <v>357</v>
      </c>
    </row>
    <row r="3" spans="1:15" x14ac:dyDescent="0.35">
      <c r="A3" s="238" t="s">
        <v>358</v>
      </c>
      <c r="B3" s="239"/>
      <c r="C3" s="239">
        <v>3.1901923074172064E-3</v>
      </c>
      <c r="D3" s="240"/>
      <c r="E3" s="241"/>
      <c r="F3" s="239">
        <v>8.9999999999999993E-3</v>
      </c>
      <c r="G3" s="242"/>
      <c r="H3" s="242"/>
      <c r="I3" s="242"/>
      <c r="J3" s="242"/>
      <c r="K3" s="243"/>
      <c r="L3" s="244"/>
      <c r="M3" s="244"/>
      <c r="N3" s="244"/>
      <c r="O3" s="244"/>
    </row>
    <row r="4" spans="1:15" x14ac:dyDescent="0.35">
      <c r="A4" s="238" t="s">
        <v>359</v>
      </c>
      <c r="B4" s="239">
        <v>0.23637275527583734</v>
      </c>
      <c r="C4" s="239">
        <v>4.8295843362845585E-2</v>
      </c>
      <c r="D4" s="245">
        <v>1</v>
      </c>
      <c r="E4" s="239">
        <v>0</v>
      </c>
      <c r="F4" s="239">
        <v>4.7E-2</v>
      </c>
      <c r="G4" s="246"/>
      <c r="H4" s="246"/>
      <c r="I4" s="246"/>
      <c r="J4" s="246"/>
      <c r="K4" s="247"/>
      <c r="L4" s="244"/>
      <c r="M4" s="244"/>
      <c r="N4" s="244"/>
      <c r="O4" s="244"/>
    </row>
    <row r="5" spans="1:15" x14ac:dyDescent="0.35">
      <c r="A5" s="238" t="s">
        <v>360</v>
      </c>
      <c r="B5" s="239">
        <v>0.77423902089420937</v>
      </c>
      <c r="C5" s="239">
        <v>0.12519556252502811</v>
      </c>
      <c r="D5" s="245">
        <v>2.6253138164302143</v>
      </c>
      <c r="E5" s="239">
        <v>3.5888813027147026E-3</v>
      </c>
      <c r="F5" s="239">
        <v>0.10876192502434813</v>
      </c>
      <c r="G5" s="242">
        <v>8.01</v>
      </c>
      <c r="H5" s="242">
        <v>16.55</v>
      </c>
      <c r="I5" s="246">
        <v>0.495</v>
      </c>
      <c r="J5" s="246">
        <v>8.82</v>
      </c>
      <c r="K5" s="243">
        <f>G5+J5-I5</f>
        <v>16.334999999999997</v>
      </c>
      <c r="L5" s="248">
        <f>(2/3)*D5+(1/3)*$D$4</f>
        <v>2.0835425442868094</v>
      </c>
      <c r="M5" s="249">
        <f>(J5/(J5+G5))</f>
        <v>0.52406417112299475</v>
      </c>
      <c r="N5" s="249">
        <f t="shared" ref="N5:N10" si="0">1-M5</f>
        <v>0.47593582887700525</v>
      </c>
      <c r="O5" s="250">
        <f>M5*$B$42+N5*L5</f>
        <v>1.3215144874162568</v>
      </c>
    </row>
    <row r="6" spans="1:15" x14ac:dyDescent="0.35">
      <c r="A6" s="238" t="s">
        <v>361</v>
      </c>
      <c r="B6" s="239">
        <v>0.43514168256266672</v>
      </c>
      <c r="C6" s="239">
        <v>1.8072983127469949E-2</v>
      </c>
      <c r="D6" s="245">
        <v>1.2109784992700994</v>
      </c>
      <c r="E6" s="241">
        <v>-3.9739182803650692E-2</v>
      </c>
      <c r="F6" s="239">
        <v>5.5017182972263774E-2</v>
      </c>
      <c r="G6" s="246">
        <v>33.200000000000003</v>
      </c>
      <c r="H6" s="246">
        <v>38.28</v>
      </c>
      <c r="I6" s="246">
        <v>9.83</v>
      </c>
      <c r="J6" s="246">
        <v>16.13</v>
      </c>
      <c r="K6" s="242">
        <f>G6+J6-I6</f>
        <v>39.5</v>
      </c>
      <c r="L6" s="248">
        <f>(2/3)*D6+(1/3)*$D$4</f>
        <v>1.1406523328467328</v>
      </c>
      <c r="M6" s="249">
        <f>(J6/(J6+G6))</f>
        <v>0.32698155280762214</v>
      </c>
      <c r="N6" s="249">
        <f t="shared" si="0"/>
        <v>0.67301844719237791</v>
      </c>
      <c r="O6" s="250">
        <f>M6*$B$42+N6*L6</f>
        <v>0.97350468179458727</v>
      </c>
    </row>
    <row r="7" spans="1:15" x14ac:dyDescent="0.35">
      <c r="A7" s="238" t="s">
        <v>362</v>
      </c>
      <c r="B7" s="239">
        <v>0.51854604423625872</v>
      </c>
      <c r="C7" s="239">
        <v>8.4375760390145133E-2</v>
      </c>
      <c r="D7" s="245">
        <v>1.4899409368486884</v>
      </c>
      <c r="E7" s="239">
        <v>1.3980812092032932E-2</v>
      </c>
      <c r="F7" s="239">
        <v>6.5617755600250155E-2</v>
      </c>
      <c r="G7" s="246">
        <v>22.16</v>
      </c>
      <c r="H7" s="246">
        <v>26.53</v>
      </c>
      <c r="I7" s="246">
        <v>0.16139999999999999</v>
      </c>
      <c r="J7" s="246">
        <v>4.63</v>
      </c>
      <c r="K7" s="242">
        <f>G7+J7-I7</f>
        <v>26.628599999999999</v>
      </c>
      <c r="L7" s="248">
        <f>(2/3)*D7+(1/3)*$D$4</f>
        <v>1.3266272912324588</v>
      </c>
      <c r="M7" s="249">
        <f>(J7/(J7+G7))</f>
        <v>0.17282568122433745</v>
      </c>
      <c r="N7" s="249">
        <f t="shared" si="0"/>
        <v>0.82717431877566261</v>
      </c>
      <c r="O7" s="250">
        <f>M7*$B$42+N7*L7</f>
        <v>1.2061403653317602</v>
      </c>
    </row>
    <row r="8" spans="1:15" x14ac:dyDescent="0.35">
      <c r="A8" s="238" t="s">
        <v>363</v>
      </c>
      <c r="B8" s="239">
        <v>0.50251993770164849</v>
      </c>
      <c r="C8" s="241">
        <v>-2.1893320663001199E-3</v>
      </c>
      <c r="D8" s="245">
        <v>1.1839218952282933</v>
      </c>
      <c r="E8" s="241">
        <v>-5.8781092256766157E-2</v>
      </c>
      <c r="F8" s="239">
        <v>5.3989032018675144E-2</v>
      </c>
      <c r="G8" s="246">
        <v>12.39</v>
      </c>
      <c r="H8" s="246">
        <v>17.61</v>
      </c>
      <c r="I8" s="246">
        <v>1.47</v>
      </c>
      <c r="J8" s="246">
        <v>7.11</v>
      </c>
      <c r="K8" s="242">
        <f>G8+J8-I8</f>
        <v>18.03</v>
      </c>
      <c r="L8" s="248">
        <f>(2/3)*D8+(1/3)*$D$4</f>
        <v>1.1226145968188621</v>
      </c>
      <c r="M8" s="249">
        <f>(J8/(J8+G8))</f>
        <v>0.36461538461538462</v>
      </c>
      <c r="N8" s="249">
        <f t="shared" si="0"/>
        <v>0.63538461538461544</v>
      </c>
      <c r="O8" s="250">
        <f>M8*$B$42+N8*L8</f>
        <v>0.94280597916493014</v>
      </c>
    </row>
    <row r="9" spans="1:15" x14ac:dyDescent="0.35">
      <c r="A9" s="238" t="s">
        <v>364</v>
      </c>
      <c r="B9" s="239">
        <v>0.46743837218788481</v>
      </c>
      <c r="C9" s="239">
        <v>1.5914764565315733E-2</v>
      </c>
      <c r="D9" s="245">
        <v>0.73650025174735989</v>
      </c>
      <c r="E9" s="241">
        <v>-2.0495751099653049E-2</v>
      </c>
      <c r="F9" s="239">
        <v>3.6987009566399671E-2</v>
      </c>
      <c r="G9" s="246">
        <v>36.53</v>
      </c>
      <c r="H9" s="246">
        <v>42.11</v>
      </c>
      <c r="I9" s="246">
        <v>9.83</v>
      </c>
      <c r="J9" s="246">
        <v>16.13</v>
      </c>
      <c r="K9" s="242">
        <f>G9+J9-I9</f>
        <v>42.83</v>
      </c>
      <c r="L9" s="248">
        <f>(2/3)*D9+(1/3)*$D$4</f>
        <v>0.82433350116490656</v>
      </c>
      <c r="M9" s="249">
        <f>(J9/(J9+G9))</f>
        <v>0.30630459551842004</v>
      </c>
      <c r="N9" s="249">
        <f t="shared" si="0"/>
        <v>0.69369540448157996</v>
      </c>
      <c r="O9" s="250">
        <f>M9*$B$42+N9*L9</f>
        <v>0.76464548613690653</v>
      </c>
    </row>
    <row r="10" spans="1:15" x14ac:dyDescent="0.35">
      <c r="A10" s="251" t="s">
        <v>365</v>
      </c>
      <c r="M10" s="252">
        <f>AVERAGE(M5:M9)</f>
        <v>0.33895827705775178</v>
      </c>
      <c r="N10" s="253">
        <f t="shared" si="0"/>
        <v>0.66104172294224828</v>
      </c>
      <c r="O10" s="254">
        <f>AVERAGE(O5:O9)</f>
        <v>1.0417221999688882</v>
      </c>
    </row>
    <row r="11" spans="1:15" x14ac:dyDescent="0.35">
      <c r="A11" s="251"/>
      <c r="M11" s="255"/>
      <c r="N11" s="256"/>
      <c r="O11" s="257"/>
    </row>
    <row r="13" spans="1:15" x14ac:dyDescent="0.35">
      <c r="A13" s="188" t="s">
        <v>366</v>
      </c>
    </row>
    <row r="14" spans="1:15" x14ac:dyDescent="0.35">
      <c r="A14" s="188"/>
    </row>
    <row r="15" spans="1:15" ht="12.75" customHeight="1" x14ac:dyDescent="0.35">
      <c r="A15" s="258" t="s">
        <v>367</v>
      </c>
      <c r="B15" s="259" t="s">
        <v>368</v>
      </c>
      <c r="C15" s="487" t="s">
        <v>369</v>
      </c>
      <c r="D15" s="487"/>
      <c r="E15" s="488"/>
    </row>
    <row r="16" spans="1:15" ht="12.75" customHeight="1" x14ac:dyDescent="0.35">
      <c r="A16" s="260" t="s">
        <v>149</v>
      </c>
      <c r="B16" s="261">
        <v>5.4300000000000001E-2</v>
      </c>
      <c r="C16" s="478" t="s">
        <v>150</v>
      </c>
      <c r="D16" s="479"/>
      <c r="E16" s="480"/>
    </row>
    <row r="17" spans="1:13" x14ac:dyDescent="0.35">
      <c r="A17" s="262" t="s">
        <v>151</v>
      </c>
      <c r="B17" s="263">
        <v>3.1E-2</v>
      </c>
      <c r="C17" s="478" t="s">
        <v>152</v>
      </c>
      <c r="D17" s="479"/>
      <c r="E17" s="480"/>
    </row>
    <row r="18" spans="1:13" x14ac:dyDescent="0.35">
      <c r="A18" s="262" t="s">
        <v>153</v>
      </c>
      <c r="B18" s="264">
        <v>2.1000000000000001E-2</v>
      </c>
      <c r="C18" s="484" t="s">
        <v>154</v>
      </c>
      <c r="D18" s="485"/>
      <c r="E18" s="486"/>
    </row>
    <row r="19" spans="1:13" x14ac:dyDescent="0.35">
      <c r="A19" s="262" t="s">
        <v>155</v>
      </c>
      <c r="B19" s="263">
        <v>0.6</v>
      </c>
      <c r="C19" s="484" t="s">
        <v>154</v>
      </c>
      <c r="D19" s="485"/>
      <c r="E19" s="486"/>
    </row>
    <row r="20" spans="1:13" ht="12.75" customHeight="1" x14ac:dyDescent="0.35">
      <c r="A20" s="262" t="s">
        <v>156</v>
      </c>
      <c r="B20" s="263">
        <v>1.5640000000000001E-2</v>
      </c>
      <c r="C20" s="478" t="s">
        <v>157</v>
      </c>
      <c r="D20" s="479"/>
      <c r="E20" s="480"/>
    </row>
    <row r="21" spans="1:13" x14ac:dyDescent="0.35">
      <c r="A21" s="262" t="s">
        <v>158</v>
      </c>
      <c r="B21" s="263">
        <v>1.6799999999999999E-2</v>
      </c>
      <c r="C21" s="478" t="s">
        <v>159</v>
      </c>
      <c r="D21" s="479"/>
      <c r="E21" s="480"/>
    </row>
    <row r="22" spans="1:13" ht="12.75" customHeight="1" x14ac:dyDescent="0.35">
      <c r="A22" s="262" t="s">
        <v>160</v>
      </c>
      <c r="B22" s="265">
        <v>4.1399999999999999E-2</v>
      </c>
      <c r="C22" s="481" t="s">
        <v>161</v>
      </c>
      <c r="D22" s="482"/>
      <c r="E22" s="483"/>
      <c r="F22" s="266"/>
    </row>
    <row r="23" spans="1:13" ht="12.75" customHeight="1" x14ac:dyDescent="0.35">
      <c r="A23" s="262" t="s">
        <v>162</v>
      </c>
      <c r="B23" s="265">
        <v>2.41E-2</v>
      </c>
      <c r="C23" s="481" t="s">
        <v>163</v>
      </c>
      <c r="D23" s="482"/>
      <c r="E23" s="483"/>
      <c r="F23" s="266"/>
    </row>
    <row r="24" spans="1:13" ht="12.75" customHeight="1" x14ac:dyDescent="0.35">
      <c r="A24" s="267" t="s">
        <v>164</v>
      </c>
      <c r="B24" s="268">
        <v>0.33</v>
      </c>
      <c r="C24" s="494" t="s">
        <v>165</v>
      </c>
      <c r="D24" s="495"/>
      <c r="E24" s="496"/>
      <c r="F24" s="266"/>
    </row>
    <row r="27" spans="1:13" x14ac:dyDescent="0.35">
      <c r="A27" s="188" t="s">
        <v>370</v>
      </c>
    </row>
    <row r="28" spans="1:13" x14ac:dyDescent="0.35">
      <c r="A28" s="188"/>
    </row>
    <row r="29" spans="1:13" ht="45" x14ac:dyDescent="0.35">
      <c r="A29" s="269" t="s">
        <v>371</v>
      </c>
      <c r="B29" s="269" t="s">
        <v>372</v>
      </c>
      <c r="C29" s="269" t="s">
        <v>373</v>
      </c>
      <c r="D29" s="269" t="s">
        <v>374</v>
      </c>
      <c r="E29" s="270" t="s">
        <v>375</v>
      </c>
      <c r="G29" s="489" t="s">
        <v>376</v>
      </c>
      <c r="H29" s="490"/>
      <c r="I29" s="490"/>
      <c r="J29" s="490"/>
      <c r="K29" s="490"/>
      <c r="L29" s="490"/>
      <c r="M29" s="491"/>
    </row>
    <row r="30" spans="1:13" outlineLevel="1" x14ac:dyDescent="0.35">
      <c r="A30" s="271" t="s">
        <v>377</v>
      </c>
      <c r="B30" s="272">
        <f>$B$21</f>
        <v>1.6799999999999999E-2</v>
      </c>
      <c r="C30" s="272">
        <f>B30</f>
        <v>1.6799999999999999E-2</v>
      </c>
      <c r="D30" s="272">
        <f>B30</f>
        <v>1.6799999999999999E-2</v>
      </c>
      <c r="E30" s="272">
        <f>C30</f>
        <v>1.6799999999999999E-2</v>
      </c>
      <c r="G30" s="492" t="s">
        <v>378</v>
      </c>
      <c r="H30" s="492"/>
      <c r="I30" s="492"/>
      <c r="J30" s="492"/>
      <c r="K30" s="492"/>
      <c r="L30" s="492"/>
      <c r="M30" s="492"/>
    </row>
    <row r="31" spans="1:13" ht="12.75" customHeight="1" outlineLevel="1" x14ac:dyDescent="0.35">
      <c r="A31" s="271" t="s">
        <v>379</v>
      </c>
      <c r="B31" s="273" t="s">
        <v>380</v>
      </c>
      <c r="C31" s="273" t="s">
        <v>380</v>
      </c>
      <c r="D31" s="273" t="s">
        <v>380</v>
      </c>
      <c r="E31" s="273" t="s">
        <v>380</v>
      </c>
      <c r="G31" s="493" t="s">
        <v>381</v>
      </c>
      <c r="H31" s="493"/>
      <c r="I31" s="493"/>
      <c r="J31" s="493"/>
      <c r="K31" s="493"/>
      <c r="L31" s="493"/>
      <c r="M31" s="493"/>
    </row>
    <row r="32" spans="1:13" ht="12.75" customHeight="1" outlineLevel="1" x14ac:dyDescent="0.35">
      <c r="A32" s="271" t="s">
        <v>382</v>
      </c>
      <c r="B32" s="274">
        <f>$B$16</f>
        <v>5.4300000000000001E-2</v>
      </c>
      <c r="C32" s="274">
        <f>B32</f>
        <v>5.4300000000000001E-2</v>
      </c>
      <c r="D32" s="274">
        <f t="shared" ref="D32:E35" si="1">B32</f>
        <v>5.4300000000000001E-2</v>
      </c>
      <c r="E32" s="274">
        <f t="shared" si="1"/>
        <v>5.4300000000000001E-2</v>
      </c>
      <c r="G32" s="492" t="s">
        <v>383</v>
      </c>
      <c r="H32" s="492"/>
      <c r="I32" s="492"/>
      <c r="J32" s="492"/>
      <c r="K32" s="492"/>
      <c r="L32" s="492"/>
      <c r="M32" s="492"/>
    </row>
    <row r="33" spans="1:13" outlineLevel="1" x14ac:dyDescent="0.35">
      <c r="A33" s="271" t="s">
        <v>384</v>
      </c>
      <c r="B33" s="274">
        <f>$B$17</f>
        <v>3.1E-2</v>
      </c>
      <c r="C33" s="274">
        <f>B33</f>
        <v>3.1E-2</v>
      </c>
      <c r="D33" s="274">
        <f t="shared" si="1"/>
        <v>3.1E-2</v>
      </c>
      <c r="E33" s="274">
        <f t="shared" si="1"/>
        <v>3.1E-2</v>
      </c>
      <c r="G33" s="492" t="s">
        <v>385</v>
      </c>
      <c r="H33" s="492"/>
      <c r="I33" s="492"/>
      <c r="J33" s="492"/>
      <c r="K33" s="492"/>
      <c r="L33" s="492"/>
      <c r="M33" s="492"/>
    </row>
    <row r="34" spans="1:13" ht="12.75" customHeight="1" outlineLevel="1" x14ac:dyDescent="0.35">
      <c r="A34" s="271" t="s">
        <v>386</v>
      </c>
      <c r="B34" s="274">
        <f>$B$18</f>
        <v>2.1000000000000001E-2</v>
      </c>
      <c r="C34" s="274">
        <f>B34</f>
        <v>2.1000000000000001E-2</v>
      </c>
      <c r="D34" s="274">
        <f t="shared" si="1"/>
        <v>2.1000000000000001E-2</v>
      </c>
      <c r="E34" s="274">
        <f t="shared" si="1"/>
        <v>2.1000000000000001E-2</v>
      </c>
      <c r="G34" s="492" t="s">
        <v>387</v>
      </c>
      <c r="H34" s="492"/>
      <c r="I34" s="492"/>
      <c r="J34" s="492"/>
      <c r="K34" s="492"/>
      <c r="L34" s="492"/>
      <c r="M34" s="492"/>
    </row>
    <row r="35" spans="1:13" ht="12.75" customHeight="1" outlineLevel="1" x14ac:dyDescent="0.35">
      <c r="A35" s="271" t="s">
        <v>388</v>
      </c>
      <c r="B35" s="275">
        <f>B19</f>
        <v>0.6</v>
      </c>
      <c r="C35" s="274">
        <f>B35</f>
        <v>0.6</v>
      </c>
      <c r="D35" s="275">
        <f t="shared" si="1"/>
        <v>0.6</v>
      </c>
      <c r="E35" s="275">
        <f t="shared" si="1"/>
        <v>0.6</v>
      </c>
      <c r="G35" s="492" t="s">
        <v>389</v>
      </c>
      <c r="H35" s="492"/>
      <c r="I35" s="492"/>
      <c r="J35" s="492"/>
      <c r="K35" s="492"/>
      <c r="L35" s="492"/>
      <c r="M35" s="492"/>
    </row>
    <row r="36" spans="1:13" ht="12.75" customHeight="1" outlineLevel="1" x14ac:dyDescent="0.35">
      <c r="A36" s="271" t="s">
        <v>390</v>
      </c>
      <c r="B36" s="274">
        <f>B32-B33*B35+B30</f>
        <v>5.2500000000000005E-2</v>
      </c>
      <c r="C36" s="274">
        <f>B36</f>
        <v>5.2500000000000005E-2</v>
      </c>
      <c r="D36" s="274">
        <f>D32-D33*D35+D30</f>
        <v>5.2500000000000005E-2</v>
      </c>
      <c r="E36" s="274">
        <f>E32-E33*E35+E30</f>
        <v>5.2500000000000005E-2</v>
      </c>
      <c r="G36" s="492" t="s">
        <v>391</v>
      </c>
      <c r="H36" s="492"/>
      <c r="I36" s="492"/>
      <c r="J36" s="492"/>
      <c r="K36" s="492"/>
      <c r="L36" s="492"/>
      <c r="M36" s="492"/>
    </row>
    <row r="37" spans="1:13" ht="12.75" customHeight="1" outlineLevel="1" x14ac:dyDescent="0.35">
      <c r="A37" s="271" t="s">
        <v>392</v>
      </c>
      <c r="B37" s="276">
        <f>B20</f>
        <v>1.5640000000000001E-2</v>
      </c>
      <c r="C37" s="276">
        <f>$B$37</f>
        <v>1.5640000000000001E-2</v>
      </c>
      <c r="D37" s="274">
        <v>2.5000000000000001E-2</v>
      </c>
      <c r="E37" s="276">
        <f>$B$37</f>
        <v>1.5640000000000001E-2</v>
      </c>
      <c r="G37" s="492" t="s">
        <v>393</v>
      </c>
      <c r="H37" s="492"/>
      <c r="I37" s="492"/>
      <c r="J37" s="492"/>
      <c r="K37" s="492"/>
      <c r="L37" s="492"/>
      <c r="M37" s="492"/>
    </row>
    <row r="38" spans="1:13" ht="12.75" customHeight="1" outlineLevel="1" x14ac:dyDescent="0.35">
      <c r="A38" s="271" t="s">
        <v>394</v>
      </c>
      <c r="B38" s="274">
        <f>B22</f>
        <v>4.1399999999999999E-2</v>
      </c>
      <c r="C38" s="274">
        <v>5.5E-2</v>
      </c>
      <c r="D38" s="274">
        <v>5.5E-2</v>
      </c>
      <c r="E38" s="274">
        <v>4.1399999999999999E-2</v>
      </c>
      <c r="G38" s="493" t="s">
        <v>395</v>
      </c>
      <c r="H38" s="493"/>
      <c r="I38" s="493"/>
      <c r="J38" s="493"/>
      <c r="K38" s="493"/>
      <c r="L38" s="493"/>
      <c r="M38" s="493"/>
    </row>
    <row r="39" spans="1:13" outlineLevel="1" x14ac:dyDescent="0.35">
      <c r="A39" s="271" t="s">
        <v>396</v>
      </c>
      <c r="B39" s="250">
        <f>(B36-B37-B30)/B38</f>
        <v>0.48454106280193249</v>
      </c>
      <c r="C39" s="250">
        <f>(C36-C37-C30)/C38</f>
        <v>0.36472727272727279</v>
      </c>
      <c r="D39" s="250">
        <f>(D36-D37-D30)/D38</f>
        <v>0.19454545454545463</v>
      </c>
      <c r="E39" s="250">
        <f>(E36-E37-E30)/E38</f>
        <v>0.48454106280193249</v>
      </c>
      <c r="G39" s="492" t="s">
        <v>397</v>
      </c>
      <c r="H39" s="492"/>
      <c r="I39" s="492"/>
      <c r="J39" s="492"/>
      <c r="K39" s="492"/>
      <c r="L39" s="492"/>
      <c r="M39" s="492"/>
    </row>
    <row r="40" spans="1:13" ht="12.75" customHeight="1" outlineLevel="1" x14ac:dyDescent="0.35">
      <c r="A40" s="271" t="s">
        <v>398</v>
      </c>
      <c r="B40" s="277">
        <f>B32-B37</f>
        <v>3.866E-2</v>
      </c>
      <c r="C40" s="277">
        <f>C32-C37</f>
        <v>3.866E-2</v>
      </c>
      <c r="D40" s="277">
        <f>D32-D37</f>
        <v>2.93E-2</v>
      </c>
      <c r="E40" s="277">
        <f>E32-E37</f>
        <v>3.866E-2</v>
      </c>
      <c r="G40" s="492"/>
      <c r="H40" s="492"/>
      <c r="I40" s="492"/>
      <c r="J40" s="492"/>
      <c r="K40" s="492"/>
      <c r="L40" s="492"/>
      <c r="M40" s="492"/>
    </row>
    <row r="41" spans="1:13" ht="12.75" customHeight="1" outlineLevel="1" x14ac:dyDescent="0.35">
      <c r="A41" s="271" t="s">
        <v>399</v>
      </c>
      <c r="B41" s="274">
        <f>B32-B34*B35+0%</f>
        <v>4.1700000000000001E-2</v>
      </c>
      <c r="C41" s="274">
        <f>C32-C34*C35+0%</f>
        <v>4.1700000000000001E-2</v>
      </c>
      <c r="D41" s="274">
        <f>D32-D34*D35+0%</f>
        <v>4.1700000000000001E-2</v>
      </c>
      <c r="E41" s="274">
        <f>E32-E34*E35+0%</f>
        <v>4.1700000000000001E-2</v>
      </c>
      <c r="G41" s="492" t="s">
        <v>400</v>
      </c>
      <c r="H41" s="492"/>
      <c r="I41" s="492"/>
      <c r="J41" s="492"/>
      <c r="K41" s="492"/>
      <c r="L41" s="492"/>
      <c r="M41" s="492"/>
    </row>
    <row r="42" spans="1:13" ht="12.75" customHeight="1" outlineLevel="1" x14ac:dyDescent="0.35">
      <c r="A42" s="271" t="s">
        <v>401</v>
      </c>
      <c r="B42" s="250">
        <f>(B41-B37-0%)/B38</f>
        <v>0.62946859903381647</v>
      </c>
      <c r="C42" s="250">
        <f>(C41-C37-0%)/C38</f>
        <v>0.47381818181818181</v>
      </c>
      <c r="D42" s="250">
        <f>(D41-D37-0%)/D38</f>
        <v>0.30363636363636365</v>
      </c>
      <c r="E42" s="250">
        <f>(E41-E37-0%)/E38</f>
        <v>0.62946859903381647</v>
      </c>
      <c r="G42" s="492" t="s">
        <v>397</v>
      </c>
      <c r="H42" s="492"/>
      <c r="I42" s="492"/>
      <c r="J42" s="492"/>
      <c r="K42" s="492"/>
      <c r="L42" s="492"/>
      <c r="M42" s="492"/>
    </row>
    <row r="43" spans="1:13" ht="12.75" customHeight="1" outlineLevel="1" x14ac:dyDescent="0.35">
      <c r="A43" s="271" t="s">
        <v>402</v>
      </c>
      <c r="B43" s="250">
        <f>$O$10</f>
        <v>1.0417221999688882</v>
      </c>
      <c r="C43" s="250">
        <f>$O$10</f>
        <v>1.0417221999688882</v>
      </c>
      <c r="D43" s="250">
        <f>$O$10</f>
        <v>1.0417221999688882</v>
      </c>
      <c r="E43" s="250">
        <f>$O$10</f>
        <v>1.0417221999688882</v>
      </c>
      <c r="G43" s="492"/>
      <c r="H43" s="492"/>
      <c r="I43" s="492"/>
      <c r="J43" s="492"/>
      <c r="K43" s="492"/>
      <c r="L43" s="492"/>
      <c r="M43" s="492"/>
    </row>
    <row r="44" spans="1:13" outlineLevel="1" x14ac:dyDescent="0.35">
      <c r="A44" s="271" t="s">
        <v>403</v>
      </c>
      <c r="B44" s="250">
        <f>B43</f>
        <v>1.0417221999688882</v>
      </c>
      <c r="C44" s="250">
        <f>C43</f>
        <v>1.0417221999688882</v>
      </c>
      <c r="D44" s="250">
        <f>D43</f>
        <v>1.0417221999688882</v>
      </c>
      <c r="E44" s="250">
        <f>E43</f>
        <v>1.0417221999688882</v>
      </c>
      <c r="G44" s="492"/>
      <c r="H44" s="492"/>
      <c r="I44" s="492"/>
      <c r="J44" s="492"/>
      <c r="K44" s="492"/>
      <c r="L44" s="492"/>
      <c r="M44" s="492"/>
    </row>
    <row r="45" spans="1:13" outlineLevel="1" x14ac:dyDescent="0.35">
      <c r="A45" s="271" t="s">
        <v>404</v>
      </c>
      <c r="B45" s="278">
        <f>B37+B44*B38+B30</f>
        <v>7.5567299078711972E-2</v>
      </c>
      <c r="C45" s="278">
        <f>C37+C44*C38+C30</f>
        <v>8.9734720998288844E-2</v>
      </c>
      <c r="D45" s="278">
        <f>D37+D44*D38+D30</f>
        <v>9.9094720998288852E-2</v>
      </c>
      <c r="E45" s="278">
        <f>E37+E44*E38+E30</f>
        <v>7.5567299078711972E-2</v>
      </c>
      <c r="G45" s="492"/>
      <c r="H45" s="492"/>
      <c r="I45" s="492"/>
      <c r="J45" s="492"/>
      <c r="K45" s="492"/>
      <c r="L45" s="492"/>
      <c r="M45" s="492"/>
    </row>
    <row r="46" spans="1:13" outlineLevel="1" x14ac:dyDescent="0.35">
      <c r="A46" s="271" t="s">
        <v>405</v>
      </c>
      <c r="B46" s="248">
        <f>('Tabla A1. Formulado'!$I$46)/1000000</f>
        <v>4.4703759999999999</v>
      </c>
      <c r="C46" s="248">
        <f>('Tabla A1. Formulado'!$I$46)/1000000</f>
        <v>4.4703759999999999</v>
      </c>
      <c r="D46" s="248">
        <f>('Tabla A1. Formulado'!$I$46)/1000000</f>
        <v>4.4703759999999999</v>
      </c>
      <c r="E46" s="248">
        <f>('Tabla A1. Formulado'!$J$46)/1000000</f>
        <v>5.0473619999999997</v>
      </c>
      <c r="G46" s="492" t="s">
        <v>406</v>
      </c>
      <c r="H46" s="492"/>
      <c r="I46" s="492"/>
      <c r="J46" s="492"/>
      <c r="K46" s="492"/>
      <c r="L46" s="492"/>
      <c r="M46" s="492"/>
    </row>
    <row r="47" spans="1:13" outlineLevel="1" x14ac:dyDescent="0.35">
      <c r="A47" s="271" t="s">
        <v>407</v>
      </c>
      <c r="B47" s="248">
        <f>'Tabla A1. Formulado'!$I$47/1000000</f>
        <v>5.7963399999999998</v>
      </c>
      <c r="C47" s="248">
        <f>'Tabla A1. Formulado'!$I$47/1000000</f>
        <v>5.7963399999999998</v>
      </c>
      <c r="D47" s="248">
        <f>'Tabla A1. Formulado'!$I$47/1000000</f>
        <v>5.7963399999999998</v>
      </c>
      <c r="E47" s="248">
        <f>'Tabla A1. Formulado'!$J$47/1000000</f>
        <v>5.8730010000000004</v>
      </c>
      <c r="G47" s="492" t="s">
        <v>406</v>
      </c>
      <c r="H47" s="492"/>
      <c r="I47" s="492"/>
      <c r="J47" s="492"/>
      <c r="K47" s="492"/>
      <c r="L47" s="492"/>
      <c r="M47" s="492"/>
    </row>
    <row r="48" spans="1:13" outlineLevel="1" x14ac:dyDescent="0.35">
      <c r="A48" s="271" t="s">
        <v>408</v>
      </c>
      <c r="B48" s="248">
        <f>B46+B47</f>
        <v>10.266715999999999</v>
      </c>
      <c r="C48" s="248">
        <f t="shared" ref="C48:D48" si="2">C46+C47</f>
        <v>10.266715999999999</v>
      </c>
      <c r="D48" s="248">
        <f t="shared" si="2"/>
        <v>10.266715999999999</v>
      </c>
      <c r="E48" s="248">
        <f t="shared" ref="E48" si="3">E46+E47</f>
        <v>10.920363</v>
      </c>
      <c r="G48" s="492"/>
      <c r="H48" s="492"/>
      <c r="I48" s="492"/>
      <c r="J48" s="492"/>
      <c r="K48" s="492"/>
      <c r="L48" s="492"/>
      <c r="M48" s="492"/>
    </row>
    <row r="49" spans="1:13" outlineLevel="1" x14ac:dyDescent="0.35">
      <c r="A49" s="279" t="s">
        <v>409</v>
      </c>
      <c r="B49" s="280">
        <f>B46/B47</f>
        <v>0.77124116252669794</v>
      </c>
      <c r="C49" s="280">
        <f>C46/C47</f>
        <v>0.77124116252669794</v>
      </c>
      <c r="D49" s="280">
        <f>D46/D47</f>
        <v>0.77124116252669794</v>
      </c>
      <c r="E49" s="280">
        <f>E46/E47</f>
        <v>0.85941786830957445</v>
      </c>
      <c r="G49" s="492"/>
      <c r="H49" s="492"/>
      <c r="I49" s="492"/>
      <c r="J49" s="492"/>
      <c r="K49" s="492"/>
      <c r="L49" s="492"/>
      <c r="M49" s="492"/>
    </row>
    <row r="50" spans="1:13" outlineLevel="1" x14ac:dyDescent="0.35">
      <c r="A50" s="271" t="s">
        <v>410</v>
      </c>
      <c r="B50" s="274">
        <f>B45+(B45-B36)*B49</f>
        <v>9.335774963652882E-2</v>
      </c>
      <c r="C50" s="274">
        <f>C45+(C45-C36)*C49</f>
        <v>0.11845167050736638</v>
      </c>
      <c r="D50" s="274">
        <f>D45+(D45-D36)*D49</f>
        <v>0.13503048778861629</v>
      </c>
      <c r="E50" s="274">
        <f>E45+(E45-E36)*E49</f>
        <v>9.5391748080598027E-2</v>
      </c>
      <c r="G50" s="492"/>
      <c r="H50" s="492"/>
      <c r="I50" s="492"/>
      <c r="J50" s="492"/>
      <c r="K50" s="492"/>
      <c r="L50" s="492"/>
      <c r="M50" s="492"/>
    </row>
    <row r="51" spans="1:13" outlineLevel="1" x14ac:dyDescent="0.35">
      <c r="A51" s="271" t="s">
        <v>411</v>
      </c>
      <c r="B51" s="281">
        <f>B44+(B44-B39)*B49</f>
        <v>1.4714432279354785</v>
      </c>
      <c r="C51" s="281">
        <f>C44+(C44-C39)*C49</f>
        <v>1.5638485546793888</v>
      </c>
      <c r="D51" s="281">
        <f>D44+(D44-D39)*D49</f>
        <v>1.6950997779748413</v>
      </c>
      <c r="E51" s="281">
        <f>E44+(E44-E39)*E49</f>
        <v>1.5205736251352178</v>
      </c>
      <c r="G51" s="492"/>
      <c r="H51" s="492"/>
      <c r="I51" s="492"/>
      <c r="J51" s="492"/>
      <c r="K51" s="492"/>
      <c r="L51" s="492"/>
      <c r="M51" s="492"/>
    </row>
    <row r="52" spans="1:13" outlineLevel="1" x14ac:dyDescent="0.35">
      <c r="A52" s="271" t="s">
        <v>412</v>
      </c>
      <c r="B52" s="274">
        <f>B37+B51*B38+B30</f>
        <v>9.3357749636528806E-2</v>
      </c>
      <c r="C52" s="274">
        <f>C37+C51*C38+C30</f>
        <v>0.11845167050736638</v>
      </c>
      <c r="D52" s="274">
        <f>D37+D51*D38+D30</f>
        <v>0.13503048778861629</v>
      </c>
      <c r="E52" s="274">
        <f>E37+E51*E38+E30</f>
        <v>9.5391748080598013E-2</v>
      </c>
      <c r="G52" s="492"/>
      <c r="H52" s="492"/>
      <c r="I52" s="492"/>
      <c r="J52" s="492"/>
      <c r="K52" s="492"/>
      <c r="L52" s="492"/>
      <c r="M52" s="492"/>
    </row>
    <row r="53" spans="1:13" ht="12.75" customHeight="1" outlineLevel="1" x14ac:dyDescent="0.35">
      <c r="A53" s="271" t="s">
        <v>413</v>
      </c>
      <c r="B53" s="275">
        <f>$B$24</f>
        <v>0.33</v>
      </c>
      <c r="C53" s="275">
        <f>$B$53</f>
        <v>0.33</v>
      </c>
      <c r="D53" s="275">
        <f>$B$53</f>
        <v>0.33</v>
      </c>
      <c r="E53" s="275">
        <f>$B$53</f>
        <v>0.33</v>
      </c>
      <c r="G53" s="492" t="s">
        <v>414</v>
      </c>
      <c r="H53" s="492"/>
      <c r="I53" s="492"/>
      <c r="J53" s="492"/>
      <c r="K53" s="492"/>
      <c r="L53" s="492"/>
      <c r="M53" s="492"/>
    </row>
    <row r="54" spans="1:13" outlineLevel="1" x14ac:dyDescent="0.35">
      <c r="A54" s="271" t="s">
        <v>415</v>
      </c>
      <c r="B54" s="282">
        <f>B46/B48</f>
        <v>0.43542414146841119</v>
      </c>
      <c r="C54" s="282">
        <f>C46/C48</f>
        <v>0.43542414146841119</v>
      </c>
      <c r="D54" s="282">
        <f>D46/D48</f>
        <v>0.43542414146841119</v>
      </c>
      <c r="E54" s="282">
        <f>E46/E48</f>
        <v>0.46219727311262454</v>
      </c>
      <c r="G54" s="492"/>
      <c r="H54" s="492"/>
      <c r="I54" s="492"/>
      <c r="J54" s="492"/>
      <c r="K54" s="492"/>
      <c r="L54" s="492"/>
      <c r="M54" s="492"/>
    </row>
    <row r="55" spans="1:13" outlineLevel="1" x14ac:dyDescent="0.35">
      <c r="A55" s="271" t="s">
        <v>416</v>
      </c>
      <c r="B55" s="282">
        <f>B47/B48</f>
        <v>0.56457585853158887</v>
      </c>
      <c r="C55" s="282">
        <f>C47/C48</f>
        <v>0.56457585853158887</v>
      </c>
      <c r="D55" s="282">
        <f>D47/D48</f>
        <v>0.56457585853158887</v>
      </c>
      <c r="E55" s="282">
        <f>E47/E48</f>
        <v>0.53780272688737552</v>
      </c>
      <c r="G55" s="492"/>
      <c r="H55" s="492"/>
      <c r="I55" s="492"/>
      <c r="J55" s="492"/>
      <c r="K55" s="492"/>
      <c r="L55" s="492"/>
      <c r="M55" s="492"/>
    </row>
    <row r="56" spans="1:13" outlineLevel="1" x14ac:dyDescent="0.35">
      <c r="A56" s="271" t="s">
        <v>390</v>
      </c>
      <c r="B56" s="274">
        <f>B36</f>
        <v>5.2500000000000005E-2</v>
      </c>
      <c r="C56" s="274">
        <f>C36</f>
        <v>5.2500000000000005E-2</v>
      </c>
      <c r="D56" s="274">
        <f>D36</f>
        <v>5.2500000000000005E-2</v>
      </c>
      <c r="E56" s="274">
        <f>E36</f>
        <v>5.2500000000000005E-2</v>
      </c>
      <c r="G56" s="492"/>
      <c r="H56" s="492"/>
      <c r="I56" s="492"/>
      <c r="J56" s="492"/>
      <c r="K56" s="492"/>
      <c r="L56" s="492"/>
      <c r="M56" s="492"/>
    </row>
    <row r="57" spans="1:13" ht="12.75" customHeight="1" x14ac:dyDescent="0.35">
      <c r="A57" s="283" t="s">
        <v>417</v>
      </c>
      <c r="B57" s="284">
        <f>B56*(1-B53)*B54+B50*B55</f>
        <v>6.8023575827771743E-2</v>
      </c>
      <c r="C57" s="284">
        <f>C56*(1-C53)*C54+C50*C55</f>
        <v>8.2190997747348615E-2</v>
      </c>
      <c r="D57" s="284">
        <f>D56*(1-D53)*D54+D50*D55</f>
        <v>9.1550997747348623E-2</v>
      </c>
      <c r="E57" s="284">
        <f>E56*(1-E53)*E54+E50*E55</f>
        <v>6.7559731322035757E-2</v>
      </c>
      <c r="G57" s="492" t="s">
        <v>418</v>
      </c>
      <c r="H57" s="492"/>
      <c r="I57" s="492"/>
      <c r="J57" s="492"/>
      <c r="K57" s="492"/>
      <c r="L57" s="492"/>
      <c r="M57" s="492"/>
    </row>
    <row r="58" spans="1:13" ht="12.75" customHeight="1" outlineLevel="1" x14ac:dyDescent="0.35">
      <c r="A58" s="271" t="s">
        <v>419</v>
      </c>
      <c r="B58" s="285">
        <f>$B$23</f>
        <v>2.41E-2</v>
      </c>
      <c r="C58" s="285">
        <f>$B$58</f>
        <v>2.41E-2</v>
      </c>
      <c r="D58" s="285">
        <f>$B$58</f>
        <v>2.41E-2</v>
      </c>
      <c r="E58" s="285">
        <f>$B$58</f>
        <v>2.41E-2</v>
      </c>
      <c r="G58" s="492" t="s">
        <v>163</v>
      </c>
      <c r="H58" s="492"/>
      <c r="I58" s="492"/>
      <c r="J58" s="492"/>
      <c r="K58" s="492"/>
      <c r="L58" s="492"/>
      <c r="M58" s="492"/>
    </row>
    <row r="59" spans="1:13" outlineLevel="1" x14ac:dyDescent="0.35">
      <c r="A59" s="271" t="s">
        <v>420</v>
      </c>
      <c r="B59" s="274">
        <f>(1+B56)*(1+B58)-1</f>
        <v>7.7865250000000108E-2</v>
      </c>
      <c r="C59" s="274">
        <f>(1+C56)*(1+C58)-1</f>
        <v>7.7865250000000108E-2</v>
      </c>
      <c r="D59" s="274">
        <f>(1+D56)*(1+D58)-1</f>
        <v>7.7865250000000108E-2</v>
      </c>
      <c r="E59" s="274">
        <f>(1+E56)*(1+E58)-1</f>
        <v>7.7865250000000108E-2</v>
      </c>
      <c r="G59" s="492"/>
      <c r="H59" s="492"/>
      <c r="I59" s="492"/>
      <c r="J59" s="492"/>
      <c r="K59" s="492"/>
      <c r="L59" s="492"/>
      <c r="M59" s="492"/>
    </row>
    <row r="60" spans="1:13" outlineLevel="1" x14ac:dyDescent="0.35">
      <c r="A60" s="271" t="s">
        <v>421</v>
      </c>
      <c r="B60" s="274">
        <f>(1+B52)*(1+B58)-1</f>
        <v>0.11970767140276917</v>
      </c>
      <c r="C60" s="274">
        <f>(1+C52)*(1+C58)-1</f>
        <v>0.14540635576659389</v>
      </c>
      <c r="D60" s="274">
        <f>(1+D52)*(1+D58)-1</f>
        <v>0.16238472254432201</v>
      </c>
      <c r="E60" s="274">
        <f>(1+E52)*(1+E58)-1</f>
        <v>0.12179068920934033</v>
      </c>
      <c r="G60" s="492"/>
      <c r="H60" s="492"/>
      <c r="I60" s="492"/>
      <c r="J60" s="492"/>
      <c r="K60" s="492"/>
      <c r="L60" s="492"/>
      <c r="M60" s="492"/>
    </row>
    <row r="61" spans="1:13" x14ac:dyDescent="0.35">
      <c r="A61" s="286" t="s">
        <v>422</v>
      </c>
      <c r="B61" s="287">
        <f>B59*(1-B53)*B54+B60*B55</f>
        <v>9.0300015808122816E-2</v>
      </c>
      <c r="C61" s="287">
        <f>C59*(1-C53)*C54+C60*C55</f>
        <v>0.10480887259596147</v>
      </c>
      <c r="D61" s="287">
        <f>D59*(1-D53)*D54+D60*D55</f>
        <v>0.11439444859596154</v>
      </c>
      <c r="E61" s="287">
        <f>E59*(1-E53)*E54+E60*E55</f>
        <v>8.9612065933832086E-2</v>
      </c>
      <c r="G61" s="492"/>
      <c r="H61" s="492"/>
      <c r="I61" s="492"/>
      <c r="J61" s="492"/>
      <c r="K61" s="492"/>
      <c r="L61" s="492"/>
      <c r="M61" s="492"/>
    </row>
    <row r="62" spans="1:13" x14ac:dyDescent="0.35">
      <c r="G62" s="231"/>
      <c r="H62" s="231"/>
      <c r="L62" s="233"/>
      <c r="M62" s="233"/>
    </row>
    <row r="67" spans="2:2" x14ac:dyDescent="0.35">
      <c r="B67" s="288"/>
    </row>
    <row r="68" spans="2:2" x14ac:dyDescent="0.35">
      <c r="B68" s="288"/>
    </row>
  </sheetData>
  <mergeCells count="43">
    <mergeCell ref="G59:M59"/>
    <mergeCell ref="G60:M60"/>
    <mergeCell ref="G61:M61"/>
    <mergeCell ref="G53:M53"/>
    <mergeCell ref="G57:M57"/>
    <mergeCell ref="G58:M58"/>
    <mergeCell ref="G54:M54"/>
    <mergeCell ref="G55:M55"/>
    <mergeCell ref="G56:M56"/>
    <mergeCell ref="G48:M48"/>
    <mergeCell ref="G49:M49"/>
    <mergeCell ref="G50:M50"/>
    <mergeCell ref="G51:M51"/>
    <mergeCell ref="G52:M52"/>
    <mergeCell ref="G43:M43"/>
    <mergeCell ref="G44:M44"/>
    <mergeCell ref="G45:M45"/>
    <mergeCell ref="G46:M46"/>
    <mergeCell ref="G47:M47"/>
    <mergeCell ref="G38:M38"/>
    <mergeCell ref="G39:M39"/>
    <mergeCell ref="G40:M40"/>
    <mergeCell ref="G41:M41"/>
    <mergeCell ref="G42:M42"/>
    <mergeCell ref="G33:M33"/>
    <mergeCell ref="G34:M34"/>
    <mergeCell ref="G35:M35"/>
    <mergeCell ref="G36:M36"/>
    <mergeCell ref="G37:M37"/>
    <mergeCell ref="G29:M29"/>
    <mergeCell ref="G30:M30"/>
    <mergeCell ref="G31:M31"/>
    <mergeCell ref="G32:M32"/>
    <mergeCell ref="C23:E23"/>
    <mergeCell ref="C24:E24"/>
    <mergeCell ref="C21:E21"/>
    <mergeCell ref="C22:E22"/>
    <mergeCell ref="C20:E20"/>
    <mergeCell ref="C18:E18"/>
    <mergeCell ref="C15:E15"/>
    <mergeCell ref="C16:E16"/>
    <mergeCell ref="C17:E17"/>
    <mergeCell ref="C19:E19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390FA-1F07-4777-B2D0-73BC57EE8B01}">
  <sheetPr>
    <tabColor theme="0" tint="-0.249977111117893"/>
  </sheetPr>
  <dimension ref="B2:J291"/>
  <sheetViews>
    <sheetView showGridLines="0" zoomScale="85" zoomScaleNormal="85" workbookViewId="0">
      <selection activeCell="H19" sqref="H19"/>
    </sheetView>
  </sheetViews>
  <sheetFormatPr defaultColWidth="8.7265625" defaultRowHeight="13" x14ac:dyDescent="0.3"/>
  <cols>
    <col min="1" max="1" width="2.81640625" style="52" customWidth="1"/>
    <col min="2" max="9" width="15" style="52" customWidth="1"/>
    <col min="10" max="256" width="8.7265625" style="52"/>
    <col min="257" max="257" width="2.81640625" style="52" customWidth="1"/>
    <col min="258" max="265" width="15" style="52" customWidth="1"/>
    <col min="266" max="512" width="8.7265625" style="52"/>
    <col min="513" max="513" width="2.81640625" style="52" customWidth="1"/>
    <col min="514" max="521" width="15" style="52" customWidth="1"/>
    <col min="522" max="768" width="8.7265625" style="52"/>
    <col min="769" max="769" width="2.81640625" style="52" customWidth="1"/>
    <col min="770" max="777" width="15" style="52" customWidth="1"/>
    <col min="778" max="1024" width="8.7265625" style="52"/>
    <col min="1025" max="1025" width="2.81640625" style="52" customWidth="1"/>
    <col min="1026" max="1033" width="15" style="52" customWidth="1"/>
    <col min="1034" max="1280" width="8.7265625" style="52"/>
    <col min="1281" max="1281" width="2.81640625" style="52" customWidth="1"/>
    <col min="1282" max="1289" width="15" style="52" customWidth="1"/>
    <col min="1290" max="1536" width="8.7265625" style="52"/>
    <col min="1537" max="1537" width="2.81640625" style="52" customWidth="1"/>
    <col min="1538" max="1545" width="15" style="52" customWidth="1"/>
    <col min="1546" max="1792" width="8.7265625" style="52"/>
    <col min="1793" max="1793" width="2.81640625" style="52" customWidth="1"/>
    <col min="1794" max="1801" width="15" style="52" customWidth="1"/>
    <col min="1802" max="2048" width="8.7265625" style="52"/>
    <col min="2049" max="2049" width="2.81640625" style="52" customWidth="1"/>
    <col min="2050" max="2057" width="15" style="52" customWidth="1"/>
    <col min="2058" max="2304" width="8.7265625" style="52"/>
    <col min="2305" max="2305" width="2.81640625" style="52" customWidth="1"/>
    <col min="2306" max="2313" width="15" style="52" customWidth="1"/>
    <col min="2314" max="2560" width="8.7265625" style="52"/>
    <col min="2561" max="2561" width="2.81640625" style="52" customWidth="1"/>
    <col min="2562" max="2569" width="15" style="52" customWidth="1"/>
    <col min="2570" max="2816" width="8.7265625" style="52"/>
    <col min="2817" max="2817" width="2.81640625" style="52" customWidth="1"/>
    <col min="2818" max="2825" width="15" style="52" customWidth="1"/>
    <col min="2826" max="3072" width="8.7265625" style="52"/>
    <col min="3073" max="3073" width="2.81640625" style="52" customWidth="1"/>
    <col min="3074" max="3081" width="15" style="52" customWidth="1"/>
    <col min="3082" max="3328" width="8.7265625" style="52"/>
    <col min="3329" max="3329" width="2.81640625" style="52" customWidth="1"/>
    <col min="3330" max="3337" width="15" style="52" customWidth="1"/>
    <col min="3338" max="3584" width="8.7265625" style="52"/>
    <col min="3585" max="3585" width="2.81640625" style="52" customWidth="1"/>
    <col min="3586" max="3593" width="15" style="52" customWidth="1"/>
    <col min="3594" max="3840" width="8.7265625" style="52"/>
    <col min="3841" max="3841" width="2.81640625" style="52" customWidth="1"/>
    <col min="3842" max="3849" width="15" style="52" customWidth="1"/>
    <col min="3850" max="4096" width="8.7265625" style="52"/>
    <col min="4097" max="4097" width="2.81640625" style="52" customWidth="1"/>
    <col min="4098" max="4105" width="15" style="52" customWidth="1"/>
    <col min="4106" max="4352" width="8.7265625" style="52"/>
    <col min="4353" max="4353" width="2.81640625" style="52" customWidth="1"/>
    <col min="4354" max="4361" width="15" style="52" customWidth="1"/>
    <col min="4362" max="4608" width="8.7265625" style="52"/>
    <col min="4609" max="4609" width="2.81640625" style="52" customWidth="1"/>
    <col min="4610" max="4617" width="15" style="52" customWidth="1"/>
    <col min="4618" max="4864" width="8.7265625" style="52"/>
    <col min="4865" max="4865" width="2.81640625" style="52" customWidth="1"/>
    <col min="4866" max="4873" width="15" style="52" customWidth="1"/>
    <col min="4874" max="5120" width="8.7265625" style="52"/>
    <col min="5121" max="5121" width="2.81640625" style="52" customWidth="1"/>
    <col min="5122" max="5129" width="15" style="52" customWidth="1"/>
    <col min="5130" max="5376" width="8.7265625" style="52"/>
    <col min="5377" max="5377" width="2.81640625" style="52" customWidth="1"/>
    <col min="5378" max="5385" width="15" style="52" customWidth="1"/>
    <col min="5386" max="5632" width="8.7265625" style="52"/>
    <col min="5633" max="5633" width="2.81640625" style="52" customWidth="1"/>
    <col min="5634" max="5641" width="15" style="52" customWidth="1"/>
    <col min="5642" max="5888" width="8.7265625" style="52"/>
    <col min="5889" max="5889" width="2.81640625" style="52" customWidth="1"/>
    <col min="5890" max="5897" width="15" style="52" customWidth="1"/>
    <col min="5898" max="6144" width="8.7265625" style="52"/>
    <col min="6145" max="6145" width="2.81640625" style="52" customWidth="1"/>
    <col min="6146" max="6153" width="15" style="52" customWidth="1"/>
    <col min="6154" max="6400" width="8.7265625" style="52"/>
    <col min="6401" max="6401" width="2.81640625" style="52" customWidth="1"/>
    <col min="6402" max="6409" width="15" style="52" customWidth="1"/>
    <col min="6410" max="6656" width="8.7265625" style="52"/>
    <col min="6657" max="6657" width="2.81640625" style="52" customWidth="1"/>
    <col min="6658" max="6665" width="15" style="52" customWidth="1"/>
    <col min="6666" max="6912" width="8.7265625" style="52"/>
    <col min="6913" max="6913" width="2.81640625" style="52" customWidth="1"/>
    <col min="6914" max="6921" width="15" style="52" customWidth="1"/>
    <col min="6922" max="7168" width="8.7265625" style="52"/>
    <col min="7169" max="7169" width="2.81640625" style="52" customWidth="1"/>
    <col min="7170" max="7177" width="15" style="52" customWidth="1"/>
    <col min="7178" max="7424" width="8.7265625" style="52"/>
    <col min="7425" max="7425" width="2.81640625" style="52" customWidth="1"/>
    <col min="7426" max="7433" width="15" style="52" customWidth="1"/>
    <col min="7434" max="7680" width="8.7265625" style="52"/>
    <col min="7681" max="7681" width="2.81640625" style="52" customWidth="1"/>
    <col min="7682" max="7689" width="15" style="52" customWidth="1"/>
    <col min="7690" max="7936" width="8.7265625" style="52"/>
    <col min="7937" max="7937" width="2.81640625" style="52" customWidth="1"/>
    <col min="7938" max="7945" width="15" style="52" customWidth="1"/>
    <col min="7946" max="8192" width="8.7265625" style="52"/>
    <col min="8193" max="8193" width="2.81640625" style="52" customWidth="1"/>
    <col min="8194" max="8201" width="15" style="52" customWidth="1"/>
    <col min="8202" max="8448" width="8.7265625" style="52"/>
    <col min="8449" max="8449" width="2.81640625" style="52" customWidth="1"/>
    <col min="8450" max="8457" width="15" style="52" customWidth="1"/>
    <col min="8458" max="8704" width="8.7265625" style="52"/>
    <col min="8705" max="8705" width="2.81640625" style="52" customWidth="1"/>
    <col min="8706" max="8713" width="15" style="52" customWidth="1"/>
    <col min="8714" max="8960" width="8.7265625" style="52"/>
    <col min="8961" max="8961" width="2.81640625" style="52" customWidth="1"/>
    <col min="8962" max="8969" width="15" style="52" customWidth="1"/>
    <col min="8970" max="9216" width="8.7265625" style="52"/>
    <col min="9217" max="9217" width="2.81640625" style="52" customWidth="1"/>
    <col min="9218" max="9225" width="15" style="52" customWidth="1"/>
    <col min="9226" max="9472" width="8.7265625" style="52"/>
    <col min="9473" max="9473" width="2.81640625" style="52" customWidth="1"/>
    <col min="9474" max="9481" width="15" style="52" customWidth="1"/>
    <col min="9482" max="9728" width="8.7265625" style="52"/>
    <col min="9729" max="9729" width="2.81640625" style="52" customWidth="1"/>
    <col min="9730" max="9737" width="15" style="52" customWidth="1"/>
    <col min="9738" max="9984" width="8.7265625" style="52"/>
    <col min="9985" max="9985" width="2.81640625" style="52" customWidth="1"/>
    <col min="9986" max="9993" width="15" style="52" customWidth="1"/>
    <col min="9994" max="10240" width="8.7265625" style="52"/>
    <col min="10241" max="10241" width="2.81640625" style="52" customWidth="1"/>
    <col min="10242" max="10249" width="15" style="52" customWidth="1"/>
    <col min="10250" max="10496" width="8.7265625" style="52"/>
    <col min="10497" max="10497" width="2.81640625" style="52" customWidth="1"/>
    <col min="10498" max="10505" width="15" style="52" customWidth="1"/>
    <col min="10506" max="10752" width="8.7265625" style="52"/>
    <col min="10753" max="10753" width="2.81640625" style="52" customWidth="1"/>
    <col min="10754" max="10761" width="15" style="52" customWidth="1"/>
    <col min="10762" max="11008" width="8.7265625" style="52"/>
    <col min="11009" max="11009" width="2.81640625" style="52" customWidth="1"/>
    <col min="11010" max="11017" width="15" style="52" customWidth="1"/>
    <col min="11018" max="11264" width="8.7265625" style="52"/>
    <col min="11265" max="11265" width="2.81640625" style="52" customWidth="1"/>
    <col min="11266" max="11273" width="15" style="52" customWidth="1"/>
    <col min="11274" max="11520" width="8.7265625" style="52"/>
    <col min="11521" max="11521" width="2.81640625" style="52" customWidth="1"/>
    <col min="11522" max="11529" width="15" style="52" customWidth="1"/>
    <col min="11530" max="11776" width="8.7265625" style="52"/>
    <col min="11777" max="11777" width="2.81640625" style="52" customWidth="1"/>
    <col min="11778" max="11785" width="15" style="52" customWidth="1"/>
    <col min="11786" max="12032" width="8.7265625" style="52"/>
    <col min="12033" max="12033" width="2.81640625" style="52" customWidth="1"/>
    <col min="12034" max="12041" width="15" style="52" customWidth="1"/>
    <col min="12042" max="12288" width="8.7265625" style="52"/>
    <col min="12289" max="12289" width="2.81640625" style="52" customWidth="1"/>
    <col min="12290" max="12297" width="15" style="52" customWidth="1"/>
    <col min="12298" max="12544" width="8.7265625" style="52"/>
    <col min="12545" max="12545" width="2.81640625" style="52" customWidth="1"/>
    <col min="12546" max="12553" width="15" style="52" customWidth="1"/>
    <col min="12554" max="12800" width="8.7265625" style="52"/>
    <col min="12801" max="12801" width="2.81640625" style="52" customWidth="1"/>
    <col min="12802" max="12809" width="15" style="52" customWidth="1"/>
    <col min="12810" max="13056" width="8.7265625" style="52"/>
    <col min="13057" max="13057" width="2.81640625" style="52" customWidth="1"/>
    <col min="13058" max="13065" width="15" style="52" customWidth="1"/>
    <col min="13066" max="13312" width="8.7265625" style="52"/>
    <col min="13313" max="13313" width="2.81640625" style="52" customWidth="1"/>
    <col min="13314" max="13321" width="15" style="52" customWidth="1"/>
    <col min="13322" max="13568" width="8.7265625" style="52"/>
    <col min="13569" max="13569" width="2.81640625" style="52" customWidth="1"/>
    <col min="13570" max="13577" width="15" style="52" customWidth="1"/>
    <col min="13578" max="13824" width="8.7265625" style="52"/>
    <col min="13825" max="13825" width="2.81640625" style="52" customWidth="1"/>
    <col min="13826" max="13833" width="15" style="52" customWidth="1"/>
    <col min="13834" max="14080" width="8.7265625" style="52"/>
    <col min="14081" max="14081" width="2.81640625" style="52" customWidth="1"/>
    <col min="14082" max="14089" width="15" style="52" customWidth="1"/>
    <col min="14090" max="14336" width="8.7265625" style="52"/>
    <col min="14337" max="14337" width="2.81640625" style="52" customWidth="1"/>
    <col min="14338" max="14345" width="15" style="52" customWidth="1"/>
    <col min="14346" max="14592" width="8.7265625" style="52"/>
    <col min="14593" max="14593" width="2.81640625" style="52" customWidth="1"/>
    <col min="14594" max="14601" width="15" style="52" customWidth="1"/>
    <col min="14602" max="14848" width="8.7265625" style="52"/>
    <col min="14849" max="14849" width="2.81640625" style="52" customWidth="1"/>
    <col min="14850" max="14857" width="15" style="52" customWidth="1"/>
    <col min="14858" max="15104" width="8.7265625" style="52"/>
    <col min="15105" max="15105" width="2.81640625" style="52" customWidth="1"/>
    <col min="15106" max="15113" width="15" style="52" customWidth="1"/>
    <col min="15114" max="15360" width="8.7265625" style="52"/>
    <col min="15361" max="15361" width="2.81640625" style="52" customWidth="1"/>
    <col min="15362" max="15369" width="15" style="52" customWidth="1"/>
    <col min="15370" max="15616" width="8.7265625" style="52"/>
    <col min="15617" max="15617" width="2.81640625" style="52" customWidth="1"/>
    <col min="15618" max="15625" width="15" style="52" customWidth="1"/>
    <col min="15626" max="15872" width="8.7265625" style="52"/>
    <col min="15873" max="15873" width="2.81640625" style="52" customWidth="1"/>
    <col min="15874" max="15881" width="15" style="52" customWidth="1"/>
    <col min="15882" max="16128" width="8.7265625" style="52"/>
    <col min="16129" max="16129" width="2.81640625" style="52" customWidth="1"/>
    <col min="16130" max="16137" width="15" style="52" customWidth="1"/>
    <col min="16138" max="16384" width="8.7265625" style="52"/>
  </cols>
  <sheetData>
    <row r="2" spans="2:8" x14ac:dyDescent="0.3">
      <c r="B2" s="499" t="s">
        <v>423</v>
      </c>
      <c r="C2" s="499"/>
      <c r="D2" s="499"/>
      <c r="E2" s="499"/>
      <c r="F2" s="499"/>
      <c r="G2" s="499"/>
    </row>
    <row r="4" spans="2:8" ht="26" x14ac:dyDescent="0.3">
      <c r="B4" s="330" t="s">
        <v>343</v>
      </c>
      <c r="C4" s="330" t="s">
        <v>344</v>
      </c>
      <c r="D4" s="330" t="s">
        <v>345</v>
      </c>
      <c r="E4" s="330" t="s">
        <v>346</v>
      </c>
      <c r="F4" s="330" t="s">
        <v>347</v>
      </c>
      <c r="G4" s="330" t="s">
        <v>348</v>
      </c>
    </row>
    <row r="5" spans="2:8" x14ac:dyDescent="0.3">
      <c r="B5" s="334" t="s">
        <v>358</v>
      </c>
      <c r="C5" s="198"/>
      <c r="D5" s="198">
        <f>AVERAGE(C32:C291)</f>
        <v>3.1901923074172064E-3</v>
      </c>
      <c r="E5" s="199"/>
      <c r="F5" s="200"/>
      <c r="G5" s="198">
        <v>8.9999999999999993E-3</v>
      </c>
    </row>
    <row r="6" spans="2:8" x14ac:dyDescent="0.3">
      <c r="B6" s="334" t="s">
        <v>359</v>
      </c>
      <c r="C6" s="198">
        <f>STDEVP(D31:D291)*SQRT(52)</f>
        <v>0.23637275527583734</v>
      </c>
      <c r="D6" s="198">
        <f>AVERAGE(D31:D291)*52+D5</f>
        <v>4.8295843362845585E-2</v>
      </c>
      <c r="E6" s="204">
        <f>SLOPE(D31:D291,D31:D291)</f>
        <v>1</v>
      </c>
      <c r="F6" s="198">
        <f>(D6-D5)-E6*(D6-D5)</f>
        <v>0</v>
      </c>
      <c r="G6" s="198">
        <v>4.7E-2</v>
      </c>
    </row>
    <row r="7" spans="2:8" x14ac:dyDescent="0.3">
      <c r="B7" s="334" t="s">
        <v>360</v>
      </c>
      <c r="C7" s="198">
        <f>STDEVP(E31:E291)*SQRT(52)</f>
        <v>0.77423902089420937</v>
      </c>
      <c r="D7" s="198">
        <f>AVERAGE(E31:E291)*52+D5</f>
        <v>0.12519556252502811</v>
      </c>
      <c r="E7" s="204">
        <f>SLOPE(E31:E291,D31:D291)</f>
        <v>2.6253138164302143</v>
      </c>
      <c r="F7" s="198">
        <f>(D7-D5)-E7*(D6-D5)</f>
        <v>3.5888813027147026E-3</v>
      </c>
      <c r="G7" s="198">
        <f>G5+E7*(G6-G5)</f>
        <v>0.10876192502434813</v>
      </c>
    </row>
    <row r="8" spans="2:8" x14ac:dyDescent="0.3">
      <c r="B8" s="334" t="s">
        <v>361</v>
      </c>
      <c r="C8" s="198">
        <f>STDEVP(F31:F291)*SQRT(52)</f>
        <v>0.43514168256266672</v>
      </c>
      <c r="D8" s="198">
        <f>AVERAGE(F31:F291)*52+D5</f>
        <v>1.8072983127469949E-2</v>
      </c>
      <c r="E8" s="204">
        <f>SLOPE(F31:F291,D31:D291)</f>
        <v>1.2109784992700994</v>
      </c>
      <c r="F8" s="200">
        <f>(D8-D5)-E8*(D6-D5)</f>
        <v>-3.9739182803650692E-2</v>
      </c>
      <c r="G8" s="198">
        <f>G5+E8*(G6-G5)</f>
        <v>5.5017182972263774E-2</v>
      </c>
    </row>
    <row r="9" spans="2:8" x14ac:dyDescent="0.3">
      <c r="B9" s="334" t="s">
        <v>362</v>
      </c>
      <c r="C9" s="198">
        <f>STDEVP(G31:G291)*SQRT(52)</f>
        <v>0.51854604423625872</v>
      </c>
      <c r="D9" s="198">
        <f>AVERAGE(G31:G291)*52+D5</f>
        <v>8.4375760390145133E-2</v>
      </c>
      <c r="E9" s="204">
        <f>SLOPE(G31:G291,D31:D291)</f>
        <v>1.4899409368486884</v>
      </c>
      <c r="F9" s="198">
        <f>(D9-D5)-E9*(D6-D5)</f>
        <v>1.3980812092032932E-2</v>
      </c>
      <c r="G9" s="198">
        <f>G5+E9*(G6-G5)</f>
        <v>6.5617755600250155E-2</v>
      </c>
    </row>
    <row r="10" spans="2:8" x14ac:dyDescent="0.3">
      <c r="B10" s="334" t="s">
        <v>363</v>
      </c>
      <c r="C10" s="198">
        <f>STDEVP(H31:H291)*SQRT(52)</f>
        <v>0.50251993770164849</v>
      </c>
      <c r="D10" s="200">
        <f>AVERAGE(H31:H291)*52+D5</f>
        <v>-2.1893320663001199E-3</v>
      </c>
      <c r="E10" s="204">
        <f>SLOPE(H31:H291,D31:D291)</f>
        <v>1.1839218952282933</v>
      </c>
      <c r="F10" s="200">
        <f>(D10-D5)-E10*(D6-D5)</f>
        <v>-5.8781092256766157E-2</v>
      </c>
      <c r="G10" s="198">
        <f>G5+E10*(G6-G5)</f>
        <v>5.3989032018675144E-2</v>
      </c>
    </row>
    <row r="11" spans="2:8" x14ac:dyDescent="0.3">
      <c r="B11" s="334" t="s">
        <v>364</v>
      </c>
      <c r="C11" s="198">
        <f>STDEVP(I31:I291)*SQRT(52)</f>
        <v>0.46743837218788481</v>
      </c>
      <c r="D11" s="198">
        <f>AVERAGE(I31:I291)*52+D5</f>
        <v>1.5914764565315733E-2</v>
      </c>
      <c r="E11" s="204">
        <f>SLOPE(I31:I291,D31:D291)</f>
        <v>0.73650025174735989</v>
      </c>
      <c r="F11" s="200">
        <f>(D11-D5)-E11*(D6-D5)</f>
        <v>-2.0495751099653049E-2</v>
      </c>
      <c r="G11" s="198">
        <f>G5+E11*(G6-G5)</f>
        <v>3.6987009566399671E-2</v>
      </c>
    </row>
    <row r="13" spans="2:8" x14ac:dyDescent="0.3">
      <c r="C13" s="497" t="s">
        <v>424</v>
      </c>
      <c r="D13" s="498"/>
      <c r="E13" s="498"/>
      <c r="F13" s="498"/>
      <c r="G13" s="498"/>
      <c r="H13" s="498"/>
    </row>
    <row r="14" spans="2:8" x14ac:dyDescent="0.3">
      <c r="C14" s="334" t="s">
        <v>359</v>
      </c>
      <c r="D14" s="334" t="s">
        <v>360</v>
      </c>
      <c r="E14" s="334" t="s">
        <v>361</v>
      </c>
      <c r="F14" s="334" t="s">
        <v>362</v>
      </c>
      <c r="G14" s="334" t="s">
        <v>363</v>
      </c>
      <c r="H14" s="334" t="s">
        <v>364</v>
      </c>
    </row>
    <row r="15" spans="2:8" x14ac:dyDescent="0.3">
      <c r="B15" s="334" t="s">
        <v>359</v>
      </c>
      <c r="C15" s="199">
        <f>CORREL(D31:D291,D31:D291)</f>
        <v>1.0000000000000002</v>
      </c>
      <c r="D15" s="199">
        <f>CORREL(E31:E291,D31:D291)</f>
        <v>0.80150010979377506</v>
      </c>
      <c r="E15" s="199">
        <f>CORREL(F31:F291,D31:D291)</f>
        <v>0.65781407739776543</v>
      </c>
      <c r="F15" s="199">
        <f>CORREL(G31:G291,D31:D291)</f>
        <v>0.67917101741639518</v>
      </c>
      <c r="G15" s="199">
        <f>CORREL(H31:H291,D31:D291)</f>
        <v>0.55688711911894495</v>
      </c>
      <c r="H15" s="199">
        <f>CORREL(I31:I291,D31:D291)</f>
        <v>0.37243111418524488</v>
      </c>
    </row>
    <row r="16" spans="2:8" x14ac:dyDescent="0.3">
      <c r="B16" s="334" t="s">
        <v>360</v>
      </c>
      <c r="C16" s="199">
        <f>D15</f>
        <v>0.80150010979377506</v>
      </c>
      <c r="D16" s="199">
        <f>CORREL(E31:E291,E31:E291)</f>
        <v>1.0000000000000002</v>
      </c>
      <c r="E16" s="199">
        <f>CORREL(F31:F291,E31:E291)</f>
        <v>0.62759366817930085</v>
      </c>
      <c r="F16" s="199">
        <f>CORREL(G31:G291,E31:E291)</f>
        <v>0.7027969494453592</v>
      </c>
      <c r="G16" s="199">
        <f>CORREL(H31:H291,E31:E291)</f>
        <v>0.52109727758290747</v>
      </c>
      <c r="H16" s="199">
        <f>CORREL(I31:I291,E31:E291)</f>
        <v>0.36268785026904621</v>
      </c>
    </row>
    <row r="17" spans="2:10" x14ac:dyDescent="0.3">
      <c r="B17" s="334" t="s">
        <v>361</v>
      </c>
      <c r="C17" s="199">
        <f>E15</f>
        <v>0.65781407739776543</v>
      </c>
      <c r="D17" s="199">
        <f>E16</f>
        <v>0.62759366817930085</v>
      </c>
      <c r="E17" s="199">
        <f>CORREL(F31:F291,F31:F291)</f>
        <v>1.0000000000000002</v>
      </c>
      <c r="F17" s="199">
        <f>CORREL(G31:G291,F31:F291)</f>
        <v>0.57352252914504653</v>
      </c>
      <c r="G17" s="199">
        <f>CORREL(H31:H291,F31:F291)</f>
        <v>0.58837054957287027</v>
      </c>
      <c r="H17" s="199">
        <f>CORREL(I31:I291,F31:F291)</f>
        <v>0.5382376117715908</v>
      </c>
    </row>
    <row r="18" spans="2:10" x14ac:dyDescent="0.3">
      <c r="B18" s="334" t="s">
        <v>362</v>
      </c>
      <c r="C18" s="199">
        <f>F15</f>
        <v>0.67917101741639518</v>
      </c>
      <c r="D18" s="199">
        <f>F16</f>
        <v>0.7027969494453592</v>
      </c>
      <c r="E18" s="199">
        <f>F17</f>
        <v>0.57352252914504653</v>
      </c>
      <c r="F18" s="199">
        <f>CORREL(G31:G291,G31:G291)</f>
        <v>1.0000000000000002</v>
      </c>
      <c r="G18" s="199">
        <f>CORREL(H31:H291,G31:G291)</f>
        <v>0.45195241028850197</v>
      </c>
      <c r="H18" s="199">
        <f>CORREL(I31:I291,G31:G291)</f>
        <v>0.27572337845254402</v>
      </c>
    </row>
    <row r="19" spans="2:10" x14ac:dyDescent="0.3">
      <c r="B19" s="334" t="s">
        <v>363</v>
      </c>
      <c r="C19" s="199">
        <f>G15</f>
        <v>0.55688711911894495</v>
      </c>
      <c r="D19" s="199">
        <f>G16</f>
        <v>0.52109727758290747</v>
      </c>
      <c r="E19" s="199">
        <f>G17</f>
        <v>0.58837054957287027</v>
      </c>
      <c r="F19" s="199">
        <f>G18</f>
        <v>0.45195241028850197</v>
      </c>
      <c r="G19" s="199">
        <f>CORREL(H31:H291,H31:H291)</f>
        <v>0.99999999999999978</v>
      </c>
      <c r="H19" s="199">
        <f>CORREL(I31:I291,H31:H291)</f>
        <v>0.44392925497144442</v>
      </c>
    </row>
    <row r="20" spans="2:10" x14ac:dyDescent="0.3">
      <c r="B20" s="334" t="s">
        <v>364</v>
      </c>
      <c r="C20" s="199">
        <f>H15</f>
        <v>0.37243111418524488</v>
      </c>
      <c r="D20" s="199">
        <f>H16</f>
        <v>0.36268785026904621</v>
      </c>
      <c r="E20" s="199">
        <f>H17</f>
        <v>0.5382376117715908</v>
      </c>
      <c r="F20" s="199">
        <f>H18</f>
        <v>0.27572337845254402</v>
      </c>
      <c r="G20" s="199">
        <f>H19</f>
        <v>0.44392925497144442</v>
      </c>
      <c r="H20" s="199">
        <f>CORREL(I31:I291,I31:I291)</f>
        <v>1</v>
      </c>
    </row>
    <row r="22" spans="2:10" x14ac:dyDescent="0.3">
      <c r="B22" s="497" t="s">
        <v>425</v>
      </c>
      <c r="C22" s="497" t="s">
        <v>426</v>
      </c>
      <c r="D22" s="497" t="s">
        <v>345</v>
      </c>
      <c r="E22" s="497" t="s">
        <v>427</v>
      </c>
      <c r="F22" s="498"/>
      <c r="G22" s="498"/>
      <c r="H22" s="498"/>
      <c r="I22" s="498"/>
      <c r="J22" s="498"/>
    </row>
    <row r="23" spans="2:10" x14ac:dyDescent="0.3">
      <c r="B23" s="498"/>
      <c r="C23" s="498"/>
      <c r="D23" s="498"/>
      <c r="E23" s="334" t="s">
        <v>359</v>
      </c>
      <c r="F23" s="334" t="s">
        <v>360</v>
      </c>
      <c r="G23" s="334" t="s">
        <v>361</v>
      </c>
      <c r="H23" s="334" t="s">
        <v>362</v>
      </c>
      <c r="I23" s="334" t="s">
        <v>363</v>
      </c>
      <c r="J23" s="334" t="s">
        <v>364</v>
      </c>
    </row>
    <row r="24" spans="2:10" ht="26" x14ac:dyDescent="0.3">
      <c r="B24" s="334" t="s">
        <v>428</v>
      </c>
      <c r="C24" s="198">
        <v>0.3524809169612691</v>
      </c>
      <c r="D24" s="198">
        <v>4.097255501096822E-2</v>
      </c>
      <c r="E24" s="197"/>
      <c r="F24" s="335">
        <v>-0.21878</v>
      </c>
      <c r="G24" s="336">
        <v>0.32607999999999998</v>
      </c>
      <c r="H24" s="336">
        <v>0.36764999999999998</v>
      </c>
      <c r="I24" s="336">
        <v>0.19289999999999999</v>
      </c>
      <c r="J24" s="336">
        <v>0.33215</v>
      </c>
    </row>
    <row r="25" spans="2:10" ht="26" x14ac:dyDescent="0.3">
      <c r="B25" s="334" t="s">
        <v>429</v>
      </c>
      <c r="C25" s="198">
        <v>0.52397763378066309</v>
      </c>
      <c r="D25" s="198">
        <v>7.9653165213637939E-2</v>
      </c>
      <c r="E25" s="197"/>
      <c r="F25" s="336">
        <v>0.41977999999999999</v>
      </c>
      <c r="G25" s="336">
        <v>0.24973000000000001</v>
      </c>
      <c r="H25" s="336">
        <v>0.19867000000000001</v>
      </c>
      <c r="I25" s="336">
        <v>0.13791999999999999</v>
      </c>
      <c r="J25" s="335">
        <v>-6.11E-3</v>
      </c>
    </row>
    <row r="27" spans="2:10" x14ac:dyDescent="0.3">
      <c r="B27" s="334" t="s">
        <v>430</v>
      </c>
      <c r="C27" s="198">
        <v>0.1242427968218571</v>
      </c>
    </row>
    <row r="29" spans="2:10" x14ac:dyDescent="0.3">
      <c r="C29" s="330" t="s">
        <v>431</v>
      </c>
      <c r="D29" s="497" t="s">
        <v>432</v>
      </c>
      <c r="E29" s="498"/>
      <c r="F29" s="498"/>
      <c r="G29" s="498"/>
      <c r="H29" s="498"/>
      <c r="I29" s="498"/>
    </row>
    <row r="30" spans="2:10" x14ac:dyDescent="0.3">
      <c r="B30" s="330" t="s">
        <v>433</v>
      </c>
      <c r="C30" s="334" t="s">
        <v>358</v>
      </c>
      <c r="D30" s="334" t="s">
        <v>359</v>
      </c>
      <c r="E30" s="334" t="s">
        <v>360</v>
      </c>
      <c r="F30" s="334" t="s">
        <v>361</v>
      </c>
      <c r="G30" s="334" t="s">
        <v>362</v>
      </c>
      <c r="H30" s="334" t="s">
        <v>363</v>
      </c>
      <c r="I30" s="334" t="s">
        <v>364</v>
      </c>
    </row>
    <row r="31" spans="2:10" x14ac:dyDescent="0.3">
      <c r="B31" s="331">
        <v>39451.8125</v>
      </c>
      <c r="C31" s="198">
        <v>3.0099999904632569E-2</v>
      </c>
      <c r="D31" s="200"/>
      <c r="E31" s="200"/>
      <c r="F31" s="200"/>
      <c r="G31" s="200"/>
      <c r="H31" s="200"/>
      <c r="I31" s="200"/>
    </row>
    <row r="32" spans="2:10" x14ac:dyDescent="0.3">
      <c r="B32" s="331">
        <v>39458.8125</v>
      </c>
      <c r="C32" s="198">
        <v>2.7899999618530274E-2</v>
      </c>
      <c r="D32" s="200">
        <f>'Weekly Quotes (Yahoo Finance)'!G5-'Analysis (Yahoo Finance)'!C32/52</f>
        <v>-8.7454669245915148E-3</v>
      </c>
      <c r="E32" s="200">
        <f>'Weekly Quotes (Yahoo Finance)'!L5-'Analysis (Yahoo Finance)'!C32/52</f>
        <v>1.1468188952089044E-2</v>
      </c>
      <c r="F32" s="200">
        <f>'Weekly Quotes (Yahoo Finance)'!Q5-'Analysis (Yahoo Finance)'!C32/52</f>
        <v>-4.5402808994172116E-2</v>
      </c>
      <c r="G32" s="200">
        <f>'Weekly Quotes (Yahoo Finance)'!V5-'Analysis (Yahoo Finance)'!C32/52</f>
        <v>-3.4053012348211863E-2</v>
      </c>
      <c r="H32" s="200">
        <f>'Weekly Quotes (Yahoo Finance)'!AA5-'Analysis (Yahoo Finance)'!C32/52</f>
        <v>-4.9940274603303601E-2</v>
      </c>
      <c r="I32" s="200">
        <f>'Weekly Quotes (Yahoo Finance)'!AF5-'Analysis (Yahoo Finance)'!C32/52</f>
        <v>-9.7383385301049369E-2</v>
      </c>
    </row>
    <row r="33" spans="2:9" x14ac:dyDescent="0.3">
      <c r="B33" s="331">
        <v>39465.8125</v>
      </c>
      <c r="C33" s="198">
        <v>2.2200000286102296E-2</v>
      </c>
      <c r="D33" s="200">
        <f>'Weekly Quotes (Yahoo Finance)'!G6-'Analysis (Yahoo Finance)'!C33/52</f>
        <v>-5.8150766751415679E-2</v>
      </c>
      <c r="E33" s="200">
        <f>'Weekly Quotes (Yahoo Finance)'!L6-'Analysis (Yahoo Finance)'!C33/52</f>
        <v>-9.1767329704738512E-2</v>
      </c>
      <c r="F33" s="200">
        <f>'Weekly Quotes (Yahoo Finance)'!Q6-'Analysis (Yahoo Finance)'!C33/52</f>
        <v>-4.107733142406262E-2</v>
      </c>
      <c r="G33" s="200">
        <f>'Weekly Quotes (Yahoo Finance)'!V6-'Analysis (Yahoo Finance)'!C33/52</f>
        <v>-3.7874100667678774E-2</v>
      </c>
      <c r="H33" s="200">
        <f>'Weekly Quotes (Yahoo Finance)'!AA6-'Analysis (Yahoo Finance)'!C33/52</f>
        <v>3.8999602403020299E-2</v>
      </c>
      <c r="I33" s="200">
        <f>'Weekly Quotes (Yahoo Finance)'!AF6-'Analysis (Yahoo Finance)'!C33/52</f>
        <v>2.0668425036098241E-3</v>
      </c>
    </row>
    <row r="34" spans="2:9" x14ac:dyDescent="0.3">
      <c r="B34" s="331">
        <v>39472.8125</v>
      </c>
      <c r="C34" s="198">
        <v>2.0499999523162841E-2</v>
      </c>
      <c r="D34" s="200">
        <f>'Weekly Quotes (Yahoo Finance)'!G7-'Analysis (Yahoo Finance)'!C34/52</f>
        <v>7.0266063265389724E-3</v>
      </c>
      <c r="E34" s="200">
        <f>'Weekly Quotes (Yahoo Finance)'!L7-'Analysis (Yahoo Finance)'!C34/52</f>
        <v>6.0093154276083659E-2</v>
      </c>
      <c r="F34" s="200">
        <f>'Weekly Quotes (Yahoo Finance)'!Q7-'Analysis (Yahoo Finance)'!C34/52</f>
        <v>1.2788454531776258E-2</v>
      </c>
      <c r="G34" s="200">
        <f>'Weekly Quotes (Yahoo Finance)'!V7-'Analysis (Yahoo Finance)'!C34/52</f>
        <v>6.5909206186444372E-2</v>
      </c>
      <c r="H34" s="200">
        <f>'Weekly Quotes (Yahoo Finance)'!AA7-'Analysis (Yahoo Finance)'!C34/52</f>
        <v>5.6096594217960115E-2</v>
      </c>
      <c r="I34" s="200">
        <f>'Weekly Quotes (Yahoo Finance)'!AF7-'Analysis (Yahoo Finance)'!C34/52</f>
        <v>-6.7060867060978233E-2</v>
      </c>
    </row>
    <row r="35" spans="2:9" x14ac:dyDescent="0.3">
      <c r="B35" s="331">
        <v>39479.8125</v>
      </c>
      <c r="C35" s="198">
        <v>2.1600000858306885E-2</v>
      </c>
      <c r="D35" s="200">
        <f>'Weekly Quotes (Yahoo Finance)'!G8-'Analysis (Yahoo Finance)'!C35/52</f>
        <v>4.8742830002531976E-2</v>
      </c>
      <c r="E35" s="200">
        <f>'Weekly Quotes (Yahoo Finance)'!L8-'Analysis (Yahoo Finance)'!C35/52</f>
        <v>0.13910044297957799</v>
      </c>
      <c r="F35" s="200">
        <f>'Weekly Quotes (Yahoo Finance)'!Q8-'Analysis (Yahoo Finance)'!C35/52</f>
        <v>6.0901969790111282E-3</v>
      </c>
      <c r="G35" s="200">
        <f>'Weekly Quotes (Yahoo Finance)'!V8-'Analysis (Yahoo Finance)'!C35/52</f>
        <v>9.9385843869550836E-2</v>
      </c>
      <c r="H35" s="200">
        <f>'Weekly Quotes (Yahoo Finance)'!AA8-'Analysis (Yahoo Finance)'!C35/52</f>
        <v>-3.679208314894003E-3</v>
      </c>
      <c r="I35" s="200">
        <f>'Weekly Quotes (Yahoo Finance)'!AF8-'Analysis (Yahoo Finance)'!C35/52</f>
        <v>1.7708249621129254E-2</v>
      </c>
    </row>
    <row r="36" spans="2:9" x14ac:dyDescent="0.3">
      <c r="B36" s="331">
        <v>39486.8125</v>
      </c>
      <c r="C36" s="198">
        <v>2.1300001144409178E-2</v>
      </c>
      <c r="D36" s="200">
        <f>'Weekly Quotes (Yahoo Finance)'!G9-'Analysis (Yahoo Finance)'!C36/52</f>
        <v>-4.704949519911332E-2</v>
      </c>
      <c r="E36" s="200">
        <f>'Weekly Quotes (Yahoo Finance)'!L9-'Analysis (Yahoo Finance)'!C36/52</f>
        <v>-6.1626857948136313E-2</v>
      </c>
      <c r="F36" s="200">
        <f>'Weekly Quotes (Yahoo Finance)'!Q9-'Analysis (Yahoo Finance)'!C36/52</f>
        <v>-5.8581331546872104E-2</v>
      </c>
      <c r="G36" s="200">
        <f>'Weekly Quotes (Yahoo Finance)'!V9-'Analysis (Yahoo Finance)'!C36/52</f>
        <v>-9.4768689156582361E-2</v>
      </c>
      <c r="H36" s="200">
        <f>'Weekly Quotes (Yahoo Finance)'!AA9-'Analysis (Yahoo Finance)'!C36/52</f>
        <v>-5.270666503227743E-2</v>
      </c>
      <c r="I36" s="200">
        <f>'Weekly Quotes (Yahoo Finance)'!AF9-'Analysis (Yahoo Finance)'!C36/52</f>
        <v>-5.6452175008640413E-3</v>
      </c>
    </row>
    <row r="37" spans="2:9" x14ac:dyDescent="0.3">
      <c r="B37" s="331">
        <v>39493.8125</v>
      </c>
      <c r="C37" s="198">
        <v>2.1400001049041748E-2</v>
      </c>
      <c r="D37" s="200">
        <f>'Weekly Quotes (Yahoo Finance)'!G10-'Analysis (Yahoo Finance)'!C37/52</f>
        <v>1.5144123587098086E-2</v>
      </c>
      <c r="E37" s="200">
        <f>'Weekly Quotes (Yahoo Finance)'!L10-'Analysis (Yahoo Finance)'!C37/52</f>
        <v>-2.3293759005111481E-3</v>
      </c>
      <c r="F37" s="200">
        <f>'Weekly Quotes (Yahoo Finance)'!Q10-'Analysis (Yahoo Finance)'!C37/52</f>
        <v>1.6255106380533776E-2</v>
      </c>
      <c r="G37" s="200">
        <f>'Weekly Quotes (Yahoo Finance)'!V10-'Analysis (Yahoo Finance)'!C37/52</f>
        <v>-5.0582634387198303E-2</v>
      </c>
      <c r="H37" s="200">
        <f>'Weekly Quotes (Yahoo Finance)'!AA10-'Analysis (Yahoo Finance)'!C37/52</f>
        <v>2.0320131722269361E-2</v>
      </c>
      <c r="I37" s="200">
        <f>'Weekly Quotes (Yahoo Finance)'!AF10-'Analysis (Yahoo Finance)'!C37/52</f>
        <v>-5.6746963764491998E-3</v>
      </c>
    </row>
    <row r="38" spans="2:9" x14ac:dyDescent="0.3">
      <c r="B38" s="331">
        <v>39500.8125</v>
      </c>
      <c r="C38" s="198">
        <v>1.7849999666213989E-2</v>
      </c>
      <c r="D38" s="200">
        <f>'Weekly Quotes (Yahoo Finance)'!G11-'Analysis (Yahoo Finance)'!C38/52</f>
        <v>3.2085713092218902E-3</v>
      </c>
      <c r="E38" s="200">
        <f>'Weekly Quotes (Yahoo Finance)'!L11-'Analysis (Yahoo Finance)'!C38/52</f>
        <v>5.9610550568663573E-2</v>
      </c>
      <c r="F38" s="200">
        <f>'Weekly Quotes (Yahoo Finance)'!Q11-'Analysis (Yahoo Finance)'!C38/52</f>
        <v>1.3157223948757039E-2</v>
      </c>
      <c r="G38" s="200">
        <f>'Weekly Quotes (Yahoo Finance)'!V11-'Analysis (Yahoo Finance)'!C38/52</f>
        <v>3.1319437346889328E-2</v>
      </c>
      <c r="H38" s="200">
        <f>'Weekly Quotes (Yahoo Finance)'!AA11-'Analysis (Yahoo Finance)'!C38/52</f>
        <v>4.0775797304356404E-2</v>
      </c>
      <c r="I38" s="200">
        <f>'Weekly Quotes (Yahoo Finance)'!AF11-'Analysis (Yahoo Finance)'!C38/52</f>
        <v>-3.4326922435026899E-4</v>
      </c>
    </row>
    <row r="39" spans="2:9" x14ac:dyDescent="0.3">
      <c r="B39" s="331">
        <v>39507.8125</v>
      </c>
      <c r="C39" s="198">
        <v>1.399999976158142E-2</v>
      </c>
      <c r="D39" s="200">
        <f>'Weekly Quotes (Yahoo Finance)'!G12-'Analysis (Yahoo Finance)'!C39/52</f>
        <v>-1.3541519938623289E-2</v>
      </c>
      <c r="E39" s="200">
        <f>'Weekly Quotes (Yahoo Finance)'!L12-'Analysis (Yahoo Finance)'!C39/52</f>
        <v>-1.3569324460784809E-3</v>
      </c>
      <c r="F39" s="200">
        <f>'Weekly Quotes (Yahoo Finance)'!Q12-'Analysis (Yahoo Finance)'!C39/52</f>
        <v>1.780874803650934E-2</v>
      </c>
      <c r="G39" s="200">
        <f>'Weekly Quotes (Yahoo Finance)'!V12-'Analysis (Yahoo Finance)'!C39/52</f>
        <v>2.6686472140526111E-2</v>
      </c>
      <c r="H39" s="200">
        <f>'Weekly Quotes (Yahoo Finance)'!AA12-'Analysis (Yahoo Finance)'!C39/52</f>
        <v>9.1025361901374592E-3</v>
      </c>
      <c r="I39" s="200">
        <f>'Weekly Quotes (Yahoo Finance)'!AF12-'Analysis (Yahoo Finance)'!C39/52</f>
        <v>0.10025986976445489</v>
      </c>
    </row>
    <row r="40" spans="2:9" x14ac:dyDescent="0.3">
      <c r="B40" s="331">
        <v>39514.8125</v>
      </c>
      <c r="C40" s="198">
        <v>1.1200000047683716E-2</v>
      </c>
      <c r="D40" s="200">
        <f>'Weekly Quotes (Yahoo Finance)'!G13-'Analysis (Yahoo Finance)'!C40/52</f>
        <v>-3.0928285418898863E-2</v>
      </c>
      <c r="E40" s="200">
        <f>'Weekly Quotes (Yahoo Finance)'!L13-'Analysis (Yahoo Finance)'!C40/52</f>
        <v>-8.7329731774351937E-2</v>
      </c>
      <c r="F40" s="200">
        <f>'Weekly Quotes (Yahoo Finance)'!Q13-'Analysis (Yahoo Finance)'!C40/52</f>
        <v>-1.4233998987838562E-2</v>
      </c>
      <c r="G40" s="200">
        <f>'Weekly Quotes (Yahoo Finance)'!V13-'Analysis (Yahoo Finance)'!C40/52</f>
        <v>-6.6263849012876797E-2</v>
      </c>
      <c r="H40" s="200">
        <f>'Weekly Quotes (Yahoo Finance)'!AA13-'Analysis (Yahoo Finance)'!C40/52</f>
        <v>1.3143222605001833E-2</v>
      </c>
      <c r="I40" s="200">
        <f>'Weekly Quotes (Yahoo Finance)'!AF13-'Analysis (Yahoo Finance)'!C40/52</f>
        <v>-1.2234615385532336E-2</v>
      </c>
    </row>
    <row r="41" spans="2:9" x14ac:dyDescent="0.3">
      <c r="B41" s="331">
        <v>39521.770833333336</v>
      </c>
      <c r="C41" s="198">
        <v>5.0000000000000001E-3</v>
      </c>
      <c r="D41" s="200">
        <f>'Weekly Quotes (Yahoo Finance)'!G14-'Analysis (Yahoo Finance)'!C41/52</f>
        <v>-8.6715144340348031E-4</v>
      </c>
      <c r="E41" s="200">
        <f>'Weekly Quotes (Yahoo Finance)'!L14-'Analysis (Yahoo Finance)'!C41/52</f>
        <v>3.6882009270452112E-2</v>
      </c>
      <c r="F41" s="200">
        <f>'Weekly Quotes (Yahoo Finance)'!Q14-'Analysis (Yahoo Finance)'!C41/52</f>
        <v>-3.0427964574263711E-2</v>
      </c>
      <c r="G41" s="200">
        <f>'Weekly Quotes (Yahoo Finance)'!V14-'Analysis (Yahoo Finance)'!C41/52</f>
        <v>-2.8455093039150728E-3</v>
      </c>
      <c r="H41" s="200">
        <f>'Weekly Quotes (Yahoo Finance)'!AA14-'Analysis (Yahoo Finance)'!C41/52</f>
        <v>-5.7057264773234147E-3</v>
      </c>
      <c r="I41" s="200">
        <f>'Weekly Quotes (Yahoo Finance)'!AF14-'Analysis (Yahoo Finance)'!C41/52</f>
        <v>-1.7127784016470127E-2</v>
      </c>
    </row>
    <row r="42" spans="2:9" x14ac:dyDescent="0.3">
      <c r="B42" s="331">
        <v>39527.770833333336</v>
      </c>
      <c r="C42" s="198">
        <v>1.350000023841858E-2</v>
      </c>
      <c r="D42" s="200">
        <f>'Weekly Quotes (Yahoo Finance)'!G15-'Analysis (Yahoo Finance)'!C42/52</f>
        <v>2.3750886933523813E-2</v>
      </c>
      <c r="E42" s="200">
        <f>'Weekly Quotes (Yahoo Finance)'!L15-'Analysis (Yahoo Finance)'!C42/52</f>
        <v>-3.2851694986655161E-2</v>
      </c>
      <c r="F42" s="200">
        <f>'Weekly Quotes (Yahoo Finance)'!Q15-'Analysis (Yahoo Finance)'!C42/52</f>
        <v>-2.1764997869711838E-2</v>
      </c>
      <c r="G42" s="200">
        <f>'Weekly Quotes (Yahoo Finance)'!V15-'Analysis (Yahoo Finance)'!C42/52</f>
        <v>8.3174645731400043E-3</v>
      </c>
      <c r="H42" s="200">
        <f>'Weekly Quotes (Yahoo Finance)'!AA15-'Analysis (Yahoo Finance)'!C42/52</f>
        <v>3.0579055560470053E-2</v>
      </c>
      <c r="I42" s="200">
        <f>'Weekly Quotes (Yahoo Finance)'!AF15-'Analysis (Yahoo Finance)'!C42/52</f>
        <v>2.2156321355521202E-3</v>
      </c>
    </row>
    <row r="43" spans="2:9" x14ac:dyDescent="0.3">
      <c r="B43" s="331">
        <v>39535.770833333336</v>
      </c>
      <c r="C43" s="198">
        <v>1.3200000524520875E-2</v>
      </c>
      <c r="D43" s="200">
        <f>'Weekly Quotes (Yahoo Finance)'!G16-'Analysis (Yahoo Finance)'!C43/52</f>
        <v>-4.5694678804429926E-3</v>
      </c>
      <c r="E43" s="200">
        <f>'Weekly Quotes (Yahoo Finance)'!L16-'Analysis (Yahoo Finance)'!C43/52</f>
        <v>2.550920866180861E-2</v>
      </c>
      <c r="F43" s="200">
        <f>'Weekly Quotes (Yahoo Finance)'!Q16-'Analysis (Yahoo Finance)'!C43/52</f>
        <v>3.3712228004778466E-2</v>
      </c>
      <c r="G43" s="200">
        <f>'Weekly Quotes (Yahoo Finance)'!V16-'Analysis (Yahoo Finance)'!C43/52</f>
        <v>4.7575712802810895E-3</v>
      </c>
      <c r="H43" s="200">
        <f>'Weekly Quotes (Yahoo Finance)'!AA16-'Analysis (Yahoo Finance)'!C43/52</f>
        <v>2.5735621165688923E-3</v>
      </c>
      <c r="I43" s="200">
        <f>'Weekly Quotes (Yahoo Finance)'!AF16-'Analysis (Yahoo Finance)'!C43/52</f>
        <v>-2.5384616393309373E-4</v>
      </c>
    </row>
    <row r="44" spans="2:9" x14ac:dyDescent="0.3">
      <c r="B44" s="331">
        <v>39542.770833333336</v>
      </c>
      <c r="C44" s="198">
        <v>1.159999966621399E-2</v>
      </c>
      <c r="D44" s="200">
        <f>'Weekly Quotes (Yahoo Finance)'!G17-'Analysis (Yahoo Finance)'!C44/52</f>
        <v>4.068639846570804E-2</v>
      </c>
      <c r="E44" s="200">
        <f>'Weekly Quotes (Yahoo Finance)'!L17-'Analysis (Yahoo Finance)'!C44/52</f>
        <v>1.6778473175326047E-2</v>
      </c>
      <c r="F44" s="200">
        <f>'Weekly Quotes (Yahoo Finance)'!Q17-'Analysis (Yahoo Finance)'!C44/52</f>
        <v>4.2289011122235209E-2</v>
      </c>
      <c r="G44" s="200">
        <f>'Weekly Quotes (Yahoo Finance)'!V17-'Analysis (Yahoo Finance)'!C44/52</f>
        <v>6.716887025629853E-2</v>
      </c>
      <c r="H44" s="200">
        <f>'Weekly Quotes (Yahoo Finance)'!AA17-'Analysis (Yahoo Finance)'!C44/52</f>
        <v>-4.3158268551891097E-3</v>
      </c>
      <c r="I44" s="200">
        <f>'Weekly Quotes (Yahoo Finance)'!AF17-'Analysis (Yahoo Finance)'!C44/52</f>
        <v>3.5727534339129063E-2</v>
      </c>
    </row>
    <row r="45" spans="2:9" x14ac:dyDescent="0.3">
      <c r="B45" s="331">
        <v>39549.770833333336</v>
      </c>
      <c r="C45" s="198">
        <v>1.3200000524520875E-2</v>
      </c>
      <c r="D45" s="200">
        <f>'Weekly Quotes (Yahoo Finance)'!G18-'Analysis (Yahoo Finance)'!C45/52</f>
        <v>-2.5894831790976406E-2</v>
      </c>
      <c r="E45" s="200">
        <f>'Weekly Quotes (Yahoo Finance)'!L18-'Analysis (Yahoo Finance)'!C45/52</f>
        <v>-1.0892198818977185E-2</v>
      </c>
      <c r="F45" s="200">
        <f>'Weekly Quotes (Yahoo Finance)'!Q18-'Analysis (Yahoo Finance)'!C45/52</f>
        <v>-3.8252033428500476E-2</v>
      </c>
      <c r="G45" s="200">
        <f>'Weekly Quotes (Yahoo Finance)'!V18-'Analysis (Yahoo Finance)'!C45/52</f>
        <v>1.5864320713608858E-3</v>
      </c>
      <c r="H45" s="200">
        <f>'Weekly Quotes (Yahoo Finance)'!AA18-'Analysis (Yahoo Finance)'!C45/52</f>
        <v>-9.2036690455572518E-3</v>
      </c>
      <c r="I45" s="200">
        <f>'Weekly Quotes (Yahoo Finance)'!AF18-'Analysis (Yahoo Finance)'!C45/52</f>
        <v>-3.9720213180739509E-3</v>
      </c>
    </row>
    <row r="46" spans="2:9" x14ac:dyDescent="0.3">
      <c r="B46" s="331">
        <v>39556.770833333336</v>
      </c>
      <c r="C46" s="198">
        <v>1.2849999666213989E-2</v>
      </c>
      <c r="D46" s="200">
        <f>'Weekly Quotes (Yahoo Finance)'!G19-'Analysis (Yahoo Finance)'!C46/52</f>
        <v>3.7989431765488316E-2</v>
      </c>
      <c r="E46" s="200">
        <f>'Weekly Quotes (Yahoo Finance)'!L19-'Analysis (Yahoo Finance)'!C46/52</f>
        <v>2.6250591023704323E-2</v>
      </c>
      <c r="F46" s="200">
        <f>'Weekly Quotes (Yahoo Finance)'!Q19-'Analysis (Yahoo Finance)'!C46/52</f>
        <v>3.4434982731054845E-2</v>
      </c>
      <c r="G46" s="200">
        <f>'Weekly Quotes (Yahoo Finance)'!V19-'Analysis (Yahoo Finance)'!C46/52</f>
        <v>2.10896404202572E-2</v>
      </c>
      <c r="H46" s="200">
        <f>'Weekly Quotes (Yahoo Finance)'!AA19-'Analysis (Yahoo Finance)'!C46/52</f>
        <v>4.1760470674658979E-3</v>
      </c>
      <c r="I46" s="200">
        <f>'Weekly Quotes (Yahoo Finance)'!AF19-'Analysis (Yahoo Finance)'!C46/52</f>
        <v>6.9299181146265255E-3</v>
      </c>
    </row>
    <row r="47" spans="2:9" x14ac:dyDescent="0.3">
      <c r="B47" s="331">
        <v>39563.770833333336</v>
      </c>
      <c r="C47" s="198">
        <v>1.4650000333786011E-2</v>
      </c>
      <c r="D47" s="200">
        <f>'Weekly Quotes (Yahoo Finance)'!G20-'Analysis (Yahoo Finance)'!C47/52</f>
        <v>7.8061549156542998E-3</v>
      </c>
      <c r="E47" s="200">
        <f>'Weekly Quotes (Yahoo Finance)'!L20-'Analysis (Yahoo Finance)'!C47/52</f>
        <v>4.835271312271551E-2</v>
      </c>
      <c r="F47" s="200">
        <f>'Weekly Quotes (Yahoo Finance)'!Q20-'Analysis (Yahoo Finance)'!C47/52</f>
        <v>-1.2386034725755042E-2</v>
      </c>
      <c r="G47" s="200">
        <f>'Weekly Quotes (Yahoo Finance)'!V20-'Analysis (Yahoo Finance)'!C47/52</f>
        <v>-6.8350328617886466E-2</v>
      </c>
      <c r="H47" s="200">
        <f>'Weekly Quotes (Yahoo Finance)'!AA20-'Analysis (Yahoo Finance)'!C47/52</f>
        <v>-1.2667068969871338E-2</v>
      </c>
      <c r="I47" s="200">
        <f>'Weekly Quotes (Yahoo Finance)'!AF20-'Analysis (Yahoo Finance)'!C47/52</f>
        <v>-2.6409996808903862E-2</v>
      </c>
    </row>
    <row r="48" spans="2:9" x14ac:dyDescent="0.3">
      <c r="B48" s="331">
        <v>39570.770833333336</v>
      </c>
      <c r="C48" s="198">
        <v>1.6499999761581421E-2</v>
      </c>
      <c r="D48" s="200">
        <f>'Weekly Quotes (Yahoo Finance)'!G21-'Analysis (Yahoo Finance)'!C48/52</f>
        <v>1.3364557067383523E-2</v>
      </c>
      <c r="E48" s="200">
        <f>'Weekly Quotes (Yahoo Finance)'!L21-'Analysis (Yahoo Finance)'!C48/52</f>
        <v>-1.3875471681336813E-3</v>
      </c>
      <c r="F48" s="200">
        <f>'Weekly Quotes (Yahoo Finance)'!Q21-'Analysis (Yahoo Finance)'!C48/52</f>
        <v>-4.084505548788938E-2</v>
      </c>
      <c r="G48" s="200">
        <f>'Weekly Quotes (Yahoo Finance)'!V21-'Analysis (Yahoo Finance)'!C48/52</f>
        <v>2.0318074988251038E-2</v>
      </c>
      <c r="H48" s="200">
        <f>'Weekly Quotes (Yahoo Finance)'!AA21-'Analysis (Yahoo Finance)'!C48/52</f>
        <v>2.3184775416357477E-2</v>
      </c>
      <c r="I48" s="200">
        <f>'Weekly Quotes (Yahoo Finance)'!AF21-'Analysis (Yahoo Finance)'!C48/52</f>
        <v>-5.6414868663332417E-2</v>
      </c>
    </row>
    <row r="49" spans="2:9" x14ac:dyDescent="0.3">
      <c r="B49" s="331">
        <v>39577.770833333336</v>
      </c>
      <c r="C49" s="198">
        <v>1.7999999523162842E-2</v>
      </c>
      <c r="D49" s="200">
        <f>'Weekly Quotes (Yahoo Finance)'!G22-'Analysis (Yahoo Finance)'!C49/52</f>
        <v>-1.8790085090373179E-2</v>
      </c>
      <c r="E49" s="200">
        <f>'Weekly Quotes (Yahoo Finance)'!L22-'Analysis (Yahoo Finance)'!C49/52</f>
        <v>4.7689538678785101E-2</v>
      </c>
      <c r="F49" s="200">
        <f>'Weekly Quotes (Yahoo Finance)'!Q22-'Analysis (Yahoo Finance)'!C49/52</f>
        <v>7.5123866984726367E-3</v>
      </c>
      <c r="G49" s="200">
        <f>'Weekly Quotes (Yahoo Finance)'!V22-'Analysis (Yahoo Finance)'!C49/52</f>
        <v>-3.5982473084143055E-2</v>
      </c>
      <c r="H49" s="200">
        <f>'Weekly Quotes (Yahoo Finance)'!AA22-'Analysis (Yahoo Finance)'!C49/52</f>
        <v>9.4560377909708032E-3</v>
      </c>
      <c r="I49" s="200">
        <f>'Weekly Quotes (Yahoo Finance)'!AF22-'Analysis (Yahoo Finance)'!C49/52</f>
        <v>3.2714014510893813E-3</v>
      </c>
    </row>
    <row r="50" spans="2:9" x14ac:dyDescent="0.3">
      <c r="B50" s="331">
        <v>39584.770833333336</v>
      </c>
      <c r="C50" s="198">
        <v>1.7999999523162842E-2</v>
      </c>
      <c r="D50" s="200">
        <f>'Weekly Quotes (Yahoo Finance)'!G23-'Analysis (Yahoo Finance)'!C50/52</f>
        <v>2.672375207263876E-2</v>
      </c>
      <c r="E50" s="200">
        <f>'Weekly Quotes (Yahoo Finance)'!L23-'Analysis (Yahoo Finance)'!C50/52</f>
        <v>7.9275046719340478E-2</v>
      </c>
      <c r="F50" s="200">
        <f>'Weekly Quotes (Yahoo Finance)'!Q23-'Analysis (Yahoo Finance)'!C50/52</f>
        <v>2.9868209908646345E-2</v>
      </c>
      <c r="G50" s="200">
        <f>'Weekly Quotes (Yahoo Finance)'!V23-'Analysis (Yahoo Finance)'!C50/52</f>
        <v>0.16813043220819832</v>
      </c>
      <c r="H50" s="200">
        <f>'Weekly Quotes (Yahoo Finance)'!AA23-'Analysis (Yahoo Finance)'!C50/52</f>
        <v>1.8364275356786836E-3</v>
      </c>
      <c r="I50" s="200">
        <f>'Weekly Quotes (Yahoo Finance)'!AF23-'Analysis (Yahoo Finance)'!C50/52</f>
        <v>1.6646653081737836E-2</v>
      </c>
    </row>
    <row r="51" spans="2:9" x14ac:dyDescent="0.3">
      <c r="B51" s="331">
        <v>39591.770833333336</v>
      </c>
      <c r="C51" s="198">
        <v>1.8500000238418579E-2</v>
      </c>
      <c r="D51" s="200">
        <f>'Weekly Quotes (Yahoo Finance)'!G24-'Analysis (Yahoo Finance)'!C51/52</f>
        <v>-3.5544358493705977E-2</v>
      </c>
      <c r="E51" s="200">
        <f>'Weekly Quotes (Yahoo Finance)'!L24-'Analysis (Yahoo Finance)'!C51/52</f>
        <v>6.1893255221610551E-4</v>
      </c>
      <c r="F51" s="200">
        <f>'Weekly Quotes (Yahoo Finance)'!Q24-'Analysis (Yahoo Finance)'!C51/52</f>
        <v>-3.8441692100314132E-2</v>
      </c>
      <c r="G51" s="200">
        <f>'Weekly Quotes (Yahoo Finance)'!V24-'Analysis (Yahoo Finance)'!C51/52</f>
        <v>-3.4304429428213337E-2</v>
      </c>
      <c r="H51" s="200">
        <f>'Weekly Quotes (Yahoo Finance)'!AA24-'Analysis (Yahoo Finance)'!C51/52</f>
        <v>-3.1299514506636608E-2</v>
      </c>
      <c r="I51" s="200">
        <f>'Weekly Quotes (Yahoo Finance)'!AF24-'Analysis (Yahoo Finance)'!C51/52</f>
        <v>-9.4697087379254259E-3</v>
      </c>
    </row>
    <row r="52" spans="2:9" x14ac:dyDescent="0.3">
      <c r="B52" s="331">
        <v>39598.770833333336</v>
      </c>
      <c r="C52" s="198">
        <v>1.7999999523162842E-2</v>
      </c>
      <c r="D52" s="200">
        <f>'Weekly Quotes (Yahoo Finance)'!G25-'Analysis (Yahoo Finance)'!C52/52</f>
        <v>1.934293891137738E-2</v>
      </c>
      <c r="E52" s="200">
        <f>'Weekly Quotes (Yahoo Finance)'!L25-'Analysis (Yahoo Finance)'!C52/52</f>
        <v>-7.7269274625898623E-2</v>
      </c>
      <c r="F52" s="200">
        <f>'Weekly Quotes (Yahoo Finance)'!Q25-'Analysis (Yahoo Finance)'!C52/52</f>
        <v>-1.049841016348442E-2</v>
      </c>
      <c r="G52" s="200">
        <f>'Weekly Quotes (Yahoo Finance)'!V25-'Analysis (Yahoo Finance)'!C52/52</f>
        <v>3.4354611247129893E-2</v>
      </c>
      <c r="H52" s="200">
        <f>'Weekly Quotes (Yahoo Finance)'!AA25-'Analysis (Yahoo Finance)'!C52/52</f>
        <v>3.1117492828589652E-2</v>
      </c>
      <c r="I52" s="200">
        <f>'Weekly Quotes (Yahoo Finance)'!AF25-'Analysis (Yahoo Finance)'!C52/52</f>
        <v>-4.7867887085745534E-2</v>
      </c>
    </row>
    <row r="53" spans="2:9" x14ac:dyDescent="0.3">
      <c r="B53" s="331">
        <v>39605.770833333336</v>
      </c>
      <c r="C53" s="198">
        <v>1.9299999475479127E-2</v>
      </c>
      <c r="D53" s="200">
        <f>'Weekly Quotes (Yahoo Finance)'!G26-'Analysis (Yahoo Finance)'!C53/52</f>
        <v>-2.9298924700489348E-2</v>
      </c>
      <c r="E53" s="200">
        <f>'Weekly Quotes (Yahoo Finance)'!L26-'Analysis (Yahoo Finance)'!C53/52</f>
        <v>-1.5139118908706572E-2</v>
      </c>
      <c r="F53" s="200">
        <f>'Weekly Quotes (Yahoo Finance)'!Q26-'Analysis (Yahoo Finance)'!C53/52</f>
        <v>-3.1140384605297677E-2</v>
      </c>
      <c r="G53" s="200">
        <f>'Weekly Quotes (Yahoo Finance)'!V26-'Analysis (Yahoo Finance)'!C53/52</f>
        <v>-7.8104201193552339E-2</v>
      </c>
      <c r="H53" s="200">
        <f>'Weekly Quotes (Yahoo Finance)'!AA26-'Analysis (Yahoo Finance)'!C53/52</f>
        <v>-7.9808290372963678E-2</v>
      </c>
      <c r="I53" s="200">
        <f>'Weekly Quotes (Yahoo Finance)'!AF26-'Analysis (Yahoo Finance)'!C53/52</f>
        <v>-2.517043908930938E-3</v>
      </c>
    </row>
    <row r="54" spans="2:9" x14ac:dyDescent="0.3">
      <c r="B54" s="331">
        <v>39612.770833333336</v>
      </c>
      <c r="C54" s="198">
        <v>1.7999999523162842E-2</v>
      </c>
      <c r="D54" s="200">
        <f>'Weekly Quotes (Yahoo Finance)'!G27-'Analysis (Yahoo Finance)'!C54/52</f>
        <v>-1.373370775460972E-3</v>
      </c>
      <c r="E54" s="200">
        <f>'Weekly Quotes (Yahoo Finance)'!L27-'Analysis (Yahoo Finance)'!C54/52</f>
        <v>-8.1359643201087364E-2</v>
      </c>
      <c r="F54" s="200">
        <f>'Weekly Quotes (Yahoo Finance)'!Q27-'Analysis (Yahoo Finance)'!C54/52</f>
        <v>-3.8970504228787575E-2</v>
      </c>
      <c r="G54" s="200">
        <f>'Weekly Quotes (Yahoo Finance)'!V27-'Analysis (Yahoo Finance)'!C54/52</f>
        <v>-2.2615276735082804E-2</v>
      </c>
      <c r="H54" s="200">
        <f>'Weekly Quotes (Yahoo Finance)'!AA27-'Analysis (Yahoo Finance)'!C54/52</f>
        <v>-5.3995109219545881E-2</v>
      </c>
      <c r="I54" s="200">
        <f>'Weekly Quotes (Yahoo Finance)'!AF27-'Analysis (Yahoo Finance)'!C54/52</f>
        <v>-4.8733250611177406E-2</v>
      </c>
    </row>
    <row r="55" spans="2:9" x14ac:dyDescent="0.3">
      <c r="B55" s="331">
        <v>39619.770833333336</v>
      </c>
      <c r="C55" s="198">
        <v>1.6299999952316284E-2</v>
      </c>
      <c r="D55" s="200">
        <f>'Weekly Quotes (Yahoo Finance)'!G28-'Analysis (Yahoo Finance)'!C55/52</f>
        <v>-2.8965626358026596E-2</v>
      </c>
      <c r="E55" s="200">
        <f>'Weekly Quotes (Yahoo Finance)'!L28-'Analysis (Yahoo Finance)'!C55/52</f>
        <v>-7.1381430046221786E-2</v>
      </c>
      <c r="F55" s="200">
        <f>'Weekly Quotes (Yahoo Finance)'!Q28-'Analysis (Yahoo Finance)'!C55/52</f>
        <v>-5.4248562826110923E-2</v>
      </c>
      <c r="G55" s="200">
        <f>'Weekly Quotes (Yahoo Finance)'!V28-'Analysis (Yahoo Finance)'!C55/52</f>
        <v>-7.8877745260385393E-2</v>
      </c>
      <c r="H55" s="200">
        <f>'Weekly Quotes (Yahoo Finance)'!AA28-'Analysis (Yahoo Finance)'!C55/52</f>
        <v>-2.6261714168593707E-2</v>
      </c>
      <c r="I55" s="200">
        <f>'Weekly Quotes (Yahoo Finance)'!AF28-'Analysis (Yahoo Finance)'!C55/52</f>
        <v>-7.1499936698649749E-2</v>
      </c>
    </row>
    <row r="56" spans="2:9" x14ac:dyDescent="0.3">
      <c r="B56" s="331">
        <v>39626.770833333336</v>
      </c>
      <c r="C56" s="198">
        <v>1.8099999427795409E-2</v>
      </c>
      <c r="D56" s="200">
        <f>'Weekly Quotes (Yahoo Finance)'!G29-'Analysis (Yahoo Finance)'!C56/52</f>
        <v>-3.1127853438888173E-2</v>
      </c>
      <c r="E56" s="200">
        <f>'Weekly Quotes (Yahoo Finance)'!L29-'Analysis (Yahoo Finance)'!C56/52</f>
        <v>2.7661894855292427E-2</v>
      </c>
      <c r="F56" s="200">
        <f>'Weekly Quotes (Yahoo Finance)'!Q29-'Analysis (Yahoo Finance)'!C56/52</f>
        <v>-2.478081047939755E-2</v>
      </c>
      <c r="G56" s="200">
        <f>'Weekly Quotes (Yahoo Finance)'!V29-'Analysis (Yahoo Finance)'!C56/52</f>
        <v>-5.3539531989953468E-2</v>
      </c>
      <c r="H56" s="200">
        <f>'Weekly Quotes (Yahoo Finance)'!AA29-'Analysis (Yahoo Finance)'!C56/52</f>
        <v>-2.1959311695515835E-2</v>
      </c>
      <c r="I56" s="200">
        <f>'Weekly Quotes (Yahoo Finance)'!AF29-'Analysis (Yahoo Finance)'!C56/52</f>
        <v>-8.8638551873805732E-3</v>
      </c>
    </row>
    <row r="57" spans="2:9" x14ac:dyDescent="0.3">
      <c r="B57" s="331">
        <v>39632.770833333336</v>
      </c>
      <c r="C57" s="198">
        <v>1.5700000524520873E-2</v>
      </c>
      <c r="D57" s="200">
        <f>'Weekly Quotes (Yahoo Finance)'!G30-'Analysis (Yahoo Finance)'!C57/52</f>
        <v>-9.8683092893219991E-3</v>
      </c>
      <c r="E57" s="200">
        <f>'Weekly Quotes (Yahoo Finance)'!L30-'Analysis (Yahoo Finance)'!C57/52</f>
        <v>-5.1542174738426344E-2</v>
      </c>
      <c r="F57" s="200">
        <f>'Weekly Quotes (Yahoo Finance)'!Q30-'Analysis (Yahoo Finance)'!C57/52</f>
        <v>-7.9013927103033094E-2</v>
      </c>
      <c r="G57" s="200">
        <f>'Weekly Quotes (Yahoo Finance)'!V30-'Analysis (Yahoo Finance)'!C57/52</f>
        <v>-6.6891459584277085E-2</v>
      </c>
      <c r="H57" s="200">
        <f>'Weekly Quotes (Yahoo Finance)'!AA30-'Analysis (Yahoo Finance)'!C57/52</f>
        <v>-7.5206207915459927E-2</v>
      </c>
      <c r="I57" s="200">
        <f>'Weekly Quotes (Yahoo Finance)'!AF30-'Analysis (Yahoo Finance)'!C57/52</f>
        <v>-4.3246708363083614E-2</v>
      </c>
    </row>
    <row r="58" spans="2:9" x14ac:dyDescent="0.3">
      <c r="B58" s="331">
        <v>39640.770833333336</v>
      </c>
      <c r="C58" s="198">
        <v>1.4199999570846557E-2</v>
      </c>
      <c r="D58" s="200">
        <f>'Weekly Quotes (Yahoo Finance)'!G31-'Analysis (Yahoo Finance)'!C58/52</f>
        <v>-1.9828149897525287E-2</v>
      </c>
      <c r="E58" s="200">
        <f>'Weekly Quotes (Yahoo Finance)'!L31-'Analysis (Yahoo Finance)'!C58/52</f>
        <v>-4.7422734458023634E-2</v>
      </c>
      <c r="F58" s="200">
        <f>'Weekly Quotes (Yahoo Finance)'!Q31-'Analysis (Yahoo Finance)'!C58/52</f>
        <v>-6.0467230079378424E-2</v>
      </c>
      <c r="G58" s="200">
        <f>'Weekly Quotes (Yahoo Finance)'!V31-'Analysis (Yahoo Finance)'!C58/52</f>
        <v>-0.10914192703247588</v>
      </c>
      <c r="H58" s="200">
        <f>'Weekly Quotes (Yahoo Finance)'!AA31-'Analysis (Yahoo Finance)'!C58/52</f>
        <v>-8.1242401555894628E-2</v>
      </c>
      <c r="I58" s="200">
        <f>'Weekly Quotes (Yahoo Finance)'!AF31-'Analysis (Yahoo Finance)'!C58/52</f>
        <v>-9.0016666658413735E-2</v>
      </c>
    </row>
    <row r="59" spans="2:9" x14ac:dyDescent="0.3">
      <c r="B59" s="331">
        <v>39647.770833333336</v>
      </c>
      <c r="C59" s="198">
        <v>1.6900000572204591E-2</v>
      </c>
      <c r="D59" s="200">
        <f>'Weekly Quotes (Yahoo Finance)'!G32-'Analysis (Yahoo Finance)'!C59/52</f>
        <v>1.6955418935424911E-2</v>
      </c>
      <c r="E59" s="200">
        <f>'Weekly Quotes (Yahoo Finance)'!L32-'Analysis (Yahoo Finance)'!C59/52</f>
        <v>1.6319192355456931E-2</v>
      </c>
      <c r="F59" s="200">
        <f>'Weekly Quotes (Yahoo Finance)'!Q32-'Analysis (Yahoo Finance)'!C59/52</f>
        <v>4.7884288686762595E-2</v>
      </c>
      <c r="G59" s="200">
        <f>'Weekly Quotes (Yahoo Finance)'!V32-'Analysis (Yahoo Finance)'!C59/52</f>
        <v>0.24977432685482387</v>
      </c>
      <c r="H59" s="200">
        <f>'Weekly Quotes (Yahoo Finance)'!AA32-'Analysis (Yahoo Finance)'!C59/52</f>
        <v>1.8967655122996759E-2</v>
      </c>
      <c r="I59" s="200">
        <f>'Weekly Quotes (Yahoo Finance)'!AF32-'Analysis (Yahoo Finance)'!C59/52</f>
        <v>-3.2500001100393446E-4</v>
      </c>
    </row>
    <row r="60" spans="2:9" x14ac:dyDescent="0.3">
      <c r="B60" s="331">
        <v>39654.770833333336</v>
      </c>
      <c r="C60" s="198">
        <v>1.6299999952316284E-2</v>
      </c>
      <c r="D60" s="200">
        <f>'Weekly Quotes (Yahoo Finance)'!G33-'Analysis (Yahoo Finance)'!C60/52</f>
        <v>-4.2823453816207757E-3</v>
      </c>
      <c r="E60" s="200">
        <f>'Weekly Quotes (Yahoo Finance)'!L33-'Analysis (Yahoo Finance)'!C60/52</f>
        <v>-2.0224953922706866E-2</v>
      </c>
      <c r="F60" s="200">
        <f>'Weekly Quotes (Yahoo Finance)'!Q33-'Analysis (Yahoo Finance)'!C60/52</f>
        <v>4.9428316628104896E-3</v>
      </c>
      <c r="G60" s="200">
        <f>'Weekly Quotes (Yahoo Finance)'!V33-'Analysis (Yahoo Finance)'!C60/52</f>
        <v>-2.0812443092789422E-2</v>
      </c>
      <c r="H60" s="200">
        <f>'Weekly Quotes (Yahoo Finance)'!AA33-'Analysis (Yahoo Finance)'!C60/52</f>
        <v>-4.0187313041562443E-2</v>
      </c>
      <c r="I60" s="200">
        <f>'Weekly Quotes (Yahoo Finance)'!AF33-'Analysis (Yahoo Finance)'!C60/52</f>
        <v>3.4897806068089211E-2</v>
      </c>
    </row>
    <row r="61" spans="2:9" x14ac:dyDescent="0.3">
      <c r="B61" s="331">
        <v>39661.770833333336</v>
      </c>
      <c r="C61" s="198">
        <v>1.6649999618530274E-2</v>
      </c>
      <c r="D61" s="200">
        <f>'Weekly Quotes (Yahoo Finance)'!G34-'Analysis (Yahoo Finance)'!C61/52</f>
        <v>5.099000295945063E-3</v>
      </c>
      <c r="E61" s="200">
        <f>'Weekly Quotes (Yahoo Finance)'!L34-'Analysis (Yahoo Finance)'!C61/52</f>
        <v>-8.2035813196206842E-2</v>
      </c>
      <c r="F61" s="200">
        <f>'Weekly Quotes (Yahoo Finance)'!Q34-'Analysis (Yahoo Finance)'!C61/52</f>
        <v>-2.3195972953119651E-2</v>
      </c>
      <c r="G61" s="200">
        <f>'Weekly Quotes (Yahoo Finance)'!V34-'Analysis (Yahoo Finance)'!C61/52</f>
        <v>3.9913477094359488E-2</v>
      </c>
      <c r="H61" s="200">
        <f>'Weekly Quotes (Yahoo Finance)'!AA34-'Analysis (Yahoo Finance)'!C61/52</f>
        <v>-3.5673096762247232E-2</v>
      </c>
      <c r="I61" s="200">
        <f>'Weekly Quotes (Yahoo Finance)'!AF34-'Analysis (Yahoo Finance)'!C61/52</f>
        <v>-2.7531076654097878E-2</v>
      </c>
    </row>
    <row r="62" spans="2:9" x14ac:dyDescent="0.3">
      <c r="B62" s="331">
        <v>39668.770833333336</v>
      </c>
      <c r="C62" s="198">
        <v>1.7999999523162842E-2</v>
      </c>
      <c r="D62" s="200">
        <f>'Weekly Quotes (Yahoo Finance)'!G35-'Analysis (Yahoo Finance)'!C62/52</f>
        <v>2.5097658479916171E-2</v>
      </c>
      <c r="E62" s="200">
        <f>'Weekly Quotes (Yahoo Finance)'!L35-'Analysis (Yahoo Finance)'!C62/52</f>
        <v>4.8326458945919679E-2</v>
      </c>
      <c r="F62" s="200">
        <f>'Weekly Quotes (Yahoo Finance)'!Q35-'Analysis (Yahoo Finance)'!C62/52</f>
        <v>4.1125401650387347E-2</v>
      </c>
      <c r="G62" s="200">
        <f>'Weekly Quotes (Yahoo Finance)'!V35-'Analysis (Yahoo Finance)'!C62/52</f>
        <v>6.5311970057857591E-2</v>
      </c>
      <c r="H62" s="200">
        <f>'Weekly Quotes (Yahoo Finance)'!AA35-'Analysis (Yahoo Finance)'!C62/52</f>
        <v>5.4831036187540025E-2</v>
      </c>
      <c r="I62" s="200">
        <f>'Weekly Quotes (Yahoo Finance)'!AF35-'Analysis (Yahoo Finance)'!C62/52</f>
        <v>-3.0416105247877648E-2</v>
      </c>
    </row>
    <row r="63" spans="2:9" x14ac:dyDescent="0.3">
      <c r="B63" s="331">
        <v>39675.770833333336</v>
      </c>
      <c r="C63" s="198">
        <v>1.6649999618530274E-2</v>
      </c>
      <c r="D63" s="200">
        <f>'Weekly Quotes (Yahoo Finance)'!G36-'Analysis (Yahoo Finance)'!C63/52</f>
        <v>5.8636453896206385E-3</v>
      </c>
      <c r="E63" s="200">
        <f>'Weekly Quotes (Yahoo Finance)'!L36-'Analysis (Yahoo Finance)'!C63/52</f>
        <v>1.8901504883132522E-2</v>
      </c>
      <c r="F63" s="200">
        <f>'Weekly Quotes (Yahoo Finance)'!Q36-'Analysis (Yahoo Finance)'!C63/52</f>
        <v>1.1882733269253983E-2</v>
      </c>
      <c r="G63" s="200">
        <f>'Weekly Quotes (Yahoo Finance)'!V36-'Analysis (Yahoo Finance)'!C63/52</f>
        <v>9.2903793452450423E-2</v>
      </c>
      <c r="H63" s="200">
        <f>'Weekly Quotes (Yahoo Finance)'!AA36-'Analysis (Yahoo Finance)'!C63/52</f>
        <v>-1.7234396718065429E-2</v>
      </c>
      <c r="I63" s="200">
        <f>'Weekly Quotes (Yahoo Finance)'!AF36-'Analysis (Yahoo Finance)'!C63/52</f>
        <v>3.7891798819842219E-2</v>
      </c>
    </row>
    <row r="64" spans="2:9" x14ac:dyDescent="0.3">
      <c r="B64" s="331">
        <v>39682.770833333336</v>
      </c>
      <c r="C64" s="198">
        <v>1.6900000572204591E-2</v>
      </c>
      <c r="D64" s="200">
        <f>'Weekly Quotes (Yahoo Finance)'!G37-'Analysis (Yahoo Finance)'!C64/52</f>
        <v>-4.3198089514328523E-3</v>
      </c>
      <c r="E64" s="200">
        <f>'Weekly Quotes (Yahoo Finance)'!L37-'Analysis (Yahoo Finance)'!C64/52</f>
        <v>-5.1842919591070284E-2</v>
      </c>
      <c r="F64" s="200">
        <f>'Weekly Quotes (Yahoo Finance)'!Q37-'Analysis (Yahoo Finance)'!C64/52</f>
        <v>-2.1264065285169158E-2</v>
      </c>
      <c r="G64" s="200">
        <f>'Weekly Quotes (Yahoo Finance)'!V37-'Analysis (Yahoo Finance)'!C64/52</f>
        <v>8.7987242490156735E-4</v>
      </c>
      <c r="H64" s="200">
        <f>'Weekly Quotes (Yahoo Finance)'!AA37-'Analysis (Yahoo Finance)'!C64/52</f>
        <v>-3.2143378502584256E-3</v>
      </c>
      <c r="I64" s="200">
        <f>'Weekly Quotes (Yahoo Finance)'!AF37-'Analysis (Yahoo Finance)'!C64/52</f>
        <v>-2.6713910092655384E-2</v>
      </c>
    </row>
    <row r="65" spans="2:9" x14ac:dyDescent="0.3">
      <c r="B65" s="331">
        <v>39689.770833333336</v>
      </c>
      <c r="C65" s="198">
        <v>1.6399999856948854E-2</v>
      </c>
      <c r="D65" s="200">
        <f>'Weekly Quotes (Yahoo Finance)'!G38-'Analysis (Yahoo Finance)'!C65/52</f>
        <v>-6.9486329800668069E-3</v>
      </c>
      <c r="E65" s="200">
        <f>'Weekly Quotes (Yahoo Finance)'!L38-'Analysis (Yahoo Finance)'!C65/52</f>
        <v>-2.7958449863727912E-2</v>
      </c>
      <c r="F65" s="200">
        <f>'Weekly Quotes (Yahoo Finance)'!Q38-'Analysis (Yahoo Finance)'!C65/52</f>
        <v>2.8200500342678576E-2</v>
      </c>
      <c r="G65" s="200">
        <f>'Weekly Quotes (Yahoo Finance)'!V38-'Analysis (Yahoo Finance)'!C65/52</f>
        <v>6.9047706989459699E-3</v>
      </c>
      <c r="H65" s="200">
        <f>'Weekly Quotes (Yahoo Finance)'!AA38-'Analysis (Yahoo Finance)'!C65/52</f>
        <v>1.3910025955346581E-2</v>
      </c>
      <c r="I65" s="200">
        <f>'Weekly Quotes (Yahoo Finance)'!AF38-'Analysis (Yahoo Finance)'!C65/52</f>
        <v>1.8229595131377958E-2</v>
      </c>
    </row>
    <row r="66" spans="2:9" x14ac:dyDescent="0.3">
      <c r="B66" s="331">
        <v>39696.770833333336</v>
      </c>
      <c r="C66" s="198">
        <v>1.4600000381469726E-2</v>
      </c>
      <c r="D66" s="200">
        <f>'Weekly Quotes (Yahoo Finance)'!G39-'Analysis (Yahoo Finance)'!C66/52</f>
        <v>-3.4211938932933089E-2</v>
      </c>
      <c r="E66" s="200">
        <f>'Weekly Quotes (Yahoo Finance)'!L39-'Analysis (Yahoo Finance)'!C66/52</f>
        <v>1.2188127995971772E-2</v>
      </c>
      <c r="F66" s="200">
        <f>'Weekly Quotes (Yahoo Finance)'!Q39-'Analysis (Yahoo Finance)'!C66/52</f>
        <v>-1.4773571606278039E-2</v>
      </c>
      <c r="G66" s="200">
        <f>'Weekly Quotes (Yahoo Finance)'!V39-'Analysis (Yahoo Finance)'!C66/52</f>
        <v>4.6631479811250782E-3</v>
      </c>
      <c r="H66" s="200">
        <f>'Weekly Quotes (Yahoo Finance)'!AA39-'Analysis (Yahoo Finance)'!C66/52</f>
        <v>-4.0670337687074426E-2</v>
      </c>
      <c r="I66" s="200">
        <f>'Weekly Quotes (Yahoo Finance)'!AF39-'Analysis (Yahoo Finance)'!C66/52</f>
        <v>3.1932051114981957E-2</v>
      </c>
    </row>
    <row r="67" spans="2:9" x14ac:dyDescent="0.3">
      <c r="B67" s="331">
        <v>39703.770833333336</v>
      </c>
      <c r="C67" s="198">
        <v>9.2000001668930062E-3</v>
      </c>
      <c r="D67" s="200">
        <f>'Weekly Quotes (Yahoo Finance)'!G40-'Analysis (Yahoo Finance)'!C67/52</f>
        <v>1.3245341776982172E-2</v>
      </c>
      <c r="E67" s="200">
        <f>'Weekly Quotes (Yahoo Finance)'!L40-'Analysis (Yahoo Finance)'!C67/52</f>
        <v>-7.899474355904651E-2</v>
      </c>
      <c r="F67" s="200">
        <f>'Weekly Quotes (Yahoo Finance)'!Q40-'Analysis (Yahoo Finance)'!C67/52</f>
        <v>4.0743765755657919E-2</v>
      </c>
      <c r="G67" s="200">
        <f>'Weekly Quotes (Yahoo Finance)'!V40-'Analysis (Yahoo Finance)'!C67/52</f>
        <v>-8.4166743556240487E-4</v>
      </c>
      <c r="H67" s="200">
        <f>'Weekly Quotes (Yahoo Finance)'!AA40-'Analysis (Yahoo Finance)'!C67/52</f>
        <v>9.5672674289406009E-3</v>
      </c>
      <c r="I67" s="200">
        <f>'Weekly Quotes (Yahoo Finance)'!AF40-'Analysis (Yahoo Finance)'!C67/52</f>
        <v>-1.7408899954681031E-2</v>
      </c>
    </row>
    <row r="68" spans="2:9" x14ac:dyDescent="0.3">
      <c r="B68" s="331">
        <v>39710.770833333336</v>
      </c>
      <c r="C68" s="198">
        <v>8.2999998331069955E-3</v>
      </c>
      <c r="D68" s="200">
        <f>'Weekly Quotes (Yahoo Finance)'!G41-'Analysis (Yahoo Finance)'!C68/52</f>
        <v>-1.0303113108863832E-2</v>
      </c>
      <c r="E68" s="200">
        <f>'Weekly Quotes (Yahoo Finance)'!L41-'Analysis (Yahoo Finance)'!C68/52</f>
        <v>5.2781612409141539E-2</v>
      </c>
      <c r="F68" s="200">
        <f>'Weekly Quotes (Yahoo Finance)'!Q41-'Analysis (Yahoo Finance)'!C68/52</f>
        <v>0.35119174150828875</v>
      </c>
      <c r="G68" s="200">
        <f>'Weekly Quotes (Yahoo Finance)'!V41-'Analysis (Yahoo Finance)'!C68/52</f>
        <v>0.10415113443090446</v>
      </c>
      <c r="H68" s="200">
        <f>'Weekly Quotes (Yahoo Finance)'!AA41-'Analysis (Yahoo Finance)'!C68/52</f>
        <v>7.8650207762052504E-2</v>
      </c>
      <c r="I68" s="200">
        <f>'Weekly Quotes (Yahoo Finance)'!AF41-'Analysis (Yahoo Finance)'!C68/52</f>
        <v>0.12575509824769687</v>
      </c>
    </row>
    <row r="69" spans="2:9" x14ac:dyDescent="0.3">
      <c r="B69" s="331">
        <v>39717.770833333336</v>
      </c>
      <c r="C69" s="198">
        <v>4.6999999880790707E-3</v>
      </c>
      <c r="D69" s="200">
        <f>'Weekly Quotes (Yahoo Finance)'!G42-'Analysis (Yahoo Finance)'!C69/52</f>
        <v>-2.6435890577939988E-2</v>
      </c>
      <c r="E69" s="200">
        <f>'Weekly Quotes (Yahoo Finance)'!L42-'Analysis (Yahoo Finance)'!C69/52</f>
        <v>-8.3889323199622778E-2</v>
      </c>
      <c r="F69" s="200">
        <f>'Weekly Quotes (Yahoo Finance)'!Q42-'Analysis (Yahoo Finance)'!C69/52</f>
        <v>-0.23736306322527928</v>
      </c>
      <c r="G69" s="200">
        <f>'Weekly Quotes (Yahoo Finance)'!V42-'Analysis (Yahoo Finance)'!C69/52</f>
        <v>-5.2861435861155048E-2</v>
      </c>
      <c r="H69" s="200">
        <f>'Weekly Quotes (Yahoo Finance)'!AA42-'Analysis (Yahoo Finance)'!C69/52</f>
        <v>-4.9040568247588345E-2</v>
      </c>
      <c r="I69" s="200">
        <f>'Weekly Quotes (Yahoo Finance)'!AF42-'Analysis (Yahoo Finance)'!C69/52</f>
        <v>-9.0384615155366744E-5</v>
      </c>
    </row>
    <row r="70" spans="2:9" x14ac:dyDescent="0.3">
      <c r="B70" s="331">
        <v>39724.770833333336</v>
      </c>
      <c r="C70" s="198">
        <v>2.0999999344348905E-3</v>
      </c>
      <c r="D70" s="200">
        <f>'Weekly Quotes (Yahoo Finance)'!G43-'Analysis (Yahoo Finance)'!C70/52</f>
        <v>-8.7007718242026841E-2</v>
      </c>
      <c r="E70" s="200">
        <f>'Weekly Quotes (Yahoo Finance)'!L43-'Analysis (Yahoo Finance)'!C70/52</f>
        <v>-0.24616011560801793</v>
      </c>
      <c r="F70" s="200">
        <f>'Weekly Quotes (Yahoo Finance)'!Q43-'Analysis (Yahoo Finance)'!C70/52</f>
        <v>-5.6059527091420862E-2</v>
      </c>
      <c r="G70" s="200">
        <f>'Weekly Quotes (Yahoo Finance)'!V43-'Analysis (Yahoo Finance)'!C70/52</f>
        <v>-0.18091040145371656</v>
      </c>
      <c r="H70" s="200">
        <f>'Weekly Quotes (Yahoo Finance)'!AA43-'Analysis (Yahoo Finance)'!C70/52</f>
        <v>-4.3149403792082812E-2</v>
      </c>
      <c r="I70" s="200">
        <f>'Weekly Quotes (Yahoo Finance)'!AF43-'Analysis (Yahoo Finance)'!C70/52</f>
        <v>-0.12021209135873272</v>
      </c>
    </row>
    <row r="71" spans="2:9" x14ac:dyDescent="0.3">
      <c r="B71" s="331">
        <v>39731.770833333336</v>
      </c>
      <c r="C71" s="198">
        <v>7.799999713897705E-3</v>
      </c>
      <c r="D71" s="200">
        <f>'Weekly Quotes (Yahoo Finance)'!G44-'Analysis (Yahoo Finance)'!C71/52</f>
        <v>-0.19808363297206963</v>
      </c>
      <c r="E71" s="200">
        <f>'Weekly Quotes (Yahoo Finance)'!L44-'Analysis (Yahoo Finance)'!C71/52</f>
        <v>-0.47809121921115849</v>
      </c>
      <c r="F71" s="200">
        <f>'Weekly Quotes (Yahoo Finance)'!Q44-'Analysis (Yahoo Finance)'!C71/52</f>
        <v>-0.14913983117407167</v>
      </c>
      <c r="G71" s="200">
        <f>'Weekly Quotes (Yahoo Finance)'!V44-'Analysis (Yahoo Finance)'!C71/52</f>
        <v>-0.15387672812043804</v>
      </c>
      <c r="H71" s="200">
        <f>'Weekly Quotes (Yahoo Finance)'!AA44-'Analysis (Yahoo Finance)'!C71/52</f>
        <v>-8.3411246555301442E-3</v>
      </c>
      <c r="I71" s="200">
        <f>'Weekly Quotes (Yahoo Finance)'!AF44-'Analysis (Yahoo Finance)'!C71/52</f>
        <v>-0.15694442508160608</v>
      </c>
    </row>
    <row r="72" spans="2:9" x14ac:dyDescent="0.3">
      <c r="B72" s="331">
        <v>39738.770833333336</v>
      </c>
      <c r="C72" s="198">
        <v>8.199999928474427E-3</v>
      </c>
      <c r="D72" s="200">
        <f>'Weekly Quotes (Yahoo Finance)'!G45-'Analysis (Yahoo Finance)'!C72/52</f>
        <v>5.3062636331792402E-2</v>
      </c>
      <c r="E72" s="200">
        <f>'Weekly Quotes (Yahoo Finance)'!L45-'Analysis (Yahoo Finance)'!C72/52</f>
        <v>5.1955134490873835E-2</v>
      </c>
      <c r="F72" s="200">
        <f>'Weekly Quotes (Yahoo Finance)'!Q45-'Analysis (Yahoo Finance)'!C72/52</f>
        <v>-3.3540481073045102E-2</v>
      </c>
      <c r="G72" s="200">
        <f>'Weekly Quotes (Yahoo Finance)'!V45-'Analysis (Yahoo Finance)'!C72/52</f>
        <v>2.1860670316425333E-2</v>
      </c>
      <c r="H72" s="200">
        <f>'Weekly Quotes (Yahoo Finance)'!AA45-'Analysis (Yahoo Finance)'!C72/52</f>
        <v>-6.7329128207425676E-2</v>
      </c>
      <c r="I72" s="200">
        <f>'Weekly Quotes (Yahoo Finance)'!AF45-'Analysis (Yahoo Finance)'!C72/52</f>
        <v>-6.2141163380696994E-2</v>
      </c>
    </row>
    <row r="73" spans="2:9" x14ac:dyDescent="0.3">
      <c r="B73" s="331">
        <v>39745.770833333336</v>
      </c>
      <c r="C73" s="198">
        <v>4.3500000238418579E-3</v>
      </c>
      <c r="D73" s="200">
        <f>'Weekly Quotes (Yahoo Finance)'!G46-'Analysis (Yahoo Finance)'!C73/52</f>
        <v>-6.6278249164156242E-2</v>
      </c>
      <c r="E73" s="200">
        <f>'Weekly Quotes (Yahoo Finance)'!L46-'Analysis (Yahoo Finance)'!C73/52</f>
        <v>-0.19151602018639324</v>
      </c>
      <c r="F73" s="200">
        <f>'Weekly Quotes (Yahoo Finance)'!Q46-'Analysis (Yahoo Finance)'!C73/52</f>
        <v>-9.1411366117586698E-2</v>
      </c>
      <c r="G73" s="200">
        <f>'Weekly Quotes (Yahoo Finance)'!V46-'Analysis (Yahoo Finance)'!C73/52</f>
        <v>-0.12970665423814953</v>
      </c>
      <c r="H73" s="200">
        <f>'Weekly Quotes (Yahoo Finance)'!AA46-'Analysis (Yahoo Finance)'!C73/52</f>
        <v>-0.14114899171709017</v>
      </c>
      <c r="I73" s="200">
        <f>'Weekly Quotes (Yahoo Finance)'!AF46-'Analysis (Yahoo Finance)'!C73/52</f>
        <v>-8.2903050550391252E-2</v>
      </c>
    </row>
    <row r="74" spans="2:9" x14ac:dyDescent="0.3">
      <c r="B74" s="331">
        <v>39752.770833333336</v>
      </c>
      <c r="C74" s="198">
        <v>2.8999999165534975E-3</v>
      </c>
      <c r="D74" s="200">
        <f>'Weekly Quotes (Yahoo Finance)'!G47-'Analysis (Yahoo Finance)'!C74/52</f>
        <v>0.11242126216503957</v>
      </c>
      <c r="E74" s="200">
        <f>'Weekly Quotes (Yahoo Finance)'!L47-'Analysis (Yahoo Finance)'!C74/52</f>
        <v>0.25159984614987296</v>
      </c>
      <c r="F74" s="200">
        <f>'Weekly Quotes (Yahoo Finance)'!Q47-'Analysis (Yahoo Finance)'!C74/52</f>
        <v>0.11058608875119359</v>
      </c>
      <c r="G74" s="200">
        <f>'Weekly Quotes (Yahoo Finance)'!V47-'Analysis (Yahoo Finance)'!C74/52</f>
        <v>0.11958117985965556</v>
      </c>
      <c r="H74" s="200">
        <f>'Weekly Quotes (Yahoo Finance)'!AA47-'Analysis (Yahoo Finance)'!C74/52</f>
        <v>6.3141202311546552E-4</v>
      </c>
      <c r="I74" s="200">
        <f>'Weekly Quotes (Yahoo Finance)'!AF47-'Analysis (Yahoo Finance)'!C74/52</f>
        <v>9.5045111375939642E-2</v>
      </c>
    </row>
    <row r="75" spans="2:9" x14ac:dyDescent="0.3">
      <c r="B75" s="331">
        <v>39759.8125</v>
      </c>
      <c r="C75" s="198">
        <v>1.2999999523162842E-3</v>
      </c>
      <c r="D75" s="200">
        <f>'Weekly Quotes (Yahoo Finance)'!G48-'Analysis (Yahoo Finance)'!C75/52</f>
        <v>-3.0697324325639094E-2</v>
      </c>
      <c r="E75" s="200">
        <f>'Weekly Quotes (Yahoo Finance)'!L48-'Analysis (Yahoo Finance)'!C75/52</f>
        <v>-7.409904025806513E-2</v>
      </c>
      <c r="F75" s="200">
        <f>'Weekly Quotes (Yahoo Finance)'!Q48-'Analysis (Yahoo Finance)'!C75/52</f>
        <v>-0.10268659912764388</v>
      </c>
      <c r="G75" s="200">
        <f>'Weekly Quotes (Yahoo Finance)'!V48-'Analysis (Yahoo Finance)'!C75/52</f>
        <v>5.9297057722319857E-2</v>
      </c>
      <c r="H75" s="200">
        <f>'Weekly Quotes (Yahoo Finance)'!AA48-'Analysis (Yahoo Finance)'!C75/52</f>
        <v>-3.1784686517077332E-2</v>
      </c>
      <c r="I75" s="200">
        <f>'Weekly Quotes (Yahoo Finance)'!AF48-'Analysis (Yahoo Finance)'!C75/52</f>
        <v>-6.5112703235445379E-2</v>
      </c>
    </row>
    <row r="76" spans="2:9" x14ac:dyDescent="0.3">
      <c r="B76" s="331">
        <v>39766.8125</v>
      </c>
      <c r="C76" s="198">
        <v>9.9999997764825814E-5</v>
      </c>
      <c r="D76" s="200">
        <f>'Weekly Quotes (Yahoo Finance)'!G49-'Analysis (Yahoo Finance)'!C76/52</f>
        <v>-7.7138060054180016E-2</v>
      </c>
      <c r="E76" s="200">
        <f>'Weekly Quotes (Yahoo Finance)'!L49-'Analysis (Yahoo Finance)'!C76/52</f>
        <v>-0.26571618983855394</v>
      </c>
      <c r="F76" s="200">
        <f>'Weekly Quotes (Yahoo Finance)'!Q49-'Analysis (Yahoo Finance)'!C76/52</f>
        <v>-0.11525615365644494</v>
      </c>
      <c r="G76" s="200">
        <f>'Weekly Quotes (Yahoo Finance)'!V49-'Analysis (Yahoo Finance)'!C76/52</f>
        <v>-7.3914966555140973E-2</v>
      </c>
      <c r="H76" s="200">
        <f>'Weekly Quotes (Yahoo Finance)'!AA49-'Analysis (Yahoo Finance)'!C76/52</f>
        <v>-9.3796213560114375E-2</v>
      </c>
      <c r="I76" s="200">
        <f>'Weekly Quotes (Yahoo Finance)'!AF49-'Analysis (Yahoo Finance)'!C76/52</f>
        <v>-0.19966413375153261</v>
      </c>
    </row>
    <row r="77" spans="2:9" x14ac:dyDescent="0.3">
      <c r="B77" s="331">
        <v>39773.8125</v>
      </c>
      <c r="C77" s="198">
        <v>1.9999999552965163E-4</v>
      </c>
      <c r="D77" s="200">
        <f>'Weekly Quotes (Yahoo Finance)'!G50-'Analysis (Yahoo Finance)'!C77/52</f>
        <v>-8.1971127132584629E-2</v>
      </c>
      <c r="E77" s="200">
        <f>'Weekly Quotes (Yahoo Finance)'!L50-'Analysis (Yahoo Finance)'!C77/52</f>
        <v>-0.20233855464389597</v>
      </c>
      <c r="F77" s="200">
        <f>'Weekly Quotes (Yahoo Finance)'!Q50-'Analysis (Yahoo Finance)'!C77/52</f>
        <v>-0.17241764201192869</v>
      </c>
      <c r="G77" s="200">
        <f>'Weekly Quotes (Yahoo Finance)'!V50-'Analysis (Yahoo Finance)'!C77/52</f>
        <v>-0.23831367951918717</v>
      </c>
      <c r="H77" s="200">
        <f>'Weekly Quotes (Yahoo Finance)'!AA50-'Analysis (Yahoo Finance)'!C77/52</f>
        <v>-0.34455485572600858</v>
      </c>
      <c r="I77" s="200">
        <f>'Weekly Quotes (Yahoo Finance)'!AF50-'Analysis (Yahoo Finance)'!C77/52</f>
        <v>-0.19343877475497287</v>
      </c>
    </row>
    <row r="78" spans="2:9" x14ac:dyDescent="0.3">
      <c r="B78" s="331">
        <v>39780.8125</v>
      </c>
      <c r="C78" s="198">
        <v>9.9999997764825814E-5</v>
      </c>
      <c r="D78" s="200">
        <f>'Weekly Quotes (Yahoo Finance)'!G51-'Analysis (Yahoo Finance)'!C78/52</f>
        <v>0.13292061390798357</v>
      </c>
      <c r="E78" s="200">
        <f>'Weekly Quotes (Yahoo Finance)'!L51-'Analysis (Yahoo Finance)'!C78/52</f>
        <v>0.69512002254341898</v>
      </c>
      <c r="F78" s="200">
        <f>'Weekly Quotes (Yahoo Finance)'!Q51-'Analysis (Yahoo Finance)'!C78/52</f>
        <v>0.24652582084836702</v>
      </c>
      <c r="G78" s="200">
        <f>'Weekly Quotes (Yahoo Finance)'!V51-'Analysis (Yahoo Finance)'!C78/52</f>
        <v>0.49087572719006889</v>
      </c>
      <c r="H78" s="200">
        <f>'Weekly Quotes (Yahoo Finance)'!AA51-'Analysis (Yahoo Finance)'!C78/52</f>
        <v>0.11552046306631057</v>
      </c>
      <c r="I78" s="200">
        <f>'Weekly Quotes (Yahoo Finance)'!AF51-'Analysis (Yahoo Finance)'!C78/52</f>
        <v>-1.9230768800928042E-6</v>
      </c>
    </row>
    <row r="79" spans="2:9" x14ac:dyDescent="0.3">
      <c r="B79" s="331">
        <v>39787.8125</v>
      </c>
      <c r="C79" s="198">
        <v>9.9999997764825814E-5</v>
      </c>
      <c r="D79" s="200">
        <f>'Weekly Quotes (Yahoo Finance)'!G52-'Analysis (Yahoo Finance)'!C79/52</f>
        <v>-2.3977903990605419E-2</v>
      </c>
      <c r="E79" s="200">
        <f>'Weekly Quotes (Yahoo Finance)'!L52-'Analysis (Yahoo Finance)'!C79/52</f>
        <v>5.4674425941746742E-2</v>
      </c>
      <c r="F79" s="200">
        <f>'Weekly Quotes (Yahoo Finance)'!Q52-'Analysis (Yahoo Finance)'!C79/52</f>
        <v>-3.4356618786513658E-2</v>
      </c>
      <c r="G79" s="200">
        <f>'Weekly Quotes (Yahoo Finance)'!V52-'Analysis (Yahoo Finance)'!C79/52</f>
        <v>0.11286904240214467</v>
      </c>
      <c r="H79" s="200">
        <f>'Weekly Quotes (Yahoo Finance)'!AA52-'Analysis (Yahoo Finance)'!C79/52</f>
        <v>-0.27749721745938105</v>
      </c>
      <c r="I79" s="200">
        <f>'Weekly Quotes (Yahoo Finance)'!AF52-'Analysis (Yahoo Finance)'!C79/52</f>
        <v>-1.9230768800928042E-6</v>
      </c>
    </row>
    <row r="80" spans="2:9" x14ac:dyDescent="0.3">
      <c r="B80" s="331">
        <v>39794.8125</v>
      </c>
      <c r="C80" s="198">
        <v>4.9999998882412907E-5</v>
      </c>
      <c r="D80" s="200">
        <f>'Weekly Quotes (Yahoo Finance)'!G53-'Analysis (Yahoo Finance)'!C80/52</f>
        <v>1.205405443921086E-2</v>
      </c>
      <c r="E80" s="200">
        <f>'Weekly Quotes (Yahoo Finance)'!L53-'Analysis (Yahoo Finance)'!C80/52</f>
        <v>0.11323219446685788</v>
      </c>
      <c r="F80" s="200">
        <f>'Weekly Quotes (Yahoo Finance)'!Q53-'Analysis (Yahoo Finance)'!C80/52</f>
        <v>0.18557599284504395</v>
      </c>
      <c r="G80" s="200">
        <f>'Weekly Quotes (Yahoo Finance)'!V53-'Analysis (Yahoo Finance)'!C80/52</f>
        <v>1.6478416351014481E-2</v>
      </c>
      <c r="H80" s="200">
        <f>'Weekly Quotes (Yahoo Finance)'!AA53-'Analysis (Yahoo Finance)'!C80/52</f>
        <v>0.16555458397458261</v>
      </c>
      <c r="I80" s="200">
        <f>'Weekly Quotes (Yahoo Finance)'!AF53-'Analysis (Yahoo Finance)'!C80/52</f>
        <v>0.49709199531090403</v>
      </c>
    </row>
    <row r="81" spans="2:9" x14ac:dyDescent="0.3">
      <c r="B81" s="331">
        <v>39801.8125</v>
      </c>
      <c r="C81" s="198">
        <v>4.9999998882412907E-5</v>
      </c>
      <c r="D81" s="200">
        <f>'Weekly Quotes (Yahoo Finance)'!G54-'Analysis (Yahoo Finance)'!C81/52</f>
        <v>-9.1112475124606083E-4</v>
      </c>
      <c r="E81" s="200">
        <f>'Weekly Quotes (Yahoo Finance)'!L54-'Analysis (Yahoo Finance)'!C81/52</f>
        <v>0.13357756265791937</v>
      </c>
      <c r="F81" s="200">
        <f>'Weekly Quotes (Yahoo Finance)'!Q54-'Analysis (Yahoo Finance)'!C81/52</f>
        <v>-3.6497312890870055E-2</v>
      </c>
      <c r="G81" s="200">
        <f>'Weekly Quotes (Yahoo Finance)'!V54-'Analysis (Yahoo Finance)'!C81/52</f>
        <v>-1.0023073851900776E-2</v>
      </c>
      <c r="H81" s="200">
        <f>'Weekly Quotes (Yahoo Finance)'!AA54-'Analysis (Yahoo Finance)'!C81/52</f>
        <v>-0.14807851371920405</v>
      </c>
      <c r="I81" s="200">
        <f>'Weekly Quotes (Yahoo Finance)'!AF54-'Analysis (Yahoo Finance)'!C81/52</f>
        <v>5.3397096713987117E-2</v>
      </c>
    </row>
    <row r="82" spans="2:9" x14ac:dyDescent="0.3">
      <c r="B82" s="331">
        <v>39808.8125</v>
      </c>
      <c r="C82" s="198">
        <v>8.5000000894069677E-4</v>
      </c>
      <c r="D82" s="200">
        <f>'Weekly Quotes (Yahoo Finance)'!G55-'Analysis (Yahoo Finance)'!C82/52</f>
        <v>-1.1695660711030634E-2</v>
      </c>
      <c r="E82" s="200">
        <f>'Weekly Quotes (Yahoo Finance)'!L55-'Analysis (Yahoo Finance)'!C82/52</f>
        <v>-3.1367674404382553E-2</v>
      </c>
      <c r="F82" s="200">
        <f>'Weekly Quotes (Yahoo Finance)'!Q55-'Analysis (Yahoo Finance)'!C82/52</f>
        <v>-1.0959126125035093E-2</v>
      </c>
      <c r="G82" s="200">
        <f>'Weekly Quotes (Yahoo Finance)'!V55-'Analysis (Yahoo Finance)'!C82/52</f>
        <v>7.1297513600281776E-3</v>
      </c>
      <c r="H82" s="200">
        <f>'Weekly Quotes (Yahoo Finance)'!AA55-'Analysis (Yahoo Finance)'!C82/52</f>
        <v>0.14321380503188103</v>
      </c>
      <c r="I82" s="200">
        <f>'Weekly Quotes (Yahoo Finance)'!AF55-'Analysis (Yahoo Finance)'!C82/52</f>
        <v>2.3025128500359801E-2</v>
      </c>
    </row>
    <row r="83" spans="2:9" x14ac:dyDescent="0.3">
      <c r="B83" s="331">
        <v>39815.8125</v>
      </c>
      <c r="C83" s="198">
        <v>6.4999997615814212E-4</v>
      </c>
      <c r="D83" s="200">
        <f>'Weekly Quotes (Yahoo Finance)'!G56-'Analysis (Yahoo Finance)'!C83/52</f>
        <v>6.6531731054508769E-2</v>
      </c>
      <c r="E83" s="200">
        <f>'Weekly Quotes (Yahoo Finance)'!L56-'Analysis (Yahoo Finance)'!C83/52</f>
        <v>0.11494277452765095</v>
      </c>
      <c r="F83" s="200">
        <f>'Weekly Quotes (Yahoo Finance)'!Q56-'Analysis (Yahoo Finance)'!C83/52</f>
        <v>2.6370541488615451E-2</v>
      </c>
      <c r="G83" s="200">
        <f>'Weekly Quotes (Yahoo Finance)'!V56-'Analysis (Yahoo Finance)'!C83/52</f>
        <v>3.0881754113536608E-2</v>
      </c>
      <c r="H83" s="200">
        <f>'Weekly Quotes (Yahoo Finance)'!AA56-'Analysis (Yahoo Finance)'!C83/52</f>
        <v>8.1227320268367043E-2</v>
      </c>
      <c r="I83" s="200">
        <f>'Weekly Quotes (Yahoo Finance)'!AF56-'Analysis (Yahoo Finance)'!C83/52</f>
        <v>1.9807292326964709E-2</v>
      </c>
    </row>
    <row r="84" spans="2:9" x14ac:dyDescent="0.3">
      <c r="B84" s="331">
        <v>39822.8125</v>
      </c>
      <c r="C84" s="198">
        <v>1.1500000208616258E-3</v>
      </c>
      <c r="D84" s="200">
        <f>'Weekly Quotes (Yahoo Finance)'!G57-'Analysis (Yahoo Finance)'!C84/52</f>
        <v>-4.1652954290956674E-2</v>
      </c>
      <c r="E84" s="200">
        <f>'Weekly Quotes (Yahoo Finance)'!L57-'Analysis (Yahoo Finance)'!C84/52</f>
        <v>4.1018869320738997E-2</v>
      </c>
      <c r="F84" s="200">
        <f>'Weekly Quotes (Yahoo Finance)'!Q57-'Analysis (Yahoo Finance)'!C84/52</f>
        <v>3.8949673262932687E-2</v>
      </c>
      <c r="G84" s="200">
        <f>'Weekly Quotes (Yahoo Finance)'!V57-'Analysis (Yahoo Finance)'!C84/52</f>
        <v>-0.12262033016790413</v>
      </c>
      <c r="H84" s="200">
        <f>'Weekly Quotes (Yahoo Finance)'!AA57-'Analysis (Yahoo Finance)'!C84/52</f>
        <v>2.8945932203060569E-2</v>
      </c>
      <c r="I84" s="200">
        <f>'Weekly Quotes (Yahoo Finance)'!AF57-'Analysis (Yahoo Finance)'!C84/52</f>
        <v>-2.387367917504641E-2</v>
      </c>
    </row>
    <row r="85" spans="2:9" x14ac:dyDescent="0.3">
      <c r="B85" s="331">
        <v>39829.8125</v>
      </c>
      <c r="C85" s="198">
        <v>9.0000003576278691E-4</v>
      </c>
      <c r="D85" s="200">
        <f>'Weekly Quotes (Yahoo Finance)'!G58-'Analysis (Yahoo Finance)'!C85/52</f>
        <v>-4.5252451311279286E-2</v>
      </c>
      <c r="E85" s="200">
        <f>'Weekly Quotes (Yahoo Finance)'!L58-'Analysis (Yahoo Finance)'!C85/52</f>
        <v>-6.3478747761883642E-2</v>
      </c>
      <c r="F85" s="200">
        <f>'Weekly Quotes (Yahoo Finance)'!Q58-'Analysis (Yahoo Finance)'!C85/52</f>
        <v>-0.15564380479219983</v>
      </c>
      <c r="G85" s="200">
        <f>'Weekly Quotes (Yahoo Finance)'!V58-'Analysis (Yahoo Finance)'!C85/52</f>
        <v>-4.1200515967553454E-2</v>
      </c>
      <c r="H85" s="200">
        <f>'Weekly Quotes (Yahoo Finance)'!AA58-'Analysis (Yahoo Finance)'!C85/52</f>
        <v>-7.6263688778922284E-2</v>
      </c>
      <c r="I85" s="200">
        <f>'Weekly Quotes (Yahoo Finance)'!AF58-'Analysis (Yahoo Finance)'!C85/52</f>
        <v>-7.6940384616072305E-2</v>
      </c>
    </row>
    <row r="86" spans="2:9" x14ac:dyDescent="0.3">
      <c r="B86" s="331">
        <v>39836.8125</v>
      </c>
      <c r="C86" s="198">
        <v>2.199999988079071E-3</v>
      </c>
      <c r="D86" s="200">
        <f>'Weekly Quotes (Yahoo Finance)'!G59-'Analysis (Yahoo Finance)'!C86/52</f>
        <v>-2.2967266594163125E-2</v>
      </c>
      <c r="E86" s="200">
        <f>'Weekly Quotes (Yahoo Finance)'!L59-'Analysis (Yahoo Finance)'!C86/52</f>
        <v>-0.12735247088975296</v>
      </c>
      <c r="F86" s="200">
        <f>'Weekly Quotes (Yahoo Finance)'!Q59-'Analysis (Yahoo Finance)'!C86/52</f>
        <v>-0.13312361170378115</v>
      </c>
      <c r="G86" s="200">
        <f>'Weekly Quotes (Yahoo Finance)'!V59-'Analysis (Yahoo Finance)'!C86/52</f>
        <v>-9.3616502938524832E-2</v>
      </c>
      <c r="H86" s="200">
        <f>'Weekly Quotes (Yahoo Finance)'!AA59-'Analysis (Yahoo Finance)'!C86/52</f>
        <v>-0.10829623547022668</v>
      </c>
      <c r="I86" s="200">
        <f>'Weekly Quotes (Yahoo Finance)'!AF59-'Analysis (Yahoo Finance)'!C86/52</f>
        <v>-0.23043446455482361</v>
      </c>
    </row>
    <row r="87" spans="2:9" x14ac:dyDescent="0.3">
      <c r="B87" s="331">
        <v>39843.8125</v>
      </c>
      <c r="C87" s="198">
        <v>2.7000001072883606E-3</v>
      </c>
      <c r="D87" s="200">
        <f>'Weekly Quotes (Yahoo Finance)'!G60-'Analysis (Yahoo Finance)'!C87/52</f>
        <v>-3.4209373641575381E-3</v>
      </c>
      <c r="E87" s="200">
        <f>'Weekly Quotes (Yahoo Finance)'!L60-'Analysis (Yahoo Finance)'!C87/52</f>
        <v>-8.3581204048851096E-2</v>
      </c>
      <c r="F87" s="200">
        <f>'Weekly Quotes (Yahoo Finance)'!Q60-'Analysis (Yahoo Finance)'!C87/52</f>
        <v>2.3498023044397808E-2</v>
      </c>
      <c r="G87" s="200">
        <f>'Weekly Quotes (Yahoo Finance)'!V60-'Analysis (Yahoo Finance)'!C87/52</f>
        <v>-7.000305507138431E-2</v>
      </c>
      <c r="H87" s="200">
        <f>'Weekly Quotes (Yahoo Finance)'!AA60-'Analysis (Yahoo Finance)'!C87/52</f>
        <v>8.040371143274079E-2</v>
      </c>
      <c r="I87" s="200">
        <f>'Weekly Quotes (Yahoo Finance)'!AF60-'Analysis (Yahoo Finance)'!C87/52</f>
        <v>6.364234443693724E-2</v>
      </c>
    </row>
    <row r="88" spans="2:9" x14ac:dyDescent="0.3">
      <c r="B88" s="331">
        <v>39850.8125</v>
      </c>
      <c r="C88" s="198">
        <v>2.8999999165534975E-3</v>
      </c>
      <c r="D88" s="200">
        <f>'Weekly Quotes (Yahoo Finance)'!G61-'Analysis (Yahoo Finance)'!C88/52</f>
        <v>5.0046867908807538E-2</v>
      </c>
      <c r="E88" s="200">
        <f>'Weekly Quotes (Yahoo Finance)'!L61-'Analysis (Yahoo Finance)'!C88/52</f>
        <v>0.10649104321488846</v>
      </c>
      <c r="F88" s="200">
        <f>'Weekly Quotes (Yahoo Finance)'!Q61-'Analysis (Yahoo Finance)'!C88/52</f>
        <v>0.10667619872808488</v>
      </c>
      <c r="G88" s="200">
        <f>'Weekly Quotes (Yahoo Finance)'!V61-'Analysis (Yahoo Finance)'!C88/52</f>
        <v>4.0583174835464156E-2</v>
      </c>
      <c r="H88" s="200">
        <f>'Weekly Quotes (Yahoo Finance)'!AA61-'Analysis (Yahoo Finance)'!C88/52</f>
        <v>2.4655924272925192E-2</v>
      </c>
      <c r="I88" s="200">
        <f>'Weekly Quotes (Yahoo Finance)'!AF61-'Analysis (Yahoo Finance)'!C88/52</f>
        <v>-5.5769229164490336E-5</v>
      </c>
    </row>
    <row r="89" spans="2:9" x14ac:dyDescent="0.3">
      <c r="B89" s="331">
        <v>39857.8125</v>
      </c>
      <c r="C89" s="198">
        <v>2.6499998569488527E-3</v>
      </c>
      <c r="D89" s="200">
        <f>'Weekly Quotes (Yahoo Finance)'!G62-'Analysis (Yahoo Finance)'!C89/52</f>
        <v>-4.8567874134412277E-2</v>
      </c>
      <c r="E89" s="200">
        <f>'Weekly Quotes (Yahoo Finance)'!L62-'Analysis (Yahoo Finance)'!C89/52</f>
        <v>-6.1535916050680935E-2</v>
      </c>
      <c r="F89" s="200">
        <f>'Weekly Quotes (Yahoo Finance)'!Q62-'Analysis (Yahoo Finance)'!C89/52</f>
        <v>-3.6624586238987629E-2</v>
      </c>
      <c r="G89" s="200">
        <f>'Weekly Quotes (Yahoo Finance)'!V62-'Analysis (Yahoo Finance)'!C89/52</f>
        <v>-0.11157226603021971</v>
      </c>
      <c r="H89" s="200">
        <f>'Weekly Quotes (Yahoo Finance)'!AA62-'Analysis (Yahoo Finance)'!C89/52</f>
        <v>-7.2719802059138486E-2</v>
      </c>
      <c r="I89" s="200">
        <f>'Weekly Quotes (Yahoo Finance)'!AF62-'Analysis (Yahoo Finance)'!C89/52</f>
        <v>-5.0961535710554857E-5</v>
      </c>
    </row>
    <row r="90" spans="2:9" x14ac:dyDescent="0.3">
      <c r="B90" s="331">
        <v>39864.8125</v>
      </c>
      <c r="C90" s="198">
        <v>2.5000000000000001E-3</v>
      </c>
      <c r="D90" s="200">
        <f>'Weekly Quotes (Yahoo Finance)'!G63-'Analysis (Yahoo Finance)'!C90/52</f>
        <v>-6.4572047796048054E-2</v>
      </c>
      <c r="E90" s="200">
        <f>'Weekly Quotes (Yahoo Finance)'!L63-'Analysis (Yahoo Finance)'!C90/52</f>
        <v>-0.25839170998464206</v>
      </c>
      <c r="F90" s="200">
        <f>'Weekly Quotes (Yahoo Finance)'!Q63-'Analysis (Yahoo Finance)'!C90/52</f>
        <v>-0.17846967783484899</v>
      </c>
      <c r="G90" s="200">
        <f>'Weekly Quotes (Yahoo Finance)'!V63-'Analysis (Yahoo Finance)'!C90/52</f>
        <v>-0.11550836190340505</v>
      </c>
      <c r="H90" s="200">
        <f>'Weekly Quotes (Yahoo Finance)'!AA63-'Analysis (Yahoo Finance)'!C90/52</f>
        <v>-0.15573463644010385</v>
      </c>
      <c r="I90" s="200">
        <f>'Weekly Quotes (Yahoo Finance)'!AF63-'Analysis (Yahoo Finance)'!C90/52</f>
        <v>-4.8076923076923077E-5</v>
      </c>
    </row>
    <row r="91" spans="2:9" x14ac:dyDescent="0.3">
      <c r="B91" s="331">
        <v>39871.8125</v>
      </c>
      <c r="C91" s="198">
        <v>1.8500000238418578E-3</v>
      </c>
      <c r="D91" s="200">
        <f>'Weekly Quotes (Yahoo Finance)'!G64-'Analysis (Yahoo Finance)'!C91/52</f>
        <v>-4.5114341407017887E-2</v>
      </c>
      <c r="E91" s="200">
        <f>'Weekly Quotes (Yahoo Finance)'!L64-'Analysis (Yahoo Finance)'!C91/52</f>
        <v>-0.10170229256890553</v>
      </c>
      <c r="F91" s="200">
        <f>'Weekly Quotes (Yahoo Finance)'!Q64-'Analysis (Yahoo Finance)'!C91/52</f>
        <v>-5.1591934316556308E-2</v>
      </c>
      <c r="G91" s="200">
        <f>'Weekly Quotes (Yahoo Finance)'!V64-'Analysis (Yahoo Finance)'!C91/52</f>
        <v>3.5811124117844019E-2</v>
      </c>
      <c r="H91" s="200">
        <f>'Weekly Quotes (Yahoo Finance)'!AA64-'Analysis (Yahoo Finance)'!C91/52</f>
        <v>-0.13761256729230778</v>
      </c>
      <c r="I91" s="200">
        <f>'Weekly Quotes (Yahoo Finance)'!AF64-'Analysis (Yahoo Finance)'!C91/52</f>
        <v>-0.177281122453569</v>
      </c>
    </row>
    <row r="92" spans="2:9" x14ac:dyDescent="0.3">
      <c r="B92" s="331">
        <v>39878.8125</v>
      </c>
      <c r="C92" s="198">
        <v>1.899999976158142E-3</v>
      </c>
      <c r="D92" s="200">
        <f>'Weekly Quotes (Yahoo Finance)'!G65-'Analysis (Yahoo Finance)'!C92/52</f>
        <v>-6.7803373515180496E-2</v>
      </c>
      <c r="E92" s="200">
        <f>'Weekly Quotes (Yahoo Finance)'!L65-'Analysis (Yahoo Finance)'!C92/52</f>
        <v>-0.198552250737112</v>
      </c>
      <c r="F92" s="200">
        <f>'Weekly Quotes (Yahoo Finance)'!Q65-'Analysis (Yahoo Finance)'!C92/52</f>
        <v>-0.15901094733401641</v>
      </c>
      <c r="G92" s="200">
        <f>'Weekly Quotes (Yahoo Finance)'!V65-'Analysis (Yahoo Finance)'!C92/52</f>
        <v>-0.13502809057858697</v>
      </c>
      <c r="H92" s="200">
        <f>'Weekly Quotes (Yahoo Finance)'!AA65-'Analysis (Yahoo Finance)'!C92/52</f>
        <v>-3.8460421994318357E-3</v>
      </c>
      <c r="I92" s="200">
        <f>'Weekly Quotes (Yahoo Finance)'!AF65-'Analysis (Yahoo Finance)'!C92/52</f>
        <v>-0.16743095907461644</v>
      </c>
    </row>
    <row r="93" spans="2:9" x14ac:dyDescent="0.3">
      <c r="B93" s="331">
        <v>39885.770833333336</v>
      </c>
      <c r="C93" s="198">
        <v>2.0000000298023225E-3</v>
      </c>
      <c r="D93" s="200">
        <f>'Weekly Quotes (Yahoo Finance)'!G66-'Analysis (Yahoo Finance)'!C93/52</f>
        <v>0.1039951768741486</v>
      </c>
      <c r="E93" s="200">
        <f>'Weekly Quotes (Yahoo Finance)'!L66-'Analysis (Yahoo Finance)'!C93/52</f>
        <v>0.38653568011719186</v>
      </c>
      <c r="F93" s="200">
        <f>'Weekly Quotes (Yahoo Finance)'!Q66-'Analysis (Yahoo Finance)'!C93/52</f>
        <v>0.14081529180768956</v>
      </c>
      <c r="G93" s="200">
        <f>'Weekly Quotes (Yahoo Finance)'!V66-'Analysis (Yahoo Finance)'!C93/52</f>
        <v>0.10604750354849811</v>
      </c>
      <c r="H93" s="200">
        <f>'Weekly Quotes (Yahoo Finance)'!AA66-'Analysis (Yahoo Finance)'!C93/52</f>
        <v>3.3076381412827449E-3</v>
      </c>
      <c r="I93" s="200">
        <f>'Weekly Quotes (Yahoo Finance)'!AF66-'Analysis (Yahoo Finance)'!C93/52</f>
        <v>8.8073441403330718E-2</v>
      </c>
    </row>
    <row r="94" spans="2:9" x14ac:dyDescent="0.3">
      <c r="B94" s="331">
        <v>39892.770833333336</v>
      </c>
      <c r="C94" s="198">
        <v>1.25E-3</v>
      </c>
      <c r="D94" s="200">
        <f>'Weekly Quotes (Yahoo Finance)'!G67-'Analysis (Yahoo Finance)'!C94/52</f>
        <v>1.5497091823940729E-2</v>
      </c>
      <c r="E94" s="200">
        <f>'Weekly Quotes (Yahoo Finance)'!L67-'Analysis (Yahoo Finance)'!C94/52</f>
        <v>-0.15862168986537142</v>
      </c>
      <c r="F94" s="200">
        <f>'Weekly Quotes (Yahoo Finance)'!Q67-'Analysis (Yahoo Finance)'!C94/52</f>
        <v>2.6482994753184884E-3</v>
      </c>
      <c r="G94" s="200">
        <f>'Weekly Quotes (Yahoo Finance)'!V67-'Analysis (Yahoo Finance)'!C94/52</f>
        <v>-2.3244588530885662E-2</v>
      </c>
      <c r="H94" s="200">
        <f>'Weekly Quotes (Yahoo Finance)'!AA67-'Analysis (Yahoo Finance)'!C94/52</f>
        <v>5.2381861884744432E-2</v>
      </c>
      <c r="I94" s="200">
        <f>'Weekly Quotes (Yahoo Finance)'!AF67-'Analysis (Yahoo Finance)'!C94/52</f>
        <v>8.9307600731116168E-2</v>
      </c>
    </row>
    <row r="95" spans="2:9" x14ac:dyDescent="0.3">
      <c r="B95" s="331">
        <v>39899.770833333336</v>
      </c>
      <c r="C95" s="198">
        <v>2.0000000298023225E-3</v>
      </c>
      <c r="D95" s="200">
        <f>'Weekly Quotes (Yahoo Finance)'!G68-'Analysis (Yahoo Finance)'!C95/52</f>
        <v>6.383849823622266E-2</v>
      </c>
      <c r="E95" s="200">
        <f>'Weekly Quotes (Yahoo Finance)'!L68-'Analysis (Yahoo Finance)'!C95/52</f>
        <v>0.27575519197190024</v>
      </c>
      <c r="F95" s="200">
        <f>'Weekly Quotes (Yahoo Finance)'!Q68-'Analysis (Yahoo Finance)'!C95/52</f>
        <v>0.13269071921504136</v>
      </c>
      <c r="G95" s="200">
        <f>'Weekly Quotes (Yahoo Finance)'!V68-'Analysis (Yahoo Finance)'!C95/52</f>
        <v>0.14698992384947238</v>
      </c>
      <c r="H95" s="200">
        <f>'Weekly Quotes (Yahoo Finance)'!AA68-'Analysis (Yahoo Finance)'!C95/52</f>
        <v>5.2474036822603411E-2</v>
      </c>
      <c r="I95" s="200">
        <f>'Weekly Quotes (Yahoo Finance)'!AF68-'Analysis (Yahoo Finance)'!C95/52</f>
        <v>0.11500571355353638</v>
      </c>
    </row>
    <row r="96" spans="2:9" x14ac:dyDescent="0.3">
      <c r="B96" s="331">
        <v>39906.770833333336</v>
      </c>
      <c r="C96" s="198">
        <v>1.7499999701976775E-3</v>
      </c>
      <c r="D96" s="200">
        <f>'Weekly Quotes (Yahoo Finance)'!G69-'Analysis (Yahoo Finance)'!C96/52</f>
        <v>3.2437875453032797E-2</v>
      </c>
      <c r="E96" s="200">
        <f>'Weekly Quotes (Yahoo Finance)'!L69-'Analysis (Yahoo Finance)'!C96/52</f>
        <v>0.16170810040958331</v>
      </c>
      <c r="F96" s="200">
        <f>'Weekly Quotes (Yahoo Finance)'!Q69-'Analysis (Yahoo Finance)'!C96/52</f>
        <v>0.13408397797580032</v>
      </c>
      <c r="G96" s="200">
        <f>'Weekly Quotes (Yahoo Finance)'!V69-'Analysis (Yahoo Finance)'!C96/52</f>
        <v>8.8049245482503272E-2</v>
      </c>
      <c r="H96" s="200">
        <f>'Weekly Quotes (Yahoo Finance)'!AA69-'Analysis (Yahoo Finance)'!C96/52</f>
        <v>0.18921362431538749</v>
      </c>
      <c r="I96" s="200">
        <f>'Weekly Quotes (Yahoo Finance)'!AF69-'Analysis (Yahoo Finance)'!C96/52</f>
        <v>-5.8234733404928671E-2</v>
      </c>
    </row>
    <row r="97" spans="2:9" x14ac:dyDescent="0.3">
      <c r="B97" s="331">
        <v>39912.770833333336</v>
      </c>
      <c r="C97" s="198">
        <v>1.2999999523162842E-3</v>
      </c>
      <c r="D97" s="200">
        <f>'Weekly Quotes (Yahoo Finance)'!G70-'Analysis (Yahoo Finance)'!C97/52</f>
        <v>1.8370387884450005E-2</v>
      </c>
      <c r="E97" s="200">
        <f>'Weekly Quotes (Yahoo Finance)'!L70-'Analysis (Yahoo Finance)'!C97/52</f>
        <v>8.9667073628530436E-2</v>
      </c>
      <c r="F97" s="200">
        <f>'Weekly Quotes (Yahoo Finance)'!Q70-'Analysis (Yahoo Finance)'!C97/52</f>
        <v>-9.5685492937658233E-3</v>
      </c>
      <c r="G97" s="200">
        <f>'Weekly Quotes (Yahoo Finance)'!V70-'Analysis (Yahoo Finance)'!C97/52</f>
        <v>-2.5697834023023943E-2</v>
      </c>
      <c r="H97" s="200">
        <f>'Weekly Quotes (Yahoo Finance)'!AA70-'Analysis (Yahoo Finance)'!C97/52</f>
        <v>0.10304912563088708</v>
      </c>
      <c r="I97" s="200">
        <f>'Weekly Quotes (Yahoo Finance)'!AF70-'Analysis (Yahoo Finance)'!C97/52</f>
        <v>0.17272785925594081</v>
      </c>
    </row>
    <row r="98" spans="2:9" x14ac:dyDescent="0.3">
      <c r="B98" s="331">
        <v>39920.770833333336</v>
      </c>
      <c r="C98" s="198">
        <v>9.4999998807907102E-4</v>
      </c>
      <c r="D98" s="200">
        <f>'Weekly Quotes (Yahoo Finance)'!G71-'Analysis (Yahoo Finance)'!C98/52</f>
        <v>1.4781920824164583E-2</v>
      </c>
      <c r="E98" s="200">
        <f>'Weekly Quotes (Yahoo Finance)'!L71-'Analysis (Yahoo Finance)'!C98/52</f>
        <v>4.2979266001519308E-2</v>
      </c>
      <c r="F98" s="200">
        <f>'Weekly Quotes (Yahoo Finance)'!Q71-'Analysis (Yahoo Finance)'!C98/52</f>
        <v>0.14158206738194651</v>
      </c>
      <c r="G98" s="200">
        <f>'Weekly Quotes (Yahoo Finance)'!V71-'Analysis (Yahoo Finance)'!C98/52</f>
        <v>0.11196643761128074</v>
      </c>
      <c r="H98" s="200">
        <f>'Weekly Quotes (Yahoo Finance)'!AA71-'Analysis (Yahoo Finance)'!C98/52</f>
        <v>0.17047351092743707</v>
      </c>
      <c r="I98" s="200">
        <f>'Weekly Quotes (Yahoo Finance)'!AF71-'Analysis (Yahoo Finance)'!C98/52</f>
        <v>0.11854462329495581</v>
      </c>
    </row>
    <row r="99" spans="2:9" x14ac:dyDescent="0.3">
      <c r="B99" s="331">
        <v>39927.770833333336</v>
      </c>
      <c r="C99" s="198">
        <v>1.4499999582767487E-3</v>
      </c>
      <c r="D99" s="200">
        <f>'Weekly Quotes (Yahoo Finance)'!G72-'Analysis (Yahoo Finance)'!C99/52</f>
        <v>-4.8510146112966598E-3</v>
      </c>
      <c r="E99" s="200">
        <f>'Weekly Quotes (Yahoo Finance)'!L72-'Analysis (Yahoo Finance)'!C99/52</f>
        <v>-4.2430657670412979E-2</v>
      </c>
      <c r="F99" s="200">
        <f>'Weekly Quotes (Yahoo Finance)'!Q72-'Analysis (Yahoo Finance)'!C99/52</f>
        <v>3.024739142469924E-2</v>
      </c>
      <c r="G99" s="200">
        <f>'Weekly Quotes (Yahoo Finance)'!V72-'Analysis (Yahoo Finance)'!C99/52</f>
        <v>-1.6079864801775805E-2</v>
      </c>
      <c r="H99" s="200">
        <f>'Weekly Quotes (Yahoo Finance)'!AA72-'Analysis (Yahoo Finance)'!C99/52</f>
        <v>-9.3025026376031272E-2</v>
      </c>
      <c r="I99" s="200">
        <f>'Weekly Quotes (Yahoo Finance)'!AF72-'Analysis (Yahoo Finance)'!C99/52</f>
        <v>2.7809357694249089E-2</v>
      </c>
    </row>
    <row r="100" spans="2:9" x14ac:dyDescent="0.3">
      <c r="B100" s="331">
        <v>39934.770833333336</v>
      </c>
      <c r="C100" s="198">
        <v>1.6500000655651093E-3</v>
      </c>
      <c r="D100" s="200">
        <f>'Weekly Quotes (Yahoo Finance)'!G73-'Analysis (Yahoo Finance)'!C100/52</f>
        <v>1.4161618820570807E-2</v>
      </c>
      <c r="E100" s="200">
        <f>'Weekly Quotes (Yahoo Finance)'!L73-'Analysis (Yahoo Finance)'!C100/52</f>
        <v>-5.0462163969873977E-2</v>
      </c>
      <c r="F100" s="200">
        <f>'Weekly Quotes (Yahoo Finance)'!Q73-'Analysis (Yahoo Finance)'!C100/52</f>
        <v>4.0929968222150157E-2</v>
      </c>
      <c r="G100" s="200">
        <f>'Weekly Quotes (Yahoo Finance)'!V73-'Analysis (Yahoo Finance)'!C100/52</f>
        <v>-0.12102615986057648</v>
      </c>
      <c r="H100" s="200">
        <f>'Weekly Quotes (Yahoo Finance)'!AA73-'Analysis (Yahoo Finance)'!C100/52</f>
        <v>-1.4855744625483738E-2</v>
      </c>
      <c r="I100" s="200">
        <f>'Weekly Quotes (Yahoo Finance)'!AF73-'Analysis (Yahoo Finance)'!C100/52</f>
        <v>2.0801602562841623E-2</v>
      </c>
    </row>
    <row r="101" spans="2:9" x14ac:dyDescent="0.3">
      <c r="B101" s="331">
        <v>39941.770833333336</v>
      </c>
      <c r="C101" s="198">
        <v>1.550000011920929E-3</v>
      </c>
      <c r="D101" s="200">
        <f>'Weekly Quotes (Yahoo Finance)'!G74-'Analysis (Yahoo Finance)'!C101/52</f>
        <v>5.7883538565656832E-2</v>
      </c>
      <c r="E101" s="200">
        <f>'Weekly Quotes (Yahoo Finance)'!L74-'Analysis (Yahoo Finance)'!C101/52</f>
        <v>0.30566963458537727</v>
      </c>
      <c r="F101" s="200">
        <f>'Weekly Quotes (Yahoo Finance)'!Q74-'Analysis (Yahoo Finance)'!C101/52</f>
        <v>-1.8849316119268798E-2</v>
      </c>
      <c r="G101" s="200">
        <f>'Weekly Quotes (Yahoo Finance)'!V74-'Analysis (Yahoo Finance)'!C101/52</f>
        <v>5.2776274786008291E-2</v>
      </c>
      <c r="H101" s="200">
        <f>'Weekly Quotes (Yahoo Finance)'!AA74-'Analysis (Yahoo Finance)'!C101/52</f>
        <v>0.27489186780001623</v>
      </c>
      <c r="I101" s="200">
        <f>'Weekly Quotes (Yahoo Finance)'!AF74-'Analysis (Yahoo Finance)'!C101/52</f>
        <v>5.8133426473199599E-2</v>
      </c>
    </row>
    <row r="102" spans="2:9" x14ac:dyDescent="0.3">
      <c r="B102" s="331">
        <v>39948.770833333336</v>
      </c>
      <c r="C102" s="198">
        <v>1.7499999701976775E-3</v>
      </c>
      <c r="D102" s="200">
        <f>'Weekly Quotes (Yahoo Finance)'!G75-'Analysis (Yahoo Finance)'!C102/52</f>
        <v>-4.5957552730259907E-2</v>
      </c>
      <c r="E102" s="200">
        <f>'Weekly Quotes (Yahoo Finance)'!L75-'Analysis (Yahoo Finance)'!C102/52</f>
        <v>-0.12503373165871554</v>
      </c>
      <c r="F102" s="200">
        <f>'Weekly Quotes (Yahoo Finance)'!Q75-'Analysis (Yahoo Finance)'!C102/52</f>
        <v>-4.0138260852664462E-2</v>
      </c>
      <c r="G102" s="200">
        <f>'Weekly Quotes (Yahoo Finance)'!V75-'Analysis (Yahoo Finance)'!C102/52</f>
        <v>-0.1316181293331293</v>
      </c>
      <c r="H102" s="200">
        <f>'Weekly Quotes (Yahoo Finance)'!AA75-'Analysis (Yahoo Finance)'!C102/52</f>
        <v>-0.24368347241036822</v>
      </c>
      <c r="I102" s="200">
        <f>'Weekly Quotes (Yahoo Finance)'!AF75-'Analysis (Yahoo Finance)'!C102/52</f>
        <v>-7.9107879395798539E-2</v>
      </c>
    </row>
    <row r="103" spans="2:9" x14ac:dyDescent="0.3">
      <c r="B103" s="331">
        <v>39955.770833333336</v>
      </c>
      <c r="C103" s="198">
        <v>1.2999999523162842E-3</v>
      </c>
      <c r="D103" s="200">
        <f>'Weekly Quotes (Yahoo Finance)'!G76-'Analysis (Yahoo Finance)'!C103/52</f>
        <v>3.4695052629286657E-3</v>
      </c>
      <c r="E103" s="200">
        <f>'Weekly Quotes (Yahoo Finance)'!L76-'Analysis (Yahoo Finance)'!C103/52</f>
        <v>7.5938696639865966E-2</v>
      </c>
      <c r="F103" s="200">
        <f>'Weekly Quotes (Yahoo Finance)'!Q76-'Analysis (Yahoo Finance)'!C103/52</f>
        <v>0.10130073491506397</v>
      </c>
      <c r="G103" s="200">
        <f>'Weekly Quotes (Yahoo Finance)'!V76-'Analysis (Yahoo Finance)'!C103/52</f>
        <v>-1.5249812234950141E-2</v>
      </c>
      <c r="H103" s="200">
        <f>'Weekly Quotes (Yahoo Finance)'!AA76-'Analysis (Yahoo Finance)'!C103/52</f>
        <v>-8.6102614462675975E-2</v>
      </c>
      <c r="I103" s="200">
        <f>'Weekly Quotes (Yahoo Finance)'!AF76-'Analysis (Yahoo Finance)'!C103/52</f>
        <v>3.976560787272676E-2</v>
      </c>
    </row>
    <row r="104" spans="2:9" x14ac:dyDescent="0.3">
      <c r="B104" s="331">
        <v>39962.770833333336</v>
      </c>
      <c r="C104" s="198">
        <v>1.8000000715255738E-3</v>
      </c>
      <c r="D104" s="200">
        <f>'Weekly Quotes (Yahoo Finance)'!G77-'Analysis (Yahoo Finance)'!C104/52</f>
        <v>3.9394751819044546E-2</v>
      </c>
      <c r="E104" s="200">
        <f>'Weekly Quotes (Yahoo Finance)'!L77-'Analysis (Yahoo Finance)'!C104/52</f>
        <v>6.9554483642478224E-2</v>
      </c>
      <c r="F104" s="200">
        <f>'Weekly Quotes (Yahoo Finance)'!Q77-'Analysis (Yahoo Finance)'!C104/52</f>
        <v>-3.5288308143542627E-2</v>
      </c>
      <c r="G104" s="200">
        <f>'Weekly Quotes (Yahoo Finance)'!V77-'Analysis (Yahoo Finance)'!C104/52</f>
        <v>0.10006480741598871</v>
      </c>
      <c r="H104" s="200">
        <f>'Weekly Quotes (Yahoo Finance)'!AA77-'Analysis (Yahoo Finance)'!C104/52</f>
        <v>-9.029502389063622E-2</v>
      </c>
      <c r="I104" s="200">
        <f>'Weekly Quotes (Yahoo Finance)'!AF77-'Analysis (Yahoo Finance)'!C104/52</f>
        <v>-3.4615385990876421E-5</v>
      </c>
    </row>
    <row r="105" spans="2:9" x14ac:dyDescent="0.3">
      <c r="B105" s="331">
        <v>39969.770833333336</v>
      </c>
      <c r="C105" s="198">
        <v>1.6500000655651093E-3</v>
      </c>
      <c r="D105" s="200">
        <f>'Weekly Quotes (Yahoo Finance)'!G78-'Analysis (Yahoo Finance)'!C105/52</f>
        <v>2.1799073283435375E-2</v>
      </c>
      <c r="E105" s="200">
        <f>'Weekly Quotes (Yahoo Finance)'!L78-'Analysis (Yahoo Finance)'!C105/52</f>
        <v>6.5541963714638093E-2</v>
      </c>
      <c r="F105" s="200">
        <f>'Weekly Quotes (Yahoo Finance)'!Q78-'Analysis (Yahoo Finance)'!C105/52</f>
        <v>6.5030680545289529E-2</v>
      </c>
      <c r="G105" s="200">
        <f>'Weekly Quotes (Yahoo Finance)'!V78-'Analysis (Yahoo Finance)'!C105/52</f>
        <v>4.0609479431639992E-2</v>
      </c>
      <c r="H105" s="200">
        <f>'Weekly Quotes (Yahoo Finance)'!AA78-'Analysis (Yahoo Finance)'!C105/52</f>
        <v>4.9772198940061171E-2</v>
      </c>
      <c r="I105" s="200">
        <f>'Weekly Quotes (Yahoo Finance)'!AF78-'Analysis (Yahoo Finance)'!C105/52</f>
        <v>-3.1730770491636716E-5</v>
      </c>
    </row>
    <row r="106" spans="2:9" x14ac:dyDescent="0.3">
      <c r="B106" s="331">
        <v>39976.770833333336</v>
      </c>
      <c r="C106" s="198">
        <v>1.7000000178813935E-3</v>
      </c>
      <c r="D106" s="200">
        <f>'Weekly Quotes (Yahoo Finance)'!G79-'Analysis (Yahoo Finance)'!C106/52</f>
        <v>5.5727943359647758E-3</v>
      </c>
      <c r="E106" s="200">
        <f>'Weekly Quotes (Yahoo Finance)'!L79-'Analysis (Yahoo Finance)'!C106/52</f>
        <v>9.0351978859784715E-2</v>
      </c>
      <c r="F106" s="200">
        <f>'Weekly Quotes (Yahoo Finance)'!Q79-'Analysis (Yahoo Finance)'!C106/52</f>
        <v>3.7624212333709245E-2</v>
      </c>
      <c r="G106" s="200">
        <f>'Weekly Quotes (Yahoo Finance)'!V79-'Analysis (Yahoo Finance)'!C106/52</f>
        <v>2.4050636107601692E-2</v>
      </c>
      <c r="H106" s="200">
        <f>'Weekly Quotes (Yahoo Finance)'!AA79-'Analysis (Yahoo Finance)'!C106/52</f>
        <v>6.0109216512850366E-2</v>
      </c>
      <c r="I106" s="200">
        <f>'Weekly Quotes (Yahoo Finance)'!AF79-'Analysis (Yahoo Finance)'!C106/52</f>
        <v>0.14800352618613774</v>
      </c>
    </row>
    <row r="107" spans="2:9" x14ac:dyDescent="0.3">
      <c r="B107" s="331">
        <v>39983.770833333336</v>
      </c>
      <c r="C107" s="198">
        <v>1.7499999701976775E-3</v>
      </c>
      <c r="D107" s="200">
        <f>'Weekly Quotes (Yahoo Finance)'!G80-'Analysis (Yahoo Finance)'!C107/52</f>
        <v>-2.6558694516158651E-2</v>
      </c>
      <c r="E107" s="200">
        <f>'Weekly Quotes (Yahoo Finance)'!L80-'Analysis (Yahoo Finance)'!C107/52</f>
        <v>-0.1781642400974964</v>
      </c>
      <c r="F107" s="200">
        <f>'Weekly Quotes (Yahoo Finance)'!Q80-'Analysis (Yahoo Finance)'!C107/52</f>
        <v>6.4179547183156474E-3</v>
      </c>
      <c r="G107" s="200">
        <f>'Weekly Quotes (Yahoo Finance)'!V80-'Analysis (Yahoo Finance)'!C107/52</f>
        <v>-7.6940454893038343E-2</v>
      </c>
      <c r="H107" s="200">
        <f>'Weekly Quotes (Yahoo Finance)'!AA80-'Analysis (Yahoo Finance)'!C107/52</f>
        <v>0.11659780516367736</v>
      </c>
      <c r="I107" s="200">
        <f>'Weekly Quotes (Yahoo Finance)'!AF80-'Analysis (Yahoo Finance)'!C107/52</f>
        <v>-3.3653845580724565E-5</v>
      </c>
    </row>
    <row r="108" spans="2:9" x14ac:dyDescent="0.3">
      <c r="B108" s="331">
        <v>39990.770833333336</v>
      </c>
      <c r="C108" s="198">
        <v>1.550000011920929E-3</v>
      </c>
      <c r="D108" s="200">
        <f>'Weekly Quotes (Yahoo Finance)'!G81-'Analysis (Yahoo Finance)'!C108/52</f>
        <v>-2.2028256808817349E-3</v>
      </c>
      <c r="E108" s="200">
        <f>'Weekly Quotes (Yahoo Finance)'!L81-'Analysis (Yahoo Finance)'!C108/52</f>
        <v>2.0356535155812785E-2</v>
      </c>
      <c r="F108" s="200">
        <f>'Weekly Quotes (Yahoo Finance)'!Q81-'Analysis (Yahoo Finance)'!C108/52</f>
        <v>-2.8875975675479202E-2</v>
      </c>
      <c r="G108" s="200">
        <f>'Weekly Quotes (Yahoo Finance)'!V81-'Analysis (Yahoo Finance)'!C108/52</f>
        <v>2.1085684391156403E-2</v>
      </c>
      <c r="H108" s="200">
        <f>'Weekly Quotes (Yahoo Finance)'!AA81-'Analysis (Yahoo Finance)'!C108/52</f>
        <v>-3.2532221486877989E-2</v>
      </c>
      <c r="I108" s="200">
        <f>'Weekly Quotes (Yahoo Finance)'!AF81-'Analysis (Yahoo Finance)'!C108/52</f>
        <v>-3.3538576945380906E-2</v>
      </c>
    </row>
    <row r="109" spans="2:9" x14ac:dyDescent="0.3">
      <c r="B109" s="331">
        <v>39996.770833333336</v>
      </c>
      <c r="C109" s="198">
        <v>1.6500000655651093E-3</v>
      </c>
      <c r="D109" s="200">
        <f>'Weekly Quotes (Yahoo Finance)'!G82-'Analysis (Yahoo Finance)'!C109/52</f>
        <v>-2.2135376896829276E-2</v>
      </c>
      <c r="E109" s="200">
        <f>'Weekly Quotes (Yahoo Finance)'!L82-'Analysis (Yahoo Finance)'!C109/52</f>
        <v>-5.3659431781901093E-2</v>
      </c>
      <c r="F109" s="200">
        <f>'Weekly Quotes (Yahoo Finance)'!Q82-'Analysis (Yahoo Finance)'!C109/52</f>
        <v>7.9334259669742969E-4</v>
      </c>
      <c r="G109" s="200">
        <f>'Weekly Quotes (Yahoo Finance)'!V82-'Analysis (Yahoo Finance)'!C109/52</f>
        <v>-3.1724241317070259E-2</v>
      </c>
      <c r="H109" s="200">
        <f>'Weekly Quotes (Yahoo Finance)'!AA82-'Analysis (Yahoo Finance)'!C109/52</f>
        <v>-9.2660512657285768E-2</v>
      </c>
      <c r="I109" s="200">
        <f>'Weekly Quotes (Yahoo Finance)'!AF82-'Analysis (Yahoo Finance)'!C109/52</f>
        <v>-3.1730770491636716E-5</v>
      </c>
    </row>
    <row r="110" spans="2:9" x14ac:dyDescent="0.3">
      <c r="B110" s="331">
        <v>40004.770833333336</v>
      </c>
      <c r="C110" s="198">
        <v>1.6500000655651093E-3</v>
      </c>
      <c r="D110" s="200">
        <f>'Weekly Quotes (Yahoo Finance)'!G83-'Analysis (Yahoo Finance)'!C110/52</f>
        <v>-2.0630756763272931E-2</v>
      </c>
      <c r="E110" s="200">
        <f>'Weekly Quotes (Yahoo Finance)'!L83-'Analysis (Yahoo Finance)'!C110/52</f>
        <v>-0.13447625357609025</v>
      </c>
      <c r="F110" s="200">
        <f>'Weekly Quotes (Yahoo Finance)'!Q83-'Analysis (Yahoo Finance)'!C110/52</f>
        <v>-0.10397327214921943</v>
      </c>
      <c r="G110" s="200">
        <f>'Weekly Quotes (Yahoo Finance)'!V83-'Analysis (Yahoo Finance)'!C110/52</f>
        <v>-5.7599122867161914E-2</v>
      </c>
      <c r="H110" s="200">
        <f>'Weekly Quotes (Yahoo Finance)'!AA83-'Analysis (Yahoo Finance)'!C110/52</f>
        <v>-2.5193480789169012E-2</v>
      </c>
      <c r="I110" s="200">
        <f>'Weekly Quotes (Yahoo Finance)'!AF83-'Analysis (Yahoo Finance)'!C110/52</f>
        <v>-4.34152737552191E-2</v>
      </c>
    </row>
    <row r="111" spans="2:9" x14ac:dyDescent="0.3">
      <c r="B111" s="331">
        <v>40011.770833333336</v>
      </c>
      <c r="C111" s="198">
        <v>1.8000000715255738E-3</v>
      </c>
      <c r="D111" s="200">
        <f>'Weekly Quotes (Yahoo Finance)'!G84-'Analysis (Yahoo Finance)'!C111/52</f>
        <v>7.0110885218436489E-2</v>
      </c>
      <c r="E111" s="200">
        <f>'Weekly Quotes (Yahoo Finance)'!L84-'Analysis (Yahoo Finance)'!C111/52</f>
        <v>0.13988840196457569</v>
      </c>
      <c r="F111" s="200">
        <f>'Weekly Quotes (Yahoo Finance)'!Q84-'Analysis (Yahoo Finance)'!C111/52</f>
        <v>7.850937477016133E-2</v>
      </c>
      <c r="G111" s="200">
        <f>'Weekly Quotes (Yahoo Finance)'!V84-'Analysis (Yahoo Finance)'!C111/52</f>
        <v>3.8881687334113832E-2</v>
      </c>
      <c r="H111" s="200">
        <f>'Weekly Quotes (Yahoo Finance)'!AA84-'Analysis (Yahoo Finance)'!C111/52</f>
        <v>0.10652874281133799</v>
      </c>
      <c r="I111" s="200">
        <f>'Weekly Quotes (Yahoo Finance)'!AF84-'Analysis (Yahoo Finance)'!C111/52</f>
        <v>-2.0907523790043857E-2</v>
      </c>
    </row>
    <row r="112" spans="2:9" x14ac:dyDescent="0.3">
      <c r="B112" s="331">
        <v>40018.770833333336</v>
      </c>
      <c r="C112" s="198">
        <v>1.7499999701976775E-3</v>
      </c>
      <c r="D112" s="200">
        <f>'Weekly Quotes (Yahoo Finance)'!G85-'Analysis (Yahoo Finance)'!C112/52</f>
        <v>4.1717120826125567E-2</v>
      </c>
      <c r="E112" s="200">
        <f>'Weekly Quotes (Yahoo Finance)'!L85-'Analysis (Yahoo Finance)'!C112/52</f>
        <v>0.10356988793424261</v>
      </c>
      <c r="F112" s="200">
        <f>'Weekly Quotes (Yahoo Finance)'!Q85-'Analysis (Yahoo Finance)'!C112/52</f>
        <v>4.7035653864179197E-2</v>
      </c>
      <c r="G112" s="200">
        <f>'Weekly Quotes (Yahoo Finance)'!V85-'Analysis (Yahoo Finance)'!C112/52</f>
        <v>0.12609246413293021</v>
      </c>
      <c r="H112" s="200">
        <f>'Weekly Quotes (Yahoo Finance)'!AA85-'Analysis (Yahoo Finance)'!C112/52</f>
        <v>1.2962040397360056E-2</v>
      </c>
      <c r="I112" s="200">
        <f>'Weekly Quotes (Yahoo Finance)'!AF85-'Analysis (Yahoo Finance)'!C112/52</f>
        <v>-3.3653845580724565E-5</v>
      </c>
    </row>
    <row r="113" spans="2:9" x14ac:dyDescent="0.3">
      <c r="B113" s="331">
        <v>40025.770833333336</v>
      </c>
      <c r="C113" s="198">
        <v>1.7000000178813935E-3</v>
      </c>
      <c r="D113" s="200">
        <f>'Weekly Quotes (Yahoo Finance)'!G86-'Analysis (Yahoo Finance)'!C113/52</f>
        <v>7.6156864261348323E-3</v>
      </c>
      <c r="E113" s="200">
        <f>'Weekly Quotes (Yahoo Finance)'!L86-'Analysis (Yahoo Finance)'!C113/52</f>
        <v>-4.1869431148225306E-2</v>
      </c>
      <c r="F113" s="200">
        <f>'Weekly Quotes (Yahoo Finance)'!Q86-'Analysis (Yahoo Finance)'!C113/52</f>
        <v>0.10090032538320001</v>
      </c>
      <c r="G113" s="200">
        <f>'Weekly Quotes (Yahoo Finance)'!V86-'Analysis (Yahoo Finance)'!C113/52</f>
        <v>-4.5375457674504116E-4</v>
      </c>
      <c r="H113" s="200">
        <f>'Weekly Quotes (Yahoo Finance)'!AA86-'Analysis (Yahoo Finance)'!C113/52</f>
        <v>6.5462541652666351E-3</v>
      </c>
      <c r="I113" s="200">
        <f>'Weekly Quotes (Yahoo Finance)'!AF86-'Analysis (Yahoo Finance)'!C113/52</f>
        <v>0.16954095611732919</v>
      </c>
    </row>
    <row r="114" spans="2:9" x14ac:dyDescent="0.3">
      <c r="B114" s="331">
        <v>40032.770833333336</v>
      </c>
      <c r="C114" s="198">
        <v>1.7000000178813935E-3</v>
      </c>
      <c r="D114" s="200">
        <f>'Weekly Quotes (Yahoo Finance)'!G87-'Analysis (Yahoo Finance)'!C114/52</f>
        <v>2.4155137351924955E-2</v>
      </c>
      <c r="E114" s="200">
        <f>'Weekly Quotes (Yahoo Finance)'!L87-'Analysis (Yahoo Finance)'!C114/52</f>
        <v>0.16397164719400056</v>
      </c>
      <c r="F114" s="200">
        <f>'Weekly Quotes (Yahoo Finance)'!Q87-'Analysis (Yahoo Finance)'!C114/52</f>
        <v>-1.0048124022022958E-2</v>
      </c>
      <c r="G114" s="200">
        <f>'Weekly Quotes (Yahoo Finance)'!V87-'Analysis (Yahoo Finance)'!C114/52</f>
        <v>6.1466928833388973E-2</v>
      </c>
      <c r="H114" s="200">
        <f>'Weekly Quotes (Yahoo Finance)'!AA87-'Analysis (Yahoo Finance)'!C114/52</f>
        <v>0.11107847136867663</v>
      </c>
      <c r="I114" s="200">
        <f>'Weekly Quotes (Yahoo Finance)'!AF87-'Analysis (Yahoo Finance)'!C114/52</f>
        <v>-1.8259676598562563E-2</v>
      </c>
    </row>
    <row r="115" spans="2:9" x14ac:dyDescent="0.3">
      <c r="B115" s="331">
        <v>40039.770833333336</v>
      </c>
      <c r="C115" s="198">
        <v>1.599999964237213E-3</v>
      </c>
      <c r="D115" s="200">
        <f>'Weekly Quotes (Yahoo Finance)'!G88-'Analysis (Yahoo Finance)'!C115/52</f>
        <v>-4.082113549039746E-3</v>
      </c>
      <c r="E115" s="200">
        <f>'Weekly Quotes (Yahoo Finance)'!L88-'Analysis (Yahoo Finance)'!C115/52</f>
        <v>-1.5584311039167676E-2</v>
      </c>
      <c r="F115" s="200">
        <f>'Weekly Quotes (Yahoo Finance)'!Q88-'Analysis (Yahoo Finance)'!C115/52</f>
        <v>1.7868057730011776E-2</v>
      </c>
      <c r="G115" s="200">
        <f>'Weekly Quotes (Yahoo Finance)'!V88-'Analysis (Yahoo Finance)'!C115/52</f>
        <v>-4.6856176747971587E-2</v>
      </c>
      <c r="H115" s="200">
        <f>'Weekly Quotes (Yahoo Finance)'!AA88-'Analysis (Yahoo Finance)'!C115/52</f>
        <v>2.5851566822960758E-2</v>
      </c>
      <c r="I115" s="200">
        <f>'Weekly Quotes (Yahoo Finance)'!AF88-'Analysis (Yahoo Finance)'!C115/52</f>
        <v>5.1446011142248463E-2</v>
      </c>
    </row>
    <row r="116" spans="2:9" x14ac:dyDescent="0.3">
      <c r="B116" s="331">
        <v>40046.770833333336</v>
      </c>
      <c r="C116" s="198">
        <v>1.2999999523162842E-3</v>
      </c>
      <c r="D116" s="200">
        <f>'Weekly Quotes (Yahoo Finance)'!G89-'Analysis (Yahoo Finance)'!C116/52</f>
        <v>2.1604132706281812E-2</v>
      </c>
      <c r="E116" s="200">
        <f>'Weekly Quotes (Yahoo Finance)'!L89-'Analysis (Yahoo Finance)'!C116/52</f>
        <v>0.19514238171717968</v>
      </c>
      <c r="F116" s="200">
        <f>'Weekly Quotes (Yahoo Finance)'!Q89-'Analysis (Yahoo Finance)'!C116/52</f>
        <v>0.11159586122273535</v>
      </c>
      <c r="G116" s="200">
        <f>'Weekly Quotes (Yahoo Finance)'!V89-'Analysis (Yahoo Finance)'!C116/52</f>
        <v>3.4737658975087515E-2</v>
      </c>
      <c r="H116" s="200">
        <f>'Weekly Quotes (Yahoo Finance)'!AA89-'Analysis (Yahoo Finance)'!C116/52</f>
        <v>-1.0919541036318089E-2</v>
      </c>
      <c r="I116" s="200">
        <f>'Weekly Quotes (Yahoo Finance)'!AF89-'Analysis (Yahoo Finance)'!C116/52</f>
        <v>-2.4999999083005466E-5</v>
      </c>
    </row>
    <row r="117" spans="2:9" x14ac:dyDescent="0.3">
      <c r="B117" s="331">
        <v>40053.770833333336</v>
      </c>
      <c r="C117" s="198">
        <v>1.25E-3</v>
      </c>
      <c r="D117" s="200">
        <f>'Weekly Quotes (Yahoo Finance)'!G90-'Analysis (Yahoo Finance)'!C117/52</f>
        <v>3.9576652177308489E-3</v>
      </c>
      <c r="E117" s="200">
        <f>'Weekly Quotes (Yahoo Finance)'!L90-'Analysis (Yahoo Finance)'!C117/52</f>
        <v>3.1080164399546601E-2</v>
      </c>
      <c r="F117" s="200">
        <f>'Weekly Quotes (Yahoo Finance)'!Q90-'Analysis (Yahoo Finance)'!C117/52</f>
        <v>-5.5261907062991557E-3</v>
      </c>
      <c r="G117" s="200">
        <f>'Weekly Quotes (Yahoo Finance)'!V90-'Analysis (Yahoo Finance)'!C117/52</f>
        <v>3.0352186926527042E-2</v>
      </c>
      <c r="H117" s="200">
        <f>'Weekly Quotes (Yahoo Finance)'!AA90-'Analysis (Yahoo Finance)'!C117/52</f>
        <v>0.22084557220932785</v>
      </c>
      <c r="I117" s="200">
        <f>'Weekly Quotes (Yahoo Finance)'!AF90-'Analysis (Yahoo Finance)'!C117/52</f>
        <v>8.0232845582256254E-2</v>
      </c>
    </row>
    <row r="118" spans="2:9" x14ac:dyDescent="0.3">
      <c r="B118" s="331">
        <v>40060.770833333336</v>
      </c>
      <c r="C118" s="198">
        <v>1.3500000536441803E-3</v>
      </c>
      <c r="D118" s="200">
        <f>'Weekly Quotes (Yahoo Finance)'!G91-'Analysis (Yahoo Finance)'!C118/52</f>
        <v>-1.2794386088668308E-2</v>
      </c>
      <c r="E118" s="200">
        <f>'Weekly Quotes (Yahoo Finance)'!L91-'Analysis (Yahoo Finance)'!C118/52</f>
        <v>-6.2620223770798206E-2</v>
      </c>
      <c r="F118" s="200">
        <f>'Weekly Quotes (Yahoo Finance)'!Q91-'Analysis (Yahoo Finance)'!C118/52</f>
        <v>-1.4090821934191417E-3</v>
      </c>
      <c r="G118" s="200">
        <f>'Weekly Quotes (Yahoo Finance)'!V91-'Analysis (Yahoo Finance)'!C118/52</f>
        <v>-3.4556118378406185E-2</v>
      </c>
      <c r="H118" s="200">
        <f>'Weekly Quotes (Yahoo Finance)'!AA91-'Analysis (Yahoo Finance)'!C118/52</f>
        <v>-2.4005094544198601E-2</v>
      </c>
      <c r="I118" s="200">
        <f>'Weekly Quotes (Yahoo Finance)'!AF91-'Analysis (Yahoo Finance)'!C118/52</f>
        <v>-1.5119362643191908E-3</v>
      </c>
    </row>
    <row r="119" spans="2:9" x14ac:dyDescent="0.3">
      <c r="B119" s="331">
        <v>40067.770833333336</v>
      </c>
      <c r="C119" s="198">
        <v>7.9999998211860652E-4</v>
      </c>
      <c r="D119" s="200">
        <f>'Weekly Quotes (Yahoo Finance)'!G92-'Analysis (Yahoo Finance)'!C119/52</f>
        <v>2.6537615084149042E-2</v>
      </c>
      <c r="E119" s="200">
        <f>'Weekly Quotes (Yahoo Finance)'!L92-'Analysis (Yahoo Finance)'!C119/52</f>
        <v>6.4206191058345293E-3</v>
      </c>
      <c r="F119" s="200">
        <f>'Weekly Quotes (Yahoo Finance)'!Q92-'Analysis (Yahoo Finance)'!C119/52</f>
        <v>1.8682772220379347E-2</v>
      </c>
      <c r="G119" s="200">
        <f>'Weekly Quotes (Yahoo Finance)'!V92-'Analysis (Yahoo Finance)'!C119/52</f>
        <v>0.12109819383152393</v>
      </c>
      <c r="H119" s="200">
        <f>'Weekly Quotes (Yahoo Finance)'!AA92-'Analysis (Yahoo Finance)'!C119/52</f>
        <v>5.1310350361113484E-2</v>
      </c>
      <c r="I119" s="200">
        <f>'Weekly Quotes (Yahoo Finance)'!AF92-'Analysis (Yahoo Finance)'!C119/52</f>
        <v>2.9002541965203417E-2</v>
      </c>
    </row>
    <row r="120" spans="2:9" x14ac:dyDescent="0.3">
      <c r="B120" s="331">
        <v>40074.770833333336</v>
      </c>
      <c r="C120" s="198">
        <v>9.0000003576278691E-4</v>
      </c>
      <c r="D120" s="200">
        <f>'Weekly Quotes (Yahoo Finance)'!G93-'Analysis (Yahoo Finance)'!C120/52</f>
        <v>2.344365113485216E-2</v>
      </c>
      <c r="E120" s="200">
        <f>'Weekly Quotes (Yahoo Finance)'!L93-'Analysis (Yahoo Finance)'!C120/52</f>
        <v>0.13507459555707516</v>
      </c>
      <c r="F120" s="200">
        <f>'Weekly Quotes (Yahoo Finance)'!Q93-'Analysis (Yahoo Finance)'!C120/52</f>
        <v>4.7412870217729223E-3</v>
      </c>
      <c r="G120" s="200">
        <f>'Weekly Quotes (Yahoo Finance)'!V93-'Analysis (Yahoo Finance)'!C120/52</f>
        <v>4.0765727918314475E-2</v>
      </c>
      <c r="H120" s="200">
        <f>'Weekly Quotes (Yahoo Finance)'!AA93-'Analysis (Yahoo Finance)'!C120/52</f>
        <v>6.0140017663026034E-2</v>
      </c>
      <c r="I120" s="200">
        <f>'Weekly Quotes (Yahoo Finance)'!AF93-'Analysis (Yahoo Finance)'!C120/52</f>
        <v>-1.730769299543821E-5</v>
      </c>
    </row>
    <row r="121" spans="2:9" x14ac:dyDescent="0.3">
      <c r="B121" s="331">
        <v>40081.770833333336</v>
      </c>
      <c r="C121" s="198">
        <v>9.0000003576278691E-4</v>
      </c>
      <c r="D121" s="200">
        <f>'Weekly Quotes (Yahoo Finance)'!G94-'Analysis (Yahoo Finance)'!C121/52</f>
        <v>-2.1287962176651611E-2</v>
      </c>
      <c r="E121" s="200">
        <f>'Weekly Quotes (Yahoo Finance)'!L94-'Analysis (Yahoo Finance)'!C121/52</f>
        <v>-8.522858553201948E-2</v>
      </c>
      <c r="F121" s="200">
        <f>'Weekly Quotes (Yahoo Finance)'!Q94-'Analysis (Yahoo Finance)'!C121/52</f>
        <v>-5.8880575787467727E-2</v>
      </c>
      <c r="G121" s="200">
        <f>'Weekly Quotes (Yahoo Finance)'!V94-'Analysis (Yahoo Finance)'!C121/52</f>
        <v>-7.6471496645281051E-2</v>
      </c>
      <c r="H121" s="200">
        <f>'Weekly Quotes (Yahoo Finance)'!AA94-'Analysis (Yahoo Finance)'!C121/52</f>
        <v>9.5652282348404095E-4</v>
      </c>
      <c r="I121" s="200">
        <f>'Weekly Quotes (Yahoo Finance)'!AF94-'Analysis (Yahoo Finance)'!C121/52</f>
        <v>1.5890117467500374E-2</v>
      </c>
    </row>
    <row r="122" spans="2:9" x14ac:dyDescent="0.3">
      <c r="B122" s="331">
        <v>40088.770833333336</v>
      </c>
      <c r="C122" s="198">
        <v>6.4999997615814212E-4</v>
      </c>
      <c r="D122" s="200">
        <f>'Weekly Quotes (Yahoo Finance)'!G95-'Analysis (Yahoo Finance)'!C122/52</f>
        <v>-1.8777451093258513E-2</v>
      </c>
      <c r="E122" s="200">
        <f>'Weekly Quotes (Yahoo Finance)'!L95-'Analysis (Yahoo Finance)'!C122/52</f>
        <v>-6.3907801719691515E-2</v>
      </c>
      <c r="F122" s="200">
        <f>'Weekly Quotes (Yahoo Finance)'!Q95-'Analysis (Yahoo Finance)'!C122/52</f>
        <v>-3.1644412609136585E-2</v>
      </c>
      <c r="G122" s="200">
        <f>'Weekly Quotes (Yahoo Finance)'!V95-'Analysis (Yahoo Finance)'!C122/52</f>
        <v>-5.601848669334758E-2</v>
      </c>
      <c r="H122" s="200">
        <f>'Weekly Quotes (Yahoo Finance)'!AA95-'Analysis (Yahoo Finance)'!C122/52</f>
        <v>3.5336354279855171E-3</v>
      </c>
      <c r="I122" s="200">
        <f>'Weekly Quotes (Yahoo Finance)'!AF95-'Analysis (Yahoo Finance)'!C122/52</f>
        <v>-3.4176222787853316E-2</v>
      </c>
    </row>
    <row r="123" spans="2:9" x14ac:dyDescent="0.3">
      <c r="B123" s="331">
        <v>40095.770833333336</v>
      </c>
      <c r="C123" s="198">
        <v>5.9999998658895489E-4</v>
      </c>
      <c r="D123" s="200">
        <f>'Weekly Quotes (Yahoo Finance)'!G96-'Analysis (Yahoo Finance)'!C123/52</f>
        <v>4.6529630158912531E-2</v>
      </c>
      <c r="E123" s="200">
        <f>'Weekly Quotes (Yahoo Finance)'!L96-'Analysis (Yahoo Finance)'!C123/52</f>
        <v>8.3869946310405216E-2</v>
      </c>
      <c r="F123" s="200">
        <f>'Weekly Quotes (Yahoo Finance)'!Q96-'Analysis (Yahoo Finance)'!C123/52</f>
        <v>6.0122037786977882E-2</v>
      </c>
      <c r="G123" s="200">
        <f>'Weekly Quotes (Yahoo Finance)'!V96-'Analysis (Yahoo Finance)'!C123/52</f>
        <v>3.4946510919311329E-2</v>
      </c>
      <c r="H123" s="200">
        <f>'Weekly Quotes (Yahoo Finance)'!AA96-'Analysis (Yahoo Finance)'!C123/52</f>
        <v>6.0059113864521334E-2</v>
      </c>
      <c r="I123" s="200">
        <f>'Weekly Quotes (Yahoo Finance)'!AF96-'Analysis (Yahoo Finance)'!C123/52</f>
        <v>-3.6961369229202667E-3</v>
      </c>
    </row>
    <row r="124" spans="2:9" x14ac:dyDescent="0.3">
      <c r="B124" s="331">
        <v>40102.770833333336</v>
      </c>
      <c r="C124" s="198">
        <v>5.0000000745058064E-4</v>
      </c>
      <c r="D124" s="200">
        <f>'Weekly Quotes (Yahoo Finance)'!G97-'Analysis (Yahoo Finance)'!C124/52</f>
        <v>1.5187076960517543E-2</v>
      </c>
      <c r="E124" s="200">
        <f>'Weekly Quotes (Yahoo Finance)'!L97-'Analysis (Yahoo Finance)'!C124/52</f>
        <v>1.0612569682180795E-2</v>
      </c>
      <c r="F124" s="200">
        <f>'Weekly Quotes (Yahoo Finance)'!Q97-'Analysis (Yahoo Finance)'!C124/52</f>
        <v>3.0802704202500055E-2</v>
      </c>
      <c r="G124" s="200">
        <f>'Weekly Quotes (Yahoo Finance)'!V97-'Analysis (Yahoo Finance)'!C124/52</f>
        <v>1.2922215365794154E-2</v>
      </c>
      <c r="H124" s="200">
        <f>'Weekly Quotes (Yahoo Finance)'!AA97-'Analysis (Yahoo Finance)'!C124/52</f>
        <v>2.4212610228305533E-2</v>
      </c>
      <c r="I124" s="200">
        <f>'Weekly Quotes (Yahoo Finance)'!AF97-'Analysis (Yahoo Finance)'!C124/52</f>
        <v>-9.6153847586650126E-6</v>
      </c>
    </row>
    <row r="125" spans="2:9" x14ac:dyDescent="0.3">
      <c r="B125" s="331">
        <v>40109.770833333336</v>
      </c>
      <c r="C125" s="198">
        <v>4.5000001788139346E-4</v>
      </c>
      <c r="D125" s="200">
        <f>'Weekly Quotes (Yahoo Finance)'!G98-'Analysis (Yahoo Finance)'!C125/52</f>
        <v>-7.4473310724500917E-3</v>
      </c>
      <c r="E125" s="200">
        <f>'Weekly Quotes (Yahoo Finance)'!L98-'Analysis (Yahoo Finance)'!C125/52</f>
        <v>-4.1299977511959227E-2</v>
      </c>
      <c r="F125" s="200">
        <f>'Weekly Quotes (Yahoo Finance)'!Q98-'Analysis (Yahoo Finance)'!C125/52</f>
        <v>-4.8242329016617055E-2</v>
      </c>
      <c r="G125" s="200">
        <f>'Weekly Quotes (Yahoo Finance)'!V98-'Analysis (Yahoo Finance)'!C125/52</f>
        <v>-3.3354690722728883E-2</v>
      </c>
      <c r="H125" s="200">
        <f>'Weekly Quotes (Yahoo Finance)'!AA98-'Analysis (Yahoo Finance)'!C125/52</f>
        <v>-1.8233868639445195E-2</v>
      </c>
      <c r="I125" s="200">
        <f>'Weekly Quotes (Yahoo Finance)'!AF98-'Analysis (Yahoo Finance)'!C125/52</f>
        <v>6.2861170057818008E-2</v>
      </c>
    </row>
    <row r="126" spans="2:9" x14ac:dyDescent="0.3">
      <c r="B126" s="331">
        <v>40116.770833333336</v>
      </c>
      <c r="C126" s="198">
        <v>4.5000001788139346E-4</v>
      </c>
      <c r="D126" s="200">
        <f>'Weekly Quotes (Yahoo Finance)'!G99-'Analysis (Yahoo Finance)'!C126/52</f>
        <v>-4.1829566095614709E-2</v>
      </c>
      <c r="E126" s="200">
        <f>'Weekly Quotes (Yahoo Finance)'!L99-'Analysis (Yahoo Finance)'!C126/52</f>
        <v>-0.18716592014123168</v>
      </c>
      <c r="F126" s="200">
        <f>'Weekly Quotes (Yahoo Finance)'!Q99-'Analysis (Yahoo Finance)'!C126/52</f>
        <v>-6.424852233338206E-2</v>
      </c>
      <c r="G126" s="200">
        <f>'Weekly Quotes (Yahoo Finance)'!V99-'Analysis (Yahoo Finance)'!C126/52</f>
        <v>-9.2656018430571238E-2</v>
      </c>
      <c r="H126" s="200">
        <f>'Weekly Quotes (Yahoo Finance)'!AA99-'Analysis (Yahoo Finance)'!C126/52</f>
        <v>-9.9898166725252854E-2</v>
      </c>
      <c r="I126" s="200">
        <f>'Weekly Quotes (Yahoo Finance)'!AF99-'Analysis (Yahoo Finance)'!C126/52</f>
        <v>-8.6538464977191052E-6</v>
      </c>
    </row>
    <row r="127" spans="2:9" x14ac:dyDescent="0.3">
      <c r="B127" s="331">
        <v>40123.8125</v>
      </c>
      <c r="C127" s="198">
        <v>5.4999999701976776E-4</v>
      </c>
      <c r="D127" s="200">
        <f>'Weekly Quotes (Yahoo Finance)'!G100-'Analysis (Yahoo Finance)'!C127/52</f>
        <v>3.4462190351857193E-2</v>
      </c>
      <c r="E127" s="200">
        <f>'Weekly Quotes (Yahoo Finance)'!L100-'Analysis (Yahoo Finance)'!C127/52</f>
        <v>6.2609708205120268E-2</v>
      </c>
      <c r="F127" s="200">
        <f>'Weekly Quotes (Yahoo Finance)'!Q100-'Analysis (Yahoo Finance)'!C127/52</f>
        <v>2.8212169104773678E-2</v>
      </c>
      <c r="G127" s="200">
        <f>'Weekly Quotes (Yahoo Finance)'!V100-'Analysis (Yahoo Finance)'!C127/52</f>
        <v>4.1918607442804214E-2</v>
      </c>
      <c r="H127" s="200">
        <f>'Weekly Quotes (Yahoo Finance)'!AA100-'Analysis (Yahoo Finance)'!C127/52</f>
        <v>9.0831573936879489E-2</v>
      </c>
      <c r="I127" s="200">
        <f>'Weekly Quotes (Yahoo Finance)'!AF100-'Analysis (Yahoo Finance)'!C127/52</f>
        <v>-1.0576923019610918E-5</v>
      </c>
    </row>
    <row r="128" spans="2:9" x14ac:dyDescent="0.3">
      <c r="B128" s="331">
        <v>40130.8125</v>
      </c>
      <c r="C128" s="198">
        <v>9.9999997764825814E-5</v>
      </c>
      <c r="D128" s="200">
        <f>'Weekly Quotes (Yahoo Finance)'!G101-'Analysis (Yahoo Finance)'!C128/52</f>
        <v>2.3240917929396733E-2</v>
      </c>
      <c r="E128" s="200">
        <f>'Weekly Quotes (Yahoo Finance)'!L101-'Analysis (Yahoo Finance)'!C128/52</f>
        <v>4.895551019838993E-2</v>
      </c>
      <c r="F128" s="200">
        <f>'Weekly Quotes (Yahoo Finance)'!Q101-'Analysis (Yahoo Finance)'!C128/52</f>
        <v>-1.9230768800928042E-6</v>
      </c>
      <c r="G128" s="200">
        <f>'Weekly Quotes (Yahoo Finance)'!V101-'Analysis (Yahoo Finance)'!C128/52</f>
        <v>6.878849178212445E-3</v>
      </c>
      <c r="H128" s="200">
        <f>'Weekly Quotes (Yahoo Finance)'!AA101-'Analysis (Yahoo Finance)'!C128/52</f>
        <v>5.4015666601131197E-2</v>
      </c>
      <c r="I128" s="200">
        <f>'Weekly Quotes (Yahoo Finance)'!AF101-'Analysis (Yahoo Finance)'!C128/52</f>
        <v>-1.9230768800928042E-6</v>
      </c>
    </row>
    <row r="129" spans="2:9" x14ac:dyDescent="0.3">
      <c r="B129" s="331">
        <v>40137.8125</v>
      </c>
      <c r="C129" s="198">
        <v>2.5000000372529032E-4</v>
      </c>
      <c r="D129" s="200">
        <f>'Weekly Quotes (Yahoo Finance)'!G102-'Analysis (Yahoo Finance)'!C129/52</f>
        <v>-1.7380902744414005E-3</v>
      </c>
      <c r="E129" s="200">
        <f>'Weekly Quotes (Yahoo Finance)'!L102-'Analysis (Yahoo Finance)'!C129/52</f>
        <v>-4.1491377263144794E-2</v>
      </c>
      <c r="F129" s="200">
        <f>'Weekly Quotes (Yahoo Finance)'!Q102-'Analysis (Yahoo Finance)'!C129/52</f>
        <v>-4.8076923793325063E-6</v>
      </c>
      <c r="G129" s="200">
        <f>'Weekly Quotes (Yahoo Finance)'!V102-'Analysis (Yahoo Finance)'!C129/52</f>
        <v>3.0643349569519734E-2</v>
      </c>
      <c r="H129" s="200">
        <f>'Weekly Quotes (Yahoo Finance)'!AA102-'Analysis (Yahoo Finance)'!C129/52</f>
        <v>-6.6628822738072482E-2</v>
      </c>
      <c r="I129" s="200">
        <f>'Weekly Quotes (Yahoo Finance)'!AF102-'Analysis (Yahoo Finance)'!C129/52</f>
        <v>-4.8076923793325063E-6</v>
      </c>
    </row>
    <row r="130" spans="2:9" x14ac:dyDescent="0.3">
      <c r="B130" s="331">
        <v>40144.8125</v>
      </c>
      <c r="C130" s="198">
        <v>3.9999999105930326E-4</v>
      </c>
      <c r="D130" s="200">
        <f>'Weekly Quotes (Yahoo Finance)'!G103-'Analysis (Yahoo Finance)'!C130/52</f>
        <v>1.2716587777214265E-3</v>
      </c>
      <c r="E130" s="200">
        <f>'Weekly Quotes (Yahoo Finance)'!L103-'Analysis (Yahoo Finance)'!C130/52</f>
        <v>-9.9265886439659744E-3</v>
      </c>
      <c r="F130" s="200">
        <f>'Weekly Quotes (Yahoo Finance)'!Q103-'Analysis (Yahoo Finance)'!C130/52</f>
        <v>-7.6923075203712166E-6</v>
      </c>
      <c r="G130" s="200">
        <f>'Weekly Quotes (Yahoo Finance)'!V103-'Analysis (Yahoo Finance)'!C130/52</f>
        <v>-1.6684441823708398E-2</v>
      </c>
      <c r="H130" s="200">
        <f>'Weekly Quotes (Yahoo Finance)'!AA103-'Analysis (Yahoo Finance)'!C130/52</f>
        <v>1.6464539121989894E-2</v>
      </c>
      <c r="I130" s="200">
        <f>'Weekly Quotes (Yahoo Finance)'!AF103-'Analysis (Yahoo Finance)'!C130/52</f>
        <v>-7.6923075203712166E-6</v>
      </c>
    </row>
    <row r="131" spans="2:9" x14ac:dyDescent="0.3">
      <c r="B131" s="331">
        <v>40151.8125</v>
      </c>
      <c r="C131" s="198">
        <v>1.9999999552965163E-4</v>
      </c>
      <c r="D131" s="200">
        <f>'Weekly Quotes (Yahoo Finance)'!G104-'Analysis (Yahoo Finance)'!C131/52</f>
        <v>1.3138459636300408E-2</v>
      </c>
      <c r="E131" s="200">
        <f>'Weekly Quotes (Yahoo Finance)'!L104-'Analysis (Yahoo Finance)'!C131/52</f>
        <v>5.1908749477120389E-2</v>
      </c>
      <c r="F131" s="200">
        <f>'Weekly Quotes (Yahoo Finance)'!Q104-'Analysis (Yahoo Finance)'!C131/52</f>
        <v>0.1416875444490919</v>
      </c>
      <c r="G131" s="200">
        <f>'Weekly Quotes (Yahoo Finance)'!V104-'Analysis (Yahoo Finance)'!C131/52</f>
        <v>6.9791105555749456E-3</v>
      </c>
      <c r="H131" s="200">
        <f>'Weekly Quotes (Yahoo Finance)'!AA104-'Analysis (Yahoo Finance)'!C131/52</f>
        <v>7.1794456902685558E-2</v>
      </c>
      <c r="I131" s="200">
        <f>'Weekly Quotes (Yahoo Finance)'!AF104-'Analysis (Yahoo Finance)'!C131/52</f>
        <v>-3.8461537601856083E-6</v>
      </c>
    </row>
    <row r="132" spans="2:9" x14ac:dyDescent="0.3">
      <c r="B132" s="331">
        <v>40158.8125</v>
      </c>
      <c r="C132" s="198">
        <v>3.9999999105930326E-4</v>
      </c>
      <c r="D132" s="200">
        <f>'Weekly Quotes (Yahoo Finance)'!G105-'Analysis (Yahoo Finance)'!C132/52</f>
        <v>8.9311367569525329E-4</v>
      </c>
      <c r="E132" s="200">
        <f>'Weekly Quotes (Yahoo Finance)'!L105-'Analysis (Yahoo Finance)'!C132/52</f>
        <v>-2.4250079191722142E-2</v>
      </c>
      <c r="F132" s="200">
        <f>'Weekly Quotes (Yahoo Finance)'!Q105-'Analysis (Yahoo Finance)'!C132/52</f>
        <v>1.0388733566478434E-2</v>
      </c>
      <c r="G132" s="200">
        <f>'Weekly Quotes (Yahoo Finance)'!V105-'Analysis (Yahoo Finance)'!C132/52</f>
        <v>-2.3462673743645381E-2</v>
      </c>
      <c r="H132" s="200">
        <f>'Weekly Quotes (Yahoo Finance)'!AA105-'Analysis (Yahoo Finance)'!C132/52</f>
        <v>-1.3027409774788969E-2</v>
      </c>
      <c r="I132" s="200">
        <f>'Weekly Quotes (Yahoo Finance)'!AF105-'Analysis (Yahoo Finance)'!C132/52</f>
        <v>-7.6923075203712166E-6</v>
      </c>
    </row>
    <row r="133" spans="2:9" x14ac:dyDescent="0.3">
      <c r="B133" s="331">
        <v>40165.8125</v>
      </c>
      <c r="C133" s="198">
        <v>3.9999999105930326E-4</v>
      </c>
      <c r="D133" s="200">
        <f>'Weekly Quotes (Yahoo Finance)'!G106-'Analysis (Yahoo Finance)'!C133/52</f>
        <v>-2.7977339255204877E-3</v>
      </c>
      <c r="E133" s="200">
        <f>'Weekly Quotes (Yahoo Finance)'!L106-'Analysis (Yahoo Finance)'!C133/52</f>
        <v>3.0160933349688088E-2</v>
      </c>
      <c r="F133" s="200">
        <f>'Weekly Quotes (Yahoo Finance)'!Q106-'Analysis (Yahoo Finance)'!C133/52</f>
        <v>1.9215091716301728E-3</v>
      </c>
      <c r="G133" s="200">
        <f>'Weekly Quotes (Yahoo Finance)'!V106-'Analysis (Yahoo Finance)'!C133/52</f>
        <v>3.9674798686551688E-2</v>
      </c>
      <c r="H133" s="200">
        <f>'Weekly Quotes (Yahoo Finance)'!AA106-'Analysis (Yahoo Finance)'!C133/52</f>
        <v>2.658805237333076E-2</v>
      </c>
      <c r="I133" s="200">
        <f>'Weekly Quotes (Yahoo Finance)'!AF106-'Analysis (Yahoo Finance)'!C133/52</f>
        <v>-7.6923075203712166E-6</v>
      </c>
    </row>
    <row r="134" spans="2:9" x14ac:dyDescent="0.3">
      <c r="B134" s="331">
        <v>40171.8125</v>
      </c>
      <c r="C134" s="198">
        <v>5.0000000745058064E-4</v>
      </c>
      <c r="D134" s="200">
        <f>'Weekly Quotes (Yahoo Finance)'!G107-'Analysis (Yahoo Finance)'!C134/52</f>
        <v>2.0587465563595555E-2</v>
      </c>
      <c r="E134" s="200">
        <f>'Weekly Quotes (Yahoo Finance)'!L107-'Analysis (Yahoo Finance)'!C134/52</f>
        <v>3.4443342147640409E-2</v>
      </c>
      <c r="F134" s="200">
        <f>'Weekly Quotes (Yahoo Finance)'!Q107-'Analysis (Yahoo Finance)'!C134/52</f>
        <v>2.4380638550385716E-2</v>
      </c>
      <c r="G134" s="200">
        <f>'Weekly Quotes (Yahoo Finance)'!V107-'Analysis (Yahoo Finance)'!C134/52</f>
        <v>7.5321844879551375E-2</v>
      </c>
      <c r="H134" s="200">
        <f>'Weekly Quotes (Yahoo Finance)'!AA107-'Analysis (Yahoo Finance)'!C134/52</f>
        <v>-3.1184552993474331E-3</v>
      </c>
      <c r="I134" s="200">
        <f>'Weekly Quotes (Yahoo Finance)'!AF107-'Analysis (Yahoo Finance)'!C134/52</f>
        <v>-9.6153847586650126E-6</v>
      </c>
    </row>
    <row r="135" spans="2:9" x14ac:dyDescent="0.3">
      <c r="B135" s="331">
        <v>40178.8125</v>
      </c>
      <c r="C135" s="198">
        <v>3.9999999105930326E-4</v>
      </c>
      <c r="D135" s="200">
        <f>'Weekly Quotes (Yahoo Finance)'!G108-'Analysis (Yahoo Finance)'!C135/52</f>
        <v>-9.2537883644977191E-3</v>
      </c>
      <c r="E135" s="200">
        <f>'Weekly Quotes (Yahoo Finance)'!L108-'Analysis (Yahoo Finance)'!C135/52</f>
        <v>-1.5827749990099362E-2</v>
      </c>
      <c r="F135" s="200">
        <f>'Weekly Quotes (Yahoo Finance)'!Q108-'Analysis (Yahoo Finance)'!C135/52</f>
        <v>1.4403330481079477E-2</v>
      </c>
      <c r="G135" s="200">
        <f>'Weekly Quotes (Yahoo Finance)'!V108-'Analysis (Yahoo Finance)'!C135/52</f>
        <v>-1.6073461595080576E-2</v>
      </c>
      <c r="H135" s="200">
        <f>'Weekly Quotes (Yahoo Finance)'!AA108-'Analysis (Yahoo Finance)'!C135/52</f>
        <v>2.6950326870588707E-3</v>
      </c>
      <c r="I135" s="200">
        <f>'Weekly Quotes (Yahoo Finance)'!AF108-'Analysis (Yahoo Finance)'!C135/52</f>
        <v>-7.6923075203712166E-6</v>
      </c>
    </row>
    <row r="136" spans="2:9" x14ac:dyDescent="0.3">
      <c r="B136" s="331">
        <v>40186.8125</v>
      </c>
      <c r="C136" s="198">
        <v>5.4999999701976776E-4</v>
      </c>
      <c r="D136" s="200">
        <f>'Weekly Quotes (Yahoo Finance)'!G109-'Analysis (Yahoo Finance)'!C136/52</f>
        <v>2.8076260701231738E-2</v>
      </c>
      <c r="E136" s="200">
        <f>'Weekly Quotes (Yahoo Finance)'!L109-'Analysis (Yahoo Finance)'!C136/52</f>
        <v>4.9904729328187604E-2</v>
      </c>
      <c r="F136" s="200">
        <f>'Weekly Quotes (Yahoo Finance)'!Q109-'Analysis (Yahoo Finance)'!C136/52</f>
        <v>1.6666370105424856E-2</v>
      </c>
      <c r="G136" s="200">
        <f>'Weekly Quotes (Yahoo Finance)'!V109-'Analysis (Yahoo Finance)'!C136/52</f>
        <v>-3.9023600336093227E-4</v>
      </c>
      <c r="H136" s="200">
        <f>'Weekly Quotes (Yahoo Finance)'!AA109-'Analysis (Yahoo Finance)'!C136/52</f>
        <v>6.0532695134975202E-2</v>
      </c>
      <c r="I136" s="200">
        <f>'Weekly Quotes (Yahoo Finance)'!AF109-'Analysis (Yahoo Finance)'!C136/52</f>
        <v>0.10994073405333785</v>
      </c>
    </row>
    <row r="137" spans="2:9" x14ac:dyDescent="0.3">
      <c r="B137" s="331">
        <v>40193.8125</v>
      </c>
      <c r="C137" s="198">
        <v>4.5000001788139346E-4</v>
      </c>
      <c r="D137" s="200">
        <f>'Weekly Quotes (Yahoo Finance)'!G110-'Analysis (Yahoo Finance)'!C137/52</f>
        <v>-8.1259647276444753E-3</v>
      </c>
      <c r="E137" s="200">
        <f>'Weekly Quotes (Yahoo Finance)'!L110-'Analysis (Yahoo Finance)'!C137/52</f>
        <v>-5.3191552279214113E-2</v>
      </c>
      <c r="F137" s="200">
        <f>'Weekly Quotes (Yahoo Finance)'!Q110-'Analysis (Yahoo Finance)'!C137/52</f>
        <v>-6.0839649269541661E-3</v>
      </c>
      <c r="G137" s="200">
        <f>'Weekly Quotes (Yahoo Finance)'!V110-'Analysis (Yahoo Finance)'!C137/52</f>
        <v>-2.8308779872789003E-2</v>
      </c>
      <c r="H137" s="200">
        <f>'Weekly Quotes (Yahoo Finance)'!AA110-'Analysis (Yahoo Finance)'!C137/52</f>
        <v>-2.2491576457889562E-2</v>
      </c>
      <c r="I137" s="200">
        <f>'Weekly Quotes (Yahoo Finance)'!AF110-'Analysis (Yahoo Finance)'!C137/52</f>
        <v>-8.6538464977191052E-6</v>
      </c>
    </row>
    <row r="138" spans="2:9" x14ac:dyDescent="0.3">
      <c r="B138" s="331">
        <v>40200.8125</v>
      </c>
      <c r="C138" s="198">
        <v>7.0000000298023226E-4</v>
      </c>
      <c r="D138" s="200">
        <f>'Weekly Quotes (Yahoo Finance)'!G111-'Analysis (Yahoo Finance)'!C138/52</f>
        <v>-3.8996216985271413E-2</v>
      </c>
      <c r="E138" s="200">
        <f>'Weekly Quotes (Yahoo Finance)'!L111-'Analysis (Yahoo Finance)'!C138/52</f>
        <v>-0.10214113946753429</v>
      </c>
      <c r="F138" s="200">
        <f>'Weekly Quotes (Yahoo Finance)'!Q111-'Analysis (Yahoo Finance)'!C138/52</f>
        <v>-7.4585597657008409E-2</v>
      </c>
      <c r="G138" s="200">
        <f>'Weekly Quotes (Yahoo Finance)'!V111-'Analysis (Yahoo Finance)'!C138/52</f>
        <v>-8.0154166901098847E-2</v>
      </c>
      <c r="H138" s="200">
        <f>'Weekly Quotes (Yahoo Finance)'!AA111-'Analysis (Yahoo Finance)'!C138/52</f>
        <v>-0.10021342796918294</v>
      </c>
      <c r="I138" s="200">
        <f>'Weekly Quotes (Yahoo Finance)'!AF111-'Analysis (Yahoo Finance)'!C138/52</f>
        <v>-6.6471180055858128E-2</v>
      </c>
    </row>
    <row r="139" spans="2:9" x14ac:dyDescent="0.3">
      <c r="B139" s="331">
        <v>40207.8125</v>
      </c>
      <c r="C139" s="198">
        <v>8.5000000894069677E-4</v>
      </c>
      <c r="D139" s="200">
        <f>'Weekly Quotes (Yahoo Finance)'!G112-'Analysis (Yahoo Finance)'!C139/52</f>
        <v>-1.668148405422494E-2</v>
      </c>
      <c r="E139" s="200">
        <f>'Weekly Quotes (Yahoo Finance)'!L112-'Analysis (Yahoo Finance)'!C139/52</f>
        <v>-0.12892634743964221</v>
      </c>
      <c r="F139" s="200">
        <f>'Weekly Quotes (Yahoo Finance)'!Q112-'Analysis (Yahoo Finance)'!C139/52</f>
        <v>-3.1720426308376862E-2</v>
      </c>
      <c r="G139" s="200">
        <f>'Weekly Quotes (Yahoo Finance)'!V112-'Analysis (Yahoo Finance)'!C139/52</f>
        <v>-6.1002378088367018E-2</v>
      </c>
      <c r="H139" s="200">
        <f>'Weekly Quotes (Yahoo Finance)'!AA112-'Analysis (Yahoo Finance)'!C139/52</f>
        <v>-2.7133509416695858E-2</v>
      </c>
      <c r="I139" s="200">
        <f>'Weekly Quotes (Yahoo Finance)'!AF112-'Analysis (Yahoo Finance)'!C139/52</f>
        <v>1.5833222060150073E-2</v>
      </c>
    </row>
    <row r="140" spans="2:9" x14ac:dyDescent="0.3">
      <c r="B140" s="331">
        <v>40214.8125</v>
      </c>
      <c r="C140" s="198">
        <v>9.0000003576278691E-4</v>
      </c>
      <c r="D140" s="200">
        <f>'Weekly Quotes (Yahoo Finance)'!G113-'Analysis (Yahoo Finance)'!C140/52</f>
        <v>-6.8149213598917898E-3</v>
      </c>
      <c r="E140" s="200">
        <f>'Weekly Quotes (Yahoo Finance)'!L113-'Analysis (Yahoo Finance)'!C140/52</f>
        <v>1.7393017188300573E-2</v>
      </c>
      <c r="F140" s="200">
        <f>'Weekly Quotes (Yahoo Finance)'!Q113-'Analysis (Yahoo Finance)'!C140/52</f>
        <v>-5.1859074218599567E-2</v>
      </c>
      <c r="G140" s="200">
        <f>'Weekly Quotes (Yahoo Finance)'!V113-'Analysis (Yahoo Finance)'!C140/52</f>
        <v>-1.2010944166578197E-2</v>
      </c>
      <c r="H140" s="200">
        <f>'Weekly Quotes (Yahoo Finance)'!AA113-'Analysis (Yahoo Finance)'!C140/52</f>
        <v>-5.370710125573528E-2</v>
      </c>
      <c r="I140" s="200">
        <f>'Weekly Quotes (Yahoo Finance)'!AF113-'Analysis (Yahoo Finance)'!C140/52</f>
        <v>-1.730769299543821E-5</v>
      </c>
    </row>
    <row r="141" spans="2:9" x14ac:dyDescent="0.3">
      <c r="B141" s="331">
        <v>40221.8125</v>
      </c>
      <c r="C141" s="198">
        <v>9.4999998807907102E-4</v>
      </c>
      <c r="D141" s="200">
        <f>'Weekly Quotes (Yahoo Finance)'!G114-'Analysis (Yahoo Finance)'!C141/52</f>
        <v>1.2920013218705903E-2</v>
      </c>
      <c r="E141" s="200">
        <f>'Weekly Quotes (Yahoo Finance)'!L114-'Analysis (Yahoo Finance)'!C141/52</f>
        <v>1.8163506713767496E-2</v>
      </c>
      <c r="F141" s="200">
        <f>'Weekly Quotes (Yahoo Finance)'!Q114-'Analysis (Yahoo Finance)'!C141/52</f>
        <v>-1.4571126784251229E-3</v>
      </c>
      <c r="G141" s="200">
        <f>'Weekly Quotes (Yahoo Finance)'!V114-'Analysis (Yahoo Finance)'!C141/52</f>
        <v>-1.6509364586001874E-2</v>
      </c>
      <c r="H141" s="200">
        <f>'Weekly Quotes (Yahoo Finance)'!AA114-'Analysis (Yahoo Finance)'!C141/52</f>
        <v>-4.6372645228191116E-2</v>
      </c>
      <c r="I141" s="200">
        <f>'Weekly Quotes (Yahoo Finance)'!AF114-'Analysis (Yahoo Finance)'!C141/52</f>
        <v>-0.15048762883247585</v>
      </c>
    </row>
    <row r="142" spans="2:9" x14ac:dyDescent="0.3">
      <c r="B142" s="331">
        <v>40228.8125</v>
      </c>
      <c r="C142" s="198">
        <v>1.1500000208616258E-3</v>
      </c>
      <c r="D142" s="200">
        <f>'Weekly Quotes (Yahoo Finance)'!G115-'Analysis (Yahoo Finance)'!C142/52</f>
        <v>2.8670946886843844E-2</v>
      </c>
      <c r="E142" s="200">
        <f>'Weekly Quotes (Yahoo Finance)'!L115-'Analysis (Yahoo Finance)'!C142/52</f>
        <v>2.6238425831090866E-2</v>
      </c>
      <c r="F142" s="200">
        <f>'Weekly Quotes (Yahoo Finance)'!Q115-'Analysis (Yahoo Finance)'!C142/52</f>
        <v>5.1851116727468276E-2</v>
      </c>
      <c r="G142" s="200">
        <f>'Weekly Quotes (Yahoo Finance)'!V115-'Analysis (Yahoo Finance)'!C142/52</f>
        <v>5.9595990231285749E-2</v>
      </c>
      <c r="H142" s="200">
        <f>'Weekly Quotes (Yahoo Finance)'!AA115-'Analysis (Yahoo Finance)'!C142/52</f>
        <v>2.2762733371411374E-2</v>
      </c>
      <c r="I142" s="200">
        <f>'Weekly Quotes (Yahoo Finance)'!AF115-'Analysis (Yahoo Finance)'!C142/52</f>
        <v>-2.2115385016569727E-5</v>
      </c>
    </row>
    <row r="143" spans="2:9" x14ac:dyDescent="0.3">
      <c r="B143" s="331">
        <v>40235.8125</v>
      </c>
      <c r="C143" s="198">
        <v>1.4499999582767487E-3</v>
      </c>
      <c r="D143" s="200">
        <f>'Weekly Quotes (Yahoo Finance)'!G116-'Analysis (Yahoo Finance)'!C143/52</f>
        <v>-3.6269626069845781E-3</v>
      </c>
      <c r="E143" s="200">
        <f>'Weekly Quotes (Yahoo Finance)'!L116-'Analysis (Yahoo Finance)'!C143/52</f>
        <v>-2.1522252545007052E-2</v>
      </c>
      <c r="F143" s="200">
        <f>'Weekly Quotes (Yahoo Finance)'!Q116-'Analysis (Yahoo Finance)'!C143/52</f>
        <v>-2.674027539111478E-2</v>
      </c>
      <c r="G143" s="200">
        <f>'Weekly Quotes (Yahoo Finance)'!V116-'Analysis (Yahoo Finance)'!C143/52</f>
        <v>-4.0467448407722643E-2</v>
      </c>
      <c r="H143" s="200">
        <f>'Weekly Quotes (Yahoo Finance)'!AA116-'Analysis (Yahoo Finance)'!C143/52</f>
        <v>-7.3666552348608749E-2</v>
      </c>
      <c r="I143" s="200">
        <f>'Weekly Quotes (Yahoo Finance)'!AF116-'Analysis (Yahoo Finance)'!C143/52</f>
        <v>-2.7884614582245168E-5</v>
      </c>
    </row>
    <row r="144" spans="2:9" x14ac:dyDescent="0.3">
      <c r="B144" s="331">
        <v>40242.8125</v>
      </c>
      <c r="C144" s="198">
        <v>1.4000000059604645E-3</v>
      </c>
      <c r="D144" s="200">
        <f>'Weekly Quotes (Yahoo Finance)'!G117-'Analysis (Yahoo Finance)'!C144/52</f>
        <v>3.1668961011278883E-2</v>
      </c>
      <c r="E144" s="200">
        <f>'Weekly Quotes (Yahoo Finance)'!L117-'Analysis (Yahoo Finance)'!C144/52</f>
        <v>6.0642492455605566E-2</v>
      </c>
      <c r="F144" s="200">
        <f>'Weekly Quotes (Yahoo Finance)'!Q117-'Analysis (Yahoo Finance)'!C144/52</f>
        <v>7.3864705315811532E-2</v>
      </c>
      <c r="G144" s="200">
        <f>'Weekly Quotes (Yahoo Finance)'!V117-'Analysis (Yahoo Finance)'!C144/52</f>
        <v>3.8673844282580992E-2</v>
      </c>
      <c r="H144" s="200">
        <f>'Weekly Quotes (Yahoo Finance)'!AA117-'Analysis (Yahoo Finance)'!C144/52</f>
        <v>9.5497481353658056E-2</v>
      </c>
      <c r="I144" s="200">
        <f>'Weekly Quotes (Yahoo Finance)'!AF117-'Analysis (Yahoo Finance)'!C144/52</f>
        <v>3.7638418073862111E-2</v>
      </c>
    </row>
    <row r="145" spans="2:9" x14ac:dyDescent="0.3">
      <c r="B145" s="331">
        <v>40249.8125</v>
      </c>
      <c r="C145" s="198">
        <v>1.4499999582767487E-3</v>
      </c>
      <c r="D145" s="200">
        <f>'Weekly Quotes (Yahoo Finance)'!G118-'Analysis (Yahoo Finance)'!C145/52</f>
        <v>1.0562917000058077E-2</v>
      </c>
      <c r="E145" s="200">
        <f>'Weekly Quotes (Yahoo Finance)'!L118-'Analysis (Yahoo Finance)'!C145/52</f>
        <v>3.153035477586897E-2</v>
      </c>
      <c r="F145" s="200">
        <f>'Weekly Quotes (Yahoo Finance)'!Q118-'Analysis (Yahoo Finance)'!C145/52</f>
        <v>1.282726421197207E-3</v>
      </c>
      <c r="G145" s="200">
        <f>'Weekly Quotes (Yahoo Finance)'!V118-'Analysis (Yahoo Finance)'!C145/52</f>
        <v>3.7423120669444268E-3</v>
      </c>
      <c r="H145" s="200">
        <f>'Weekly Quotes (Yahoo Finance)'!AA118-'Analysis (Yahoo Finance)'!C145/52</f>
        <v>1.7045304725404449E-2</v>
      </c>
      <c r="I145" s="200">
        <f>'Weekly Quotes (Yahoo Finance)'!AF118-'Analysis (Yahoo Finance)'!C145/52</f>
        <v>7.691834342959436E-2</v>
      </c>
    </row>
    <row r="146" spans="2:9" x14ac:dyDescent="0.3">
      <c r="B146" s="331">
        <v>40256.770833333336</v>
      </c>
      <c r="C146" s="198">
        <v>1.2999999523162842E-3</v>
      </c>
      <c r="D146" s="200">
        <f>'Weekly Quotes (Yahoo Finance)'!G119-'Analysis (Yahoo Finance)'!C146/52</f>
        <v>8.5494166307505982E-3</v>
      </c>
      <c r="E146" s="200">
        <f>'Weekly Quotes (Yahoo Finance)'!L119-'Analysis (Yahoo Finance)'!C146/52</f>
        <v>1.7183427119968567E-2</v>
      </c>
      <c r="F146" s="200">
        <f>'Weekly Quotes (Yahoo Finance)'!Q119-'Analysis (Yahoo Finance)'!C146/52</f>
        <v>3.531539044458476E-2</v>
      </c>
      <c r="G146" s="200">
        <f>'Weekly Quotes (Yahoo Finance)'!V119-'Analysis (Yahoo Finance)'!C146/52</f>
        <v>7.3108042335039758E-2</v>
      </c>
      <c r="H146" s="200">
        <f>'Weekly Quotes (Yahoo Finance)'!AA119-'Analysis (Yahoo Finance)'!C146/52</f>
        <v>4.0982171540165591E-2</v>
      </c>
      <c r="I146" s="200">
        <f>'Weekly Quotes (Yahoo Finance)'!AF119-'Analysis (Yahoo Finance)'!C146/52</f>
        <v>4.0364885421867114E-2</v>
      </c>
    </row>
    <row r="147" spans="2:9" x14ac:dyDescent="0.3">
      <c r="B147" s="331">
        <v>40263.770833333336</v>
      </c>
      <c r="C147" s="198">
        <v>1.5000000596046448E-3</v>
      </c>
      <c r="D147" s="200">
        <f>'Weekly Quotes (Yahoo Finance)'!G120-'Analysis (Yahoo Finance)'!C147/52</f>
        <v>5.2311400822300609E-3</v>
      </c>
      <c r="E147" s="200">
        <f>'Weekly Quotes (Yahoo Finance)'!L120-'Analysis (Yahoo Finance)'!C147/52</f>
        <v>-5.5480043897642904E-2</v>
      </c>
      <c r="F147" s="200">
        <f>'Weekly Quotes (Yahoo Finance)'!Q120-'Analysis (Yahoo Finance)'!C147/52</f>
        <v>-1.0142688532989681E-2</v>
      </c>
      <c r="G147" s="200">
        <f>'Weekly Quotes (Yahoo Finance)'!V120-'Analysis (Yahoo Finance)'!C147/52</f>
        <v>-1.6294049376962622E-2</v>
      </c>
      <c r="H147" s="200">
        <f>'Weekly Quotes (Yahoo Finance)'!AA120-'Analysis (Yahoo Finance)'!C147/52</f>
        <v>-6.2226514259808373E-2</v>
      </c>
      <c r="I147" s="200">
        <f>'Weekly Quotes (Yahoo Finance)'!AF120-'Analysis (Yahoo Finance)'!C147/52</f>
        <v>3.9872591196259783E-3</v>
      </c>
    </row>
    <row r="148" spans="2:9" x14ac:dyDescent="0.3">
      <c r="B148" s="331">
        <v>40269.770833333336</v>
      </c>
      <c r="C148" s="198">
        <v>1.5000000596046448E-3</v>
      </c>
      <c r="D148" s="200">
        <f>'Weekly Quotes (Yahoo Finance)'!G121-'Analysis (Yahoo Finance)'!C148/52</f>
        <v>1.043608094692287E-2</v>
      </c>
      <c r="E148" s="200">
        <f>'Weekly Quotes (Yahoo Finance)'!L121-'Analysis (Yahoo Finance)'!C148/52</f>
        <v>3.4797001791995887E-2</v>
      </c>
      <c r="F148" s="200">
        <f>'Weekly Quotes (Yahoo Finance)'!Q121-'Analysis (Yahoo Finance)'!C148/52</f>
        <v>1.7851137385392273E-2</v>
      </c>
      <c r="G148" s="200">
        <f>'Weekly Quotes (Yahoo Finance)'!V121-'Analysis (Yahoo Finance)'!C148/52</f>
        <v>2.7388512713979279E-2</v>
      </c>
      <c r="H148" s="200">
        <f>'Weekly Quotes (Yahoo Finance)'!AA121-'Analysis (Yahoo Finance)'!C148/52</f>
        <v>3.4115084596865443E-2</v>
      </c>
      <c r="I148" s="200">
        <f>'Weekly Quotes (Yahoo Finance)'!AF121-'Analysis (Yahoo Finance)'!C148/52</f>
        <v>-2.8846154992397017E-5</v>
      </c>
    </row>
    <row r="149" spans="2:9" x14ac:dyDescent="0.3">
      <c r="B149" s="331">
        <v>40277.770833333336</v>
      </c>
      <c r="C149" s="198">
        <v>1.5000000596046448E-3</v>
      </c>
      <c r="D149" s="200">
        <f>'Weekly Quotes (Yahoo Finance)'!G122-'Analysis (Yahoo Finance)'!C149/52</f>
        <v>1.4826841066264234E-2</v>
      </c>
      <c r="E149" s="200">
        <f>'Weekly Quotes (Yahoo Finance)'!L122-'Analysis (Yahoo Finance)'!C149/52</f>
        <v>4.3240481677016253E-2</v>
      </c>
      <c r="F149" s="200">
        <f>'Weekly Quotes (Yahoo Finance)'!Q122-'Analysis (Yahoo Finance)'!C149/52</f>
        <v>6.2446556048345965E-3</v>
      </c>
      <c r="G149" s="200">
        <f>'Weekly Quotes (Yahoo Finance)'!V122-'Analysis (Yahoo Finance)'!C149/52</f>
        <v>-1.3677287417163748E-2</v>
      </c>
      <c r="H149" s="200">
        <f>'Weekly Quotes (Yahoo Finance)'!AA122-'Analysis (Yahoo Finance)'!C149/52</f>
        <v>4.9496165121470516E-2</v>
      </c>
      <c r="I149" s="200">
        <f>'Weekly Quotes (Yahoo Finance)'!AF122-'Analysis (Yahoo Finance)'!C149/52</f>
        <v>-2.8846154992397017E-5</v>
      </c>
    </row>
    <row r="150" spans="2:9" x14ac:dyDescent="0.3">
      <c r="B150" s="331">
        <v>40284.770833333336</v>
      </c>
      <c r="C150" s="198">
        <v>1.550000011920929E-3</v>
      </c>
      <c r="D150" s="200">
        <f>'Weekly Quotes (Yahoo Finance)'!G123-'Analysis (Yahoo Finance)'!C150/52</f>
        <v>-1.619121256368237E-3</v>
      </c>
      <c r="E150" s="200">
        <f>'Weekly Quotes (Yahoo Finance)'!L123-'Analysis (Yahoo Finance)'!C150/52</f>
        <v>-2.2149715409291924E-2</v>
      </c>
      <c r="F150" s="200">
        <f>'Weekly Quotes (Yahoo Finance)'!Q123-'Analysis (Yahoo Finance)'!C150/52</f>
        <v>2.0543730244799243E-2</v>
      </c>
      <c r="G150" s="200">
        <f>'Weekly Quotes (Yahoo Finance)'!V123-'Analysis (Yahoo Finance)'!C150/52</f>
        <v>9.2494015652150735E-2</v>
      </c>
      <c r="H150" s="200">
        <f>'Weekly Quotes (Yahoo Finance)'!AA123-'Analysis (Yahoo Finance)'!C150/52</f>
        <v>2.8712987787636392E-2</v>
      </c>
      <c r="I150" s="200">
        <f>'Weekly Quotes (Yahoo Finance)'!AF123-'Analysis (Yahoo Finance)'!C150/52</f>
        <v>-2.9807692536940942E-5</v>
      </c>
    </row>
    <row r="151" spans="2:9" x14ac:dyDescent="0.3">
      <c r="B151" s="331">
        <v>40291.770833333336</v>
      </c>
      <c r="C151" s="198">
        <v>1.550000011920929E-3</v>
      </c>
      <c r="D151" s="200">
        <f>'Weekly Quotes (Yahoo Finance)'!G124-'Analysis (Yahoo Finance)'!C151/52</f>
        <v>2.0496306045013592E-2</v>
      </c>
      <c r="E151" s="200">
        <f>'Weekly Quotes (Yahoo Finance)'!L124-'Analysis (Yahoo Finance)'!C151/52</f>
        <v>0.13474871751025394</v>
      </c>
      <c r="F151" s="200">
        <f>'Weekly Quotes (Yahoo Finance)'!Q124-'Analysis (Yahoo Finance)'!C151/52</f>
        <v>2.4137751693606678E-3</v>
      </c>
      <c r="G151" s="200">
        <f>'Weekly Quotes (Yahoo Finance)'!V124-'Analysis (Yahoo Finance)'!C151/52</f>
        <v>8.2578865385609185E-2</v>
      </c>
      <c r="H151" s="200">
        <f>'Weekly Quotes (Yahoo Finance)'!AA124-'Analysis (Yahoo Finance)'!C151/52</f>
        <v>5.595958987485191E-2</v>
      </c>
      <c r="I151" s="200">
        <f>'Weekly Quotes (Yahoo Finance)'!AF124-'Analysis (Yahoo Finance)'!C151/52</f>
        <v>-2.9807692536940942E-5</v>
      </c>
    </row>
    <row r="152" spans="2:9" x14ac:dyDescent="0.3">
      <c r="B152" s="331">
        <v>40298.770833333336</v>
      </c>
      <c r="C152" s="198">
        <v>1.1999999731779098E-3</v>
      </c>
      <c r="D152" s="200">
        <f>'Weekly Quotes (Yahoo Finance)'!G125-'Analysis (Yahoo Finance)'!C152/52</f>
        <v>-2.465159724214263E-2</v>
      </c>
      <c r="E152" s="200">
        <f>'Weekly Quotes (Yahoo Finance)'!L125-'Analysis (Yahoo Finance)'!C152/52</f>
        <v>-1.331203621800727E-2</v>
      </c>
      <c r="F152" s="200">
        <f>'Weekly Quotes (Yahoo Finance)'!Q125-'Analysis (Yahoo Finance)'!C152/52</f>
        <v>-1.4648346672904286E-2</v>
      </c>
      <c r="G152" s="200">
        <f>'Weekly Quotes (Yahoo Finance)'!V125-'Analysis (Yahoo Finance)'!C152/52</f>
        <v>1.5150525752070338E-4</v>
      </c>
      <c r="H152" s="200">
        <f>'Weekly Quotes (Yahoo Finance)'!AA125-'Analysis (Yahoo Finance)'!C152/52</f>
        <v>-2.5752256304885333E-2</v>
      </c>
      <c r="I152" s="200">
        <f>'Weekly Quotes (Yahoo Finance)'!AF125-'Analysis (Yahoo Finance)'!C152/52</f>
        <v>2.3976963767543082E-2</v>
      </c>
    </row>
    <row r="153" spans="2:9" x14ac:dyDescent="0.3">
      <c r="B153" s="331">
        <v>40305.770833333336</v>
      </c>
      <c r="C153" s="198">
        <v>1.4499999582767487E-3</v>
      </c>
      <c r="D153" s="200">
        <f>'Weekly Quotes (Yahoo Finance)'!G126-'Analysis (Yahoo Finance)'!C153/52</f>
        <v>-6.3574686882967413E-2</v>
      </c>
      <c r="E153" s="200">
        <f>'Weekly Quotes (Yahoo Finance)'!L126-'Analysis (Yahoo Finance)'!C153/52</f>
        <v>-0.13723327609498037</v>
      </c>
      <c r="F153" s="200">
        <f>'Weekly Quotes (Yahoo Finance)'!Q126-'Analysis (Yahoo Finance)'!C153/52</f>
        <v>-7.9805292570395814E-2</v>
      </c>
      <c r="G153" s="200">
        <f>'Weekly Quotes (Yahoo Finance)'!V126-'Analysis (Yahoo Finance)'!C153/52</f>
        <v>-0.10826805710709808</v>
      </c>
      <c r="H153" s="200">
        <f>'Weekly Quotes (Yahoo Finance)'!AA126-'Analysis (Yahoo Finance)'!C153/52</f>
        <v>-9.133547459380098E-2</v>
      </c>
      <c r="I153" s="200">
        <f>'Weekly Quotes (Yahoo Finance)'!AF126-'Analysis (Yahoo Finance)'!C153/52</f>
        <v>-2.7884614582245168E-5</v>
      </c>
    </row>
    <row r="154" spans="2:9" x14ac:dyDescent="0.3">
      <c r="B154" s="331">
        <v>40312.770833333336</v>
      </c>
      <c r="C154" s="198">
        <v>1.5000000596046448E-3</v>
      </c>
      <c r="D154" s="200">
        <f>'Weekly Quotes (Yahoo Finance)'!G127-'Analysis (Yahoo Finance)'!C154/52</f>
        <v>2.3609453349961156E-2</v>
      </c>
      <c r="E154" s="200">
        <f>'Weekly Quotes (Yahoo Finance)'!L127-'Analysis (Yahoo Finance)'!C154/52</f>
        <v>7.8995549831692588E-2</v>
      </c>
      <c r="F154" s="200">
        <f>'Weekly Quotes (Yahoo Finance)'!Q127-'Analysis (Yahoo Finance)'!C154/52</f>
        <v>4.8358246803662332E-2</v>
      </c>
      <c r="G154" s="200">
        <f>'Weekly Quotes (Yahoo Finance)'!V127-'Analysis (Yahoo Finance)'!C154/52</f>
        <v>3.5209978679313449E-2</v>
      </c>
      <c r="H154" s="200">
        <f>'Weekly Quotes (Yahoo Finance)'!AA127-'Analysis (Yahoo Finance)'!C154/52</f>
        <v>9.8850177484157739E-2</v>
      </c>
      <c r="I154" s="200">
        <f>'Weekly Quotes (Yahoo Finance)'!AF127-'Analysis (Yahoo Finance)'!C154/52</f>
        <v>-0.10810179826365558</v>
      </c>
    </row>
    <row r="155" spans="2:9" x14ac:dyDescent="0.3">
      <c r="B155" s="331">
        <v>40319.770833333336</v>
      </c>
      <c r="C155" s="198">
        <v>1.5000000596046448E-3</v>
      </c>
      <c r="D155" s="200">
        <f>'Weekly Quotes (Yahoo Finance)'!G128-'Analysis (Yahoo Finance)'!C155/52</f>
        <v>-4.199915790241112E-2</v>
      </c>
      <c r="E155" s="200">
        <f>'Weekly Quotes (Yahoo Finance)'!L128-'Analysis (Yahoo Finance)'!C155/52</f>
        <v>-8.2307387935037404E-2</v>
      </c>
      <c r="F155" s="200">
        <f>'Weekly Quotes (Yahoo Finance)'!Q128-'Analysis (Yahoo Finance)'!C155/52</f>
        <v>-6.5388286320168978E-2</v>
      </c>
      <c r="G155" s="200">
        <f>'Weekly Quotes (Yahoo Finance)'!V128-'Analysis (Yahoo Finance)'!C155/52</f>
        <v>-5.9219485430575168E-2</v>
      </c>
      <c r="H155" s="200">
        <f>'Weekly Quotes (Yahoo Finance)'!AA128-'Analysis (Yahoo Finance)'!C155/52</f>
        <v>-0.10042612683651782</v>
      </c>
      <c r="I155" s="200">
        <f>'Weekly Quotes (Yahoo Finance)'!AF128-'Analysis (Yahoo Finance)'!C155/52</f>
        <v>-2.8846154992397017E-5</v>
      </c>
    </row>
    <row r="156" spans="2:9" x14ac:dyDescent="0.3">
      <c r="B156" s="331">
        <v>40326.770833333336</v>
      </c>
      <c r="C156" s="198">
        <v>1.1999999731779098E-3</v>
      </c>
      <c r="D156" s="200">
        <f>'Weekly Quotes (Yahoo Finance)'!G129-'Analysis (Yahoo Finance)'!C156/52</f>
        <v>2.3598589657718239E-3</v>
      </c>
      <c r="E156" s="200">
        <f>'Weekly Quotes (Yahoo Finance)'!L129-'Analysis (Yahoo Finance)'!C156/52</f>
        <v>6.6971963352761885E-2</v>
      </c>
      <c r="F156" s="200">
        <f>'Weekly Quotes (Yahoo Finance)'!Q129-'Analysis (Yahoo Finance)'!C156/52</f>
        <v>2.7249602478503811E-2</v>
      </c>
      <c r="G156" s="200">
        <f>'Weekly Quotes (Yahoo Finance)'!V129-'Analysis (Yahoo Finance)'!C156/52</f>
        <v>1.9675406338470515E-2</v>
      </c>
      <c r="H156" s="200">
        <f>'Weekly Quotes (Yahoo Finance)'!AA129-'Analysis (Yahoo Finance)'!C156/52</f>
        <v>3.0533113049911777E-2</v>
      </c>
      <c r="I156" s="200">
        <f>'Weekly Quotes (Yahoo Finance)'!AF129-'Analysis (Yahoo Finance)'!C156/52</f>
        <v>-2.3076922561113648E-5</v>
      </c>
    </row>
    <row r="157" spans="2:9" x14ac:dyDescent="0.3">
      <c r="B157" s="331">
        <v>40333.770833333336</v>
      </c>
      <c r="C157" s="198">
        <v>7.0000000298023226E-4</v>
      </c>
      <c r="D157" s="200">
        <f>'Weekly Quotes (Yahoo Finance)'!G130-'Analysis (Yahoo Finance)'!C157/52</f>
        <v>-2.3328840414995129E-2</v>
      </c>
      <c r="E157" s="200">
        <f>'Weekly Quotes (Yahoo Finance)'!L130-'Analysis (Yahoo Finance)'!C157/52</f>
        <v>-7.0188883519420389E-2</v>
      </c>
      <c r="F157" s="200">
        <f>'Weekly Quotes (Yahoo Finance)'!Q130-'Analysis (Yahoo Finance)'!C157/52</f>
        <v>-1.1585861759354794E-2</v>
      </c>
      <c r="G157" s="200">
        <f>'Weekly Quotes (Yahoo Finance)'!V130-'Analysis (Yahoo Finance)'!C157/52</f>
        <v>-5.0132296765132499E-2</v>
      </c>
      <c r="H157" s="200">
        <f>'Weekly Quotes (Yahoo Finance)'!AA130-'Analysis (Yahoo Finance)'!C157/52</f>
        <v>1.237948923288627E-2</v>
      </c>
      <c r="I157" s="200">
        <f>'Weekly Quotes (Yahoo Finance)'!AF130-'Analysis (Yahoo Finance)'!C157/52</f>
        <v>-7.3736078137942765E-2</v>
      </c>
    </row>
    <row r="158" spans="2:9" x14ac:dyDescent="0.3">
      <c r="B158" s="331">
        <v>40340.770833333336</v>
      </c>
      <c r="C158" s="198">
        <v>9.4999998807907102E-4</v>
      </c>
      <c r="D158" s="200">
        <f>'Weekly Quotes (Yahoo Finance)'!G131-'Analysis (Yahoo Finance)'!C158/52</f>
        <v>2.6755748917019772E-2</v>
      </c>
      <c r="E158" s="200">
        <f>'Weekly Quotes (Yahoo Finance)'!L131-'Analysis (Yahoo Finance)'!C158/52</f>
        <v>8.4390915487480192E-2</v>
      </c>
      <c r="F158" s="200">
        <f>'Weekly Quotes (Yahoo Finance)'!Q131-'Analysis (Yahoo Finance)'!C158/52</f>
        <v>4.337015846970322E-2</v>
      </c>
      <c r="G158" s="200">
        <f>'Weekly Quotes (Yahoo Finance)'!V131-'Analysis (Yahoo Finance)'!C158/52</f>
        <v>-1.9622073744611602E-2</v>
      </c>
      <c r="H158" s="200">
        <f>'Weekly Quotes (Yahoo Finance)'!AA131-'Analysis (Yahoo Finance)'!C158/52</f>
        <v>2.9840933053058859E-2</v>
      </c>
      <c r="I158" s="200">
        <f>'Weekly Quotes (Yahoo Finance)'!AF131-'Analysis (Yahoo Finance)'!C158/52</f>
        <v>-1.8269230539982135E-5</v>
      </c>
    </row>
    <row r="159" spans="2:9" x14ac:dyDescent="0.3">
      <c r="B159" s="331">
        <v>40347.770833333336</v>
      </c>
      <c r="C159" s="198">
        <v>1.25E-3</v>
      </c>
      <c r="D159" s="200">
        <f>'Weekly Quotes (Yahoo Finance)'!G132-'Analysis (Yahoo Finance)'!C159/52</f>
        <v>2.3508082659690694E-2</v>
      </c>
      <c r="E159" s="200">
        <f>'Weekly Quotes (Yahoo Finance)'!L132-'Analysis (Yahoo Finance)'!C159/52</f>
        <v>1.5543746434284651E-2</v>
      </c>
      <c r="F159" s="200">
        <f>'Weekly Quotes (Yahoo Finance)'!Q132-'Analysis (Yahoo Finance)'!C159/52</f>
        <v>2.7038616223484541E-2</v>
      </c>
      <c r="G159" s="200">
        <f>'Weekly Quotes (Yahoo Finance)'!V132-'Analysis (Yahoo Finance)'!C159/52</f>
        <v>1.1037447952628916E-2</v>
      </c>
      <c r="H159" s="200">
        <f>'Weekly Quotes (Yahoo Finance)'!AA132-'Analysis (Yahoo Finance)'!C159/52</f>
        <v>1.9755206574147586E-3</v>
      </c>
      <c r="I159" s="200">
        <f>'Weekly Quotes (Yahoo Finance)'!AF132-'Analysis (Yahoo Finance)'!C159/52</f>
        <v>-2.4038461538461538E-5</v>
      </c>
    </row>
    <row r="160" spans="2:9" x14ac:dyDescent="0.3">
      <c r="B160" s="331">
        <v>40354.770833333336</v>
      </c>
      <c r="C160" s="198">
        <v>1.599999964237213E-3</v>
      </c>
      <c r="D160" s="200">
        <f>'Weekly Quotes (Yahoo Finance)'!G133-'Analysis (Yahoo Finance)'!C160/52</f>
        <v>-3.4578343689739874E-2</v>
      </c>
      <c r="E160" s="200">
        <f>'Weekly Quotes (Yahoo Finance)'!L133-'Analysis (Yahoo Finance)'!C160/52</f>
        <v>-6.5855885327565131E-2</v>
      </c>
      <c r="F160" s="200">
        <f>'Weekly Quotes (Yahoo Finance)'!Q133-'Analysis (Yahoo Finance)'!C160/52</f>
        <v>-3.7948517011623037E-2</v>
      </c>
      <c r="G160" s="200">
        <f>'Weekly Quotes (Yahoo Finance)'!V133-'Analysis (Yahoo Finance)'!C160/52</f>
        <v>-3.0748192372717965E-2</v>
      </c>
      <c r="H160" s="200">
        <f>'Weekly Quotes (Yahoo Finance)'!AA133-'Analysis (Yahoo Finance)'!C160/52</f>
        <v>-9.049636023666606E-2</v>
      </c>
      <c r="I160" s="200">
        <f>'Weekly Quotes (Yahoo Finance)'!AF133-'Analysis (Yahoo Finance)'!C160/52</f>
        <v>-3.0769230081484866E-5</v>
      </c>
    </row>
    <row r="161" spans="2:9" x14ac:dyDescent="0.3">
      <c r="B161" s="331">
        <v>40361.770833333336</v>
      </c>
      <c r="C161" s="198">
        <v>1.4499999582767487E-3</v>
      </c>
      <c r="D161" s="200">
        <f>'Weekly Quotes (Yahoo Finance)'!G134-'Analysis (Yahoo Finance)'!C161/52</f>
        <v>-5.2591207632755814E-2</v>
      </c>
      <c r="E161" s="200">
        <f>'Weekly Quotes (Yahoo Finance)'!L134-'Analysis (Yahoo Finance)'!C161/52</f>
        <v>-0.10330971878340545</v>
      </c>
      <c r="F161" s="200">
        <f>'Weekly Quotes (Yahoo Finance)'!Q134-'Analysis (Yahoo Finance)'!C161/52</f>
        <v>-5.4136056006624293E-2</v>
      </c>
      <c r="G161" s="200">
        <f>'Weekly Quotes (Yahoo Finance)'!V134-'Analysis (Yahoo Finance)'!C161/52</f>
        <v>-5.8417262616058389E-2</v>
      </c>
      <c r="H161" s="200">
        <f>'Weekly Quotes (Yahoo Finance)'!AA134-'Analysis (Yahoo Finance)'!C161/52</f>
        <v>-7.7794793222824898E-2</v>
      </c>
      <c r="I161" s="200">
        <f>'Weekly Quotes (Yahoo Finance)'!AF134-'Analysis (Yahoo Finance)'!C161/52</f>
        <v>-2.7884614582245168E-5</v>
      </c>
    </row>
    <row r="162" spans="2:9" x14ac:dyDescent="0.3">
      <c r="B162" s="331">
        <v>40368.770833333336</v>
      </c>
      <c r="C162" s="198">
        <v>1.4499999582767487E-3</v>
      </c>
      <c r="D162" s="200">
        <f>'Weekly Quotes (Yahoo Finance)'!G135-'Analysis (Yahoo Finance)'!C162/52</f>
        <v>5.6332216248703888E-2</v>
      </c>
      <c r="E162" s="200">
        <f>'Weekly Quotes (Yahoo Finance)'!L135-'Analysis (Yahoo Finance)'!C162/52</f>
        <v>3.549423427663357E-2</v>
      </c>
      <c r="F162" s="200">
        <f>'Weekly Quotes (Yahoo Finance)'!Q135-'Analysis (Yahoo Finance)'!C162/52</f>
        <v>-1.7683240499478219E-2</v>
      </c>
      <c r="G162" s="200">
        <f>'Weekly Quotes (Yahoo Finance)'!V135-'Analysis (Yahoo Finance)'!C162/52</f>
        <v>2.5098904821784458E-2</v>
      </c>
      <c r="H162" s="200">
        <f>'Weekly Quotes (Yahoo Finance)'!AA135-'Analysis (Yahoo Finance)'!C162/52</f>
        <v>3.0767702074333332E-2</v>
      </c>
      <c r="I162" s="200">
        <f>'Weekly Quotes (Yahoo Finance)'!AF135-'Analysis (Yahoo Finance)'!C162/52</f>
        <v>3.2281007621994824E-2</v>
      </c>
    </row>
    <row r="163" spans="2:9" x14ac:dyDescent="0.3">
      <c r="B163" s="331">
        <v>40375.770833333336</v>
      </c>
      <c r="C163" s="198">
        <v>1.4499999582767487E-3</v>
      </c>
      <c r="D163" s="200">
        <f>'Weekly Quotes (Yahoo Finance)'!G136-'Analysis (Yahoo Finance)'!C163/52</f>
        <v>-1.2069339166152819E-2</v>
      </c>
      <c r="E163" s="200">
        <f>'Weekly Quotes (Yahoo Finance)'!L136-'Analysis (Yahoo Finance)'!C163/52</f>
        <v>-4.0568499739176749E-2</v>
      </c>
      <c r="F163" s="200">
        <f>'Weekly Quotes (Yahoo Finance)'!Q136-'Analysis (Yahoo Finance)'!C163/52</f>
        <v>-2.3032943380114405E-2</v>
      </c>
      <c r="G163" s="200">
        <f>'Weekly Quotes (Yahoo Finance)'!V136-'Analysis (Yahoo Finance)'!C163/52</f>
        <v>-2.7686969581364178E-2</v>
      </c>
      <c r="H163" s="200">
        <f>'Weekly Quotes (Yahoo Finance)'!AA136-'Analysis (Yahoo Finance)'!C163/52</f>
        <v>-5.0290716725343902E-2</v>
      </c>
      <c r="I163" s="200">
        <f>'Weekly Quotes (Yahoo Finance)'!AF136-'Analysis (Yahoo Finance)'!C163/52</f>
        <v>2.6689672637326252E-2</v>
      </c>
    </row>
    <row r="164" spans="2:9" x14ac:dyDescent="0.3">
      <c r="B164" s="331">
        <v>40382.770833333336</v>
      </c>
      <c r="C164" s="198">
        <v>1.4000000059604645E-3</v>
      </c>
      <c r="D164" s="200">
        <f>'Weekly Quotes (Yahoo Finance)'!G137-'Analysis (Yahoo Finance)'!C164/52</f>
        <v>3.5131523118779949E-2</v>
      </c>
      <c r="E164" s="200">
        <f>'Weekly Quotes (Yahoo Finance)'!L137-'Analysis (Yahoo Finance)'!C164/52</f>
        <v>6.3895156116754517E-2</v>
      </c>
      <c r="F164" s="200">
        <f>'Weekly Quotes (Yahoo Finance)'!Q137-'Analysis (Yahoo Finance)'!C164/52</f>
        <v>4.1179806614714286E-2</v>
      </c>
      <c r="G164" s="200">
        <f>'Weekly Quotes (Yahoo Finance)'!V137-'Analysis (Yahoo Finance)'!C164/52</f>
        <v>6.8659415746230648E-2</v>
      </c>
      <c r="H164" s="200">
        <f>'Weekly Quotes (Yahoo Finance)'!AA137-'Analysis (Yahoo Finance)'!C164/52</f>
        <v>5.1410873254693477E-2</v>
      </c>
      <c r="I164" s="200">
        <f>'Weekly Quotes (Yahoo Finance)'!AF137-'Analysis (Yahoo Finance)'!C164/52</f>
        <v>-2.692307703770124E-5</v>
      </c>
    </row>
    <row r="165" spans="2:9" x14ac:dyDescent="0.3">
      <c r="B165" s="331">
        <v>40389.770833333336</v>
      </c>
      <c r="C165" s="198">
        <v>1.4000000059604645E-3</v>
      </c>
      <c r="D165" s="200">
        <f>'Weekly Quotes (Yahoo Finance)'!G138-'Analysis (Yahoo Finance)'!C165/52</f>
        <v>-1.2949876943655699E-3</v>
      </c>
      <c r="E165" s="200">
        <f>'Weekly Quotes (Yahoo Finance)'!L138-'Analysis (Yahoo Finance)'!C165/52</f>
        <v>-3.8723539715126133E-2</v>
      </c>
      <c r="F165" s="200">
        <f>'Weekly Quotes (Yahoo Finance)'!Q138-'Analysis (Yahoo Finance)'!C165/52</f>
        <v>-1.628133499693233E-2</v>
      </c>
      <c r="G165" s="200">
        <f>'Weekly Quotes (Yahoo Finance)'!V138-'Analysis (Yahoo Finance)'!C165/52</f>
        <v>-2.1017994819599019E-2</v>
      </c>
      <c r="H165" s="200">
        <f>'Weekly Quotes (Yahoo Finance)'!AA138-'Analysis (Yahoo Finance)'!C165/52</f>
        <v>-7.6026338975042984E-3</v>
      </c>
      <c r="I165" s="200">
        <f>'Weekly Quotes (Yahoo Finance)'!AF138-'Analysis (Yahoo Finance)'!C165/52</f>
        <v>-2.692307703770124E-5</v>
      </c>
    </row>
    <row r="166" spans="2:9" x14ac:dyDescent="0.3">
      <c r="B166" s="331">
        <v>40396.770833333336</v>
      </c>
      <c r="C166" s="198">
        <v>1.4499999582767487E-3</v>
      </c>
      <c r="D166" s="200">
        <f>'Weekly Quotes (Yahoo Finance)'!G139-'Analysis (Yahoo Finance)'!C166/52</f>
        <v>1.9197678195982178E-2</v>
      </c>
      <c r="E166" s="200">
        <f>'Weekly Quotes (Yahoo Finance)'!L139-'Analysis (Yahoo Finance)'!C166/52</f>
        <v>4.2094427904000378E-3</v>
      </c>
      <c r="F166" s="200">
        <f>'Weekly Quotes (Yahoo Finance)'!Q139-'Analysis (Yahoo Finance)'!C166/52</f>
        <v>5.7192199931495116E-3</v>
      </c>
      <c r="G166" s="200">
        <f>'Weekly Quotes (Yahoo Finance)'!V139-'Analysis (Yahoo Finance)'!C166/52</f>
        <v>-8.004562582313457E-2</v>
      </c>
      <c r="H166" s="200">
        <f>'Weekly Quotes (Yahoo Finance)'!AA139-'Analysis (Yahoo Finance)'!C166/52</f>
        <v>-1.438938800704203E-2</v>
      </c>
      <c r="I166" s="200">
        <f>'Weekly Quotes (Yahoo Finance)'!AF139-'Analysis (Yahoo Finance)'!C166/52</f>
        <v>1.7815936177123078E-2</v>
      </c>
    </row>
    <row r="167" spans="2:9" x14ac:dyDescent="0.3">
      <c r="B167" s="331">
        <v>40403.770833333336</v>
      </c>
      <c r="C167" s="198">
        <v>1.4499999582767487E-3</v>
      </c>
      <c r="D167" s="200">
        <f>'Weekly Quotes (Yahoo Finance)'!G140-'Analysis (Yahoo Finance)'!C167/52</f>
        <v>-3.6330063217765655E-2</v>
      </c>
      <c r="E167" s="200">
        <f>'Weekly Quotes (Yahoo Finance)'!L140-'Analysis (Yahoo Finance)'!C167/52</f>
        <v>-9.1800071960960072E-2</v>
      </c>
      <c r="F167" s="200">
        <f>'Weekly Quotes (Yahoo Finance)'!Q140-'Analysis (Yahoo Finance)'!C167/52</f>
        <v>-6.4313585003898721E-2</v>
      </c>
      <c r="G167" s="200">
        <f>'Weekly Quotes (Yahoo Finance)'!V140-'Analysis (Yahoo Finance)'!C167/52</f>
        <v>-7.9316671778208114E-2</v>
      </c>
      <c r="H167" s="200">
        <f>'Weekly Quotes (Yahoo Finance)'!AA140-'Analysis (Yahoo Finance)'!C167/52</f>
        <v>-0.10044796200015771</v>
      </c>
      <c r="I167" s="200">
        <f>'Weekly Quotes (Yahoo Finance)'!AF140-'Analysis (Yahoo Finance)'!C167/52</f>
        <v>-2.7884614582245168E-5</v>
      </c>
    </row>
    <row r="168" spans="2:9" x14ac:dyDescent="0.3">
      <c r="B168" s="331">
        <v>40410.770833333336</v>
      </c>
      <c r="C168" s="198">
        <v>1.4000000059604645E-3</v>
      </c>
      <c r="D168" s="200">
        <f>'Weekly Quotes (Yahoo Finance)'!G141-'Analysis (Yahoo Finance)'!C168/52</f>
        <v>-7.2284630722251686E-3</v>
      </c>
      <c r="E168" s="200">
        <f>'Weekly Quotes (Yahoo Finance)'!L141-'Analysis (Yahoo Finance)'!C168/52</f>
        <v>-2.3255731839742423E-2</v>
      </c>
      <c r="F168" s="200">
        <f>'Weekly Quotes (Yahoo Finance)'!Q141-'Analysis (Yahoo Finance)'!C168/52</f>
        <v>-5.1171950788513478E-2</v>
      </c>
      <c r="G168" s="200">
        <f>'Weekly Quotes (Yahoo Finance)'!V141-'Analysis (Yahoo Finance)'!C168/52</f>
        <v>1.5108824200460967E-2</v>
      </c>
      <c r="H168" s="200">
        <f>'Weekly Quotes (Yahoo Finance)'!AA141-'Analysis (Yahoo Finance)'!C168/52</f>
        <v>-2.1477400924517366E-2</v>
      </c>
      <c r="I168" s="200">
        <f>'Weekly Quotes (Yahoo Finance)'!AF141-'Analysis (Yahoo Finance)'!C168/52</f>
        <v>-2.692307703770124E-5</v>
      </c>
    </row>
    <row r="169" spans="2:9" x14ac:dyDescent="0.3">
      <c r="B169" s="331">
        <v>40417.770833333336</v>
      </c>
      <c r="C169" s="198">
        <v>1.25E-3</v>
      </c>
      <c r="D169" s="200">
        <f>'Weekly Quotes (Yahoo Finance)'!G142-'Analysis (Yahoo Finance)'!C169/52</f>
        <v>-6.2548408101971544E-3</v>
      </c>
      <c r="E169" s="200">
        <f>'Weekly Quotes (Yahoo Finance)'!L142-'Analysis (Yahoo Finance)'!C169/52</f>
        <v>-5.8287958314122743E-2</v>
      </c>
      <c r="F169" s="200">
        <f>'Weekly Quotes (Yahoo Finance)'!Q142-'Analysis (Yahoo Finance)'!C169/52</f>
        <v>-1.1287133292384992E-2</v>
      </c>
      <c r="G169" s="200">
        <f>'Weekly Quotes (Yahoo Finance)'!V142-'Analysis (Yahoo Finance)'!C169/52</f>
        <v>-4.394269232081899E-3</v>
      </c>
      <c r="H169" s="200">
        <f>'Weekly Quotes (Yahoo Finance)'!AA142-'Analysis (Yahoo Finance)'!C169/52</f>
        <v>-5.3259887105995538E-2</v>
      </c>
      <c r="I169" s="200">
        <f>'Weekly Quotes (Yahoo Finance)'!AF142-'Analysis (Yahoo Finance)'!C169/52</f>
        <v>-0.13223727185592929</v>
      </c>
    </row>
    <row r="170" spans="2:9" x14ac:dyDescent="0.3">
      <c r="B170" s="331">
        <v>40424.770833333336</v>
      </c>
      <c r="C170" s="198">
        <v>1.3500000536441803E-3</v>
      </c>
      <c r="D170" s="200">
        <f>'Weekly Quotes (Yahoo Finance)'!G143-'Analysis (Yahoo Finance)'!C170/52</f>
        <v>3.7686922198844432E-2</v>
      </c>
      <c r="E170" s="200">
        <f>'Weekly Quotes (Yahoo Finance)'!L143-'Analysis (Yahoo Finance)'!C170/52</f>
        <v>6.9418456453320815E-2</v>
      </c>
      <c r="F170" s="200">
        <f>'Weekly Quotes (Yahoo Finance)'!Q143-'Analysis (Yahoo Finance)'!C170/52</f>
        <v>3.3334498358438415E-2</v>
      </c>
      <c r="G170" s="200">
        <f>'Weekly Quotes (Yahoo Finance)'!V143-'Analysis (Yahoo Finance)'!C170/52</f>
        <v>1.7931573705107012E-3</v>
      </c>
      <c r="H170" s="200">
        <f>'Weekly Quotes (Yahoo Finance)'!AA143-'Analysis (Yahoo Finance)'!C170/52</f>
        <v>8.7389365131428504E-2</v>
      </c>
      <c r="I170" s="200">
        <f>'Weekly Quotes (Yahoo Finance)'!AF143-'Analysis (Yahoo Finance)'!C170/52</f>
        <v>-2.5961539493157312E-5</v>
      </c>
    </row>
    <row r="171" spans="2:9" x14ac:dyDescent="0.3">
      <c r="B171" s="331">
        <v>40431.770833333336</v>
      </c>
      <c r="C171" s="198">
        <v>1.4499999582767487E-3</v>
      </c>
      <c r="D171" s="200">
        <f>'Weekly Quotes (Yahoo Finance)'!G144-'Analysis (Yahoo Finance)'!C171/52</f>
        <v>5.2927391615256239E-3</v>
      </c>
      <c r="E171" s="200">
        <f>'Weekly Quotes (Yahoo Finance)'!L144-'Analysis (Yahoo Finance)'!C171/52</f>
        <v>4.6947092111482361E-3</v>
      </c>
      <c r="F171" s="200">
        <f>'Weekly Quotes (Yahoo Finance)'!Q144-'Analysis (Yahoo Finance)'!C171/52</f>
        <v>2.3594199383432109E-2</v>
      </c>
      <c r="G171" s="200">
        <f>'Weekly Quotes (Yahoo Finance)'!V144-'Analysis (Yahoo Finance)'!C171/52</f>
        <v>-2.3625189691627232E-3</v>
      </c>
      <c r="H171" s="200">
        <f>'Weekly Quotes (Yahoo Finance)'!AA144-'Analysis (Yahoo Finance)'!C171/52</f>
        <v>1.2428670990099817E-2</v>
      </c>
      <c r="I171" s="200">
        <f>'Weekly Quotes (Yahoo Finance)'!AF144-'Analysis (Yahoo Finance)'!C171/52</f>
        <v>6.1419886722451141E-2</v>
      </c>
    </row>
    <row r="172" spans="2:9" x14ac:dyDescent="0.3">
      <c r="B172" s="331">
        <v>40438.770833333336</v>
      </c>
      <c r="C172" s="198">
        <v>1.4000000059604645E-3</v>
      </c>
      <c r="D172" s="200">
        <f>'Weekly Quotes (Yahoo Finance)'!G145-'Analysis (Yahoo Finance)'!C172/52</f>
        <v>1.4433020036479359E-2</v>
      </c>
      <c r="E172" s="200">
        <f>'Weekly Quotes (Yahoo Finance)'!L145-'Analysis (Yahoo Finance)'!C172/52</f>
        <v>-4.5855374123036564E-2</v>
      </c>
      <c r="F172" s="200">
        <f>'Weekly Quotes (Yahoo Finance)'!Q145-'Analysis (Yahoo Finance)'!C172/52</f>
        <v>-2.2334653400783701E-2</v>
      </c>
      <c r="G172" s="200">
        <f>'Weekly Quotes (Yahoo Finance)'!V145-'Analysis (Yahoo Finance)'!C172/52</f>
        <v>-4.760877590906868E-2</v>
      </c>
      <c r="H172" s="200">
        <f>'Weekly Quotes (Yahoo Finance)'!AA145-'Analysis (Yahoo Finance)'!C172/52</f>
        <v>1.1417932500928339E-2</v>
      </c>
      <c r="I172" s="200">
        <f>'Weekly Quotes (Yahoo Finance)'!AF145-'Analysis (Yahoo Finance)'!C172/52</f>
        <v>1.2661407561201342E-2</v>
      </c>
    </row>
    <row r="173" spans="2:9" x14ac:dyDescent="0.3">
      <c r="B173" s="331">
        <v>40445.770833333336</v>
      </c>
      <c r="C173" s="198">
        <v>1.5000000596046448E-3</v>
      </c>
      <c r="D173" s="200">
        <f>'Weekly Quotes (Yahoo Finance)'!G146-'Analysis (Yahoo Finance)'!C173/52</f>
        <v>2.0684122778267072E-2</v>
      </c>
      <c r="E173" s="200">
        <f>'Weekly Quotes (Yahoo Finance)'!L146-'Analysis (Yahoo Finance)'!C173/52</f>
        <v>7.1399677506513812E-2</v>
      </c>
      <c r="F173" s="200">
        <f>'Weekly Quotes (Yahoo Finance)'!Q146-'Analysis (Yahoo Finance)'!C173/52</f>
        <v>1.4133240421212705E-2</v>
      </c>
      <c r="G173" s="200">
        <f>'Weekly Quotes (Yahoo Finance)'!V146-'Analysis (Yahoo Finance)'!C173/52</f>
        <v>-4.6699048141622583E-3</v>
      </c>
      <c r="H173" s="200">
        <f>'Weekly Quotes (Yahoo Finance)'!AA146-'Analysis (Yahoo Finance)'!C173/52</f>
        <v>2.2884913625902652E-2</v>
      </c>
      <c r="I173" s="200">
        <f>'Weekly Quotes (Yahoo Finance)'!AF146-'Analysis (Yahoo Finance)'!C173/52</f>
        <v>-2.8846154992397017E-5</v>
      </c>
    </row>
    <row r="174" spans="2:9" x14ac:dyDescent="0.3">
      <c r="B174" s="331">
        <v>40452.770833333336</v>
      </c>
      <c r="C174" s="198">
        <v>1.1500000208616258E-3</v>
      </c>
      <c r="D174" s="200">
        <f>'Weekly Quotes (Yahoo Finance)'!G147-'Analysis (Yahoo Finance)'!C174/52</f>
        <v>-1.8510570766278663E-3</v>
      </c>
      <c r="E174" s="200">
        <f>'Weekly Quotes (Yahoo Finance)'!L147-'Analysis (Yahoo Finance)'!C174/52</f>
        <v>-9.2175334671311185E-3</v>
      </c>
      <c r="F174" s="200">
        <f>'Weekly Quotes (Yahoo Finance)'!Q147-'Analysis (Yahoo Finance)'!C174/52</f>
        <v>-3.6484475384439947E-2</v>
      </c>
      <c r="G174" s="200">
        <f>'Weekly Quotes (Yahoo Finance)'!V147-'Analysis (Yahoo Finance)'!C174/52</f>
        <v>2.8502320754375803E-2</v>
      </c>
      <c r="H174" s="200">
        <f>'Weekly Quotes (Yahoo Finance)'!AA147-'Analysis (Yahoo Finance)'!C174/52</f>
        <v>-2.3805318205276267E-2</v>
      </c>
      <c r="I174" s="200">
        <f>'Weekly Quotes (Yahoo Finance)'!AF147-'Analysis (Yahoo Finance)'!C174/52</f>
        <v>-3.93754226010607E-3</v>
      </c>
    </row>
    <row r="175" spans="2:9" x14ac:dyDescent="0.3">
      <c r="B175" s="331">
        <v>40459.770833333336</v>
      </c>
      <c r="C175" s="198">
        <v>1.3500000536441803E-3</v>
      </c>
      <c r="D175" s="200">
        <f>'Weekly Quotes (Yahoo Finance)'!G148-'Analysis (Yahoo Finance)'!C175/52</f>
        <v>1.6813758335715225E-2</v>
      </c>
      <c r="E175" s="200">
        <f>'Weekly Quotes (Yahoo Finance)'!L148-'Analysis (Yahoo Finance)'!C175/52</f>
        <v>-2.786809716177182E-2</v>
      </c>
      <c r="F175" s="200">
        <f>'Weekly Quotes (Yahoo Finance)'!Q148-'Analysis (Yahoo Finance)'!C175/52</f>
        <v>-4.0517111148432256E-3</v>
      </c>
      <c r="G175" s="200">
        <f>'Weekly Quotes (Yahoo Finance)'!V148-'Analysis (Yahoo Finance)'!C175/52</f>
        <v>-1.8959270458764076E-2</v>
      </c>
      <c r="H175" s="200">
        <f>'Weekly Quotes (Yahoo Finance)'!AA148-'Analysis (Yahoo Finance)'!C175/52</f>
        <v>-9.6576941155927746E-3</v>
      </c>
      <c r="I175" s="200">
        <f>'Weekly Quotes (Yahoo Finance)'!AF148-'Analysis (Yahoo Finance)'!C175/52</f>
        <v>-2.5961539493157312E-5</v>
      </c>
    </row>
    <row r="176" spans="2:9" x14ac:dyDescent="0.3">
      <c r="B176" s="331">
        <v>40466.770833333336</v>
      </c>
      <c r="C176" s="198">
        <v>1.1999999731779098E-3</v>
      </c>
      <c r="D176" s="200">
        <f>'Weekly Quotes (Yahoo Finance)'!G149-'Analysis (Yahoo Finance)'!C176/52</f>
        <v>9.9305529350159714E-3</v>
      </c>
      <c r="E176" s="200">
        <f>'Weekly Quotes (Yahoo Finance)'!L149-'Analysis (Yahoo Finance)'!C176/52</f>
        <v>-5.6109024645285242E-2</v>
      </c>
      <c r="F176" s="200">
        <f>'Weekly Quotes (Yahoo Finance)'!Q149-'Analysis (Yahoo Finance)'!C176/52</f>
        <v>1.5937317745047055E-3</v>
      </c>
      <c r="G176" s="200">
        <f>'Weekly Quotes (Yahoo Finance)'!V149-'Analysis (Yahoo Finance)'!C176/52</f>
        <v>-7.0902726213992939E-3</v>
      </c>
      <c r="H176" s="200">
        <f>'Weekly Quotes (Yahoo Finance)'!AA149-'Analysis (Yahoo Finance)'!C176/52</f>
        <v>8.2721439905350889E-3</v>
      </c>
      <c r="I176" s="200">
        <f>'Weekly Quotes (Yahoo Finance)'!AF149-'Analysis (Yahoo Finance)'!C176/52</f>
        <v>2.5134132393601606E-2</v>
      </c>
    </row>
    <row r="177" spans="2:9" x14ac:dyDescent="0.3">
      <c r="B177" s="331">
        <v>40473.770833333336</v>
      </c>
      <c r="C177" s="198">
        <v>1.0999999940395355E-3</v>
      </c>
      <c r="D177" s="200">
        <f>'Weekly Quotes (Yahoo Finance)'!G150-'Analysis (Yahoo Finance)'!C177/52</f>
        <v>5.501374129596461E-3</v>
      </c>
      <c r="E177" s="200">
        <f>'Weekly Quotes (Yahoo Finance)'!L150-'Analysis (Yahoo Finance)'!C177/52</f>
        <v>3.5377020891001434E-2</v>
      </c>
      <c r="F177" s="200">
        <f>'Weekly Quotes (Yahoo Finance)'!Q150-'Analysis (Yahoo Finance)'!C177/52</f>
        <v>-2.4234265852792466E-2</v>
      </c>
      <c r="G177" s="200">
        <f>'Weekly Quotes (Yahoo Finance)'!V150-'Analysis (Yahoo Finance)'!C177/52</f>
        <v>4.6326098912573129E-3</v>
      </c>
      <c r="H177" s="200">
        <f>'Weekly Quotes (Yahoo Finance)'!AA150-'Analysis (Yahoo Finance)'!C177/52</f>
        <v>3.8844064079769883E-2</v>
      </c>
      <c r="I177" s="200">
        <f>'Weekly Quotes (Yahoo Finance)'!AF150-'Analysis (Yahoo Finance)'!C177/52</f>
        <v>-5.8303294953803972E-2</v>
      </c>
    </row>
    <row r="178" spans="2:9" x14ac:dyDescent="0.3">
      <c r="B178" s="331">
        <v>40480.770833333336</v>
      </c>
      <c r="C178" s="198">
        <v>1.1999999731779098E-3</v>
      </c>
      <c r="D178" s="200">
        <f>'Weekly Quotes (Yahoo Finance)'!G151-'Analysis (Yahoo Finance)'!C178/52</f>
        <v>1.1598499169271717E-3</v>
      </c>
      <c r="E178" s="200">
        <f>'Weekly Quotes (Yahoo Finance)'!L151-'Analysis (Yahoo Finance)'!C178/52</f>
        <v>7.0794950089742001E-2</v>
      </c>
      <c r="F178" s="200">
        <f>'Weekly Quotes (Yahoo Finance)'!Q151-'Analysis (Yahoo Finance)'!C178/52</f>
        <v>1.4865270575889137E-2</v>
      </c>
      <c r="G178" s="200">
        <f>'Weekly Quotes (Yahoo Finance)'!V151-'Analysis (Yahoo Finance)'!C178/52</f>
        <v>-5.2002550548874349E-3</v>
      </c>
      <c r="H178" s="200">
        <f>'Weekly Quotes (Yahoo Finance)'!AA151-'Analysis (Yahoo Finance)'!C178/52</f>
        <v>2.632864838422664E-2</v>
      </c>
      <c r="I178" s="200">
        <f>'Weekly Quotes (Yahoo Finance)'!AF151-'Analysis (Yahoo Finance)'!C178/52</f>
        <v>-2.3076922561113648E-5</v>
      </c>
    </row>
    <row r="179" spans="2:9" x14ac:dyDescent="0.3">
      <c r="B179" s="331">
        <v>40487.770833333336</v>
      </c>
      <c r="C179" s="198">
        <v>1.25E-3</v>
      </c>
      <c r="D179" s="200">
        <f>'Weekly Quotes (Yahoo Finance)'!G152-'Analysis (Yahoo Finance)'!C179/52</f>
        <v>3.5675205636658894E-2</v>
      </c>
      <c r="E179" s="200">
        <f>'Weekly Quotes (Yahoo Finance)'!L152-'Analysis (Yahoo Finance)'!C179/52</f>
        <v>0.10145832036220077</v>
      </c>
      <c r="F179" s="200">
        <f>'Weekly Quotes (Yahoo Finance)'!Q152-'Analysis (Yahoo Finance)'!C179/52</f>
        <v>7.5770621993694179E-2</v>
      </c>
      <c r="G179" s="200">
        <f>'Weekly Quotes (Yahoo Finance)'!V152-'Analysis (Yahoo Finance)'!C179/52</f>
        <v>0.16787520420974442</v>
      </c>
      <c r="H179" s="200">
        <f>'Weekly Quotes (Yahoo Finance)'!AA152-'Analysis (Yahoo Finance)'!C179/52</f>
        <v>0.11371818928924067</v>
      </c>
      <c r="I179" s="200">
        <f>'Weekly Quotes (Yahoo Finance)'!AF152-'Analysis (Yahoo Finance)'!C179/52</f>
        <v>4.8835895177641711E-2</v>
      </c>
    </row>
    <row r="180" spans="2:9" x14ac:dyDescent="0.3">
      <c r="B180" s="331">
        <v>40494.8125</v>
      </c>
      <c r="C180" s="198">
        <v>1.2999999523162842E-3</v>
      </c>
      <c r="D180" s="200">
        <f>'Weekly Quotes (Yahoo Finance)'!G153-'Analysis (Yahoo Finance)'!C180/52</f>
        <v>-2.0559584805099337E-2</v>
      </c>
      <c r="E180" s="200">
        <f>'Weekly Quotes (Yahoo Finance)'!L153-'Analysis (Yahoo Finance)'!C180/52</f>
        <v>-4.0397561212835664E-2</v>
      </c>
      <c r="F180" s="200">
        <f>'Weekly Quotes (Yahoo Finance)'!Q153-'Analysis (Yahoo Finance)'!C180/52</f>
        <v>-1.5176517909160189E-2</v>
      </c>
      <c r="G180" s="200">
        <f>'Weekly Quotes (Yahoo Finance)'!V153-'Analysis (Yahoo Finance)'!C180/52</f>
        <v>-4.0836501936938441E-2</v>
      </c>
      <c r="H180" s="200">
        <f>'Weekly Quotes (Yahoo Finance)'!AA153-'Analysis (Yahoo Finance)'!C180/52</f>
        <v>-1.8180808053288363E-2</v>
      </c>
      <c r="I180" s="200">
        <f>'Weekly Quotes (Yahoo Finance)'!AF153-'Analysis (Yahoo Finance)'!C180/52</f>
        <v>6.0534028470997092E-2</v>
      </c>
    </row>
    <row r="181" spans="2:9" x14ac:dyDescent="0.3">
      <c r="B181" s="331">
        <v>40501.8125</v>
      </c>
      <c r="C181" s="198">
        <v>1.550000011920929E-3</v>
      </c>
      <c r="D181" s="200">
        <f>'Weekly Quotes (Yahoo Finance)'!G154-'Analysis (Yahoo Finance)'!C181/52</f>
        <v>7.1897741204104602E-4</v>
      </c>
      <c r="E181" s="200">
        <f>'Weekly Quotes (Yahoo Finance)'!L154-'Analysis (Yahoo Finance)'!C181/52</f>
        <v>2.1276117456123476E-3</v>
      </c>
      <c r="F181" s="200">
        <f>'Weekly Quotes (Yahoo Finance)'!Q154-'Analysis (Yahoo Finance)'!C181/52</f>
        <v>2.6893227991179738E-2</v>
      </c>
      <c r="G181" s="200">
        <f>'Weekly Quotes (Yahoo Finance)'!V154-'Analysis (Yahoo Finance)'!C181/52</f>
        <v>-2.7329380110568211E-2</v>
      </c>
      <c r="H181" s="200">
        <f>'Weekly Quotes (Yahoo Finance)'!AA154-'Analysis (Yahoo Finance)'!C181/52</f>
        <v>4.8631994600699412E-2</v>
      </c>
      <c r="I181" s="200">
        <f>'Weekly Quotes (Yahoo Finance)'!AF154-'Analysis (Yahoo Finance)'!C181/52</f>
        <v>-2.9807692536940942E-5</v>
      </c>
    </row>
    <row r="182" spans="2:9" x14ac:dyDescent="0.3">
      <c r="B182" s="331">
        <v>40508.8125</v>
      </c>
      <c r="C182" s="198">
        <v>1.2999999523162842E-3</v>
      </c>
      <c r="D182" s="200">
        <f>'Weekly Quotes (Yahoo Finance)'!G155-'Analysis (Yahoo Finance)'!C182/52</f>
        <v>-1.241171420998299E-2</v>
      </c>
      <c r="E182" s="200">
        <f>'Weekly Quotes (Yahoo Finance)'!L155-'Analysis (Yahoo Finance)'!C182/52</f>
        <v>-2.3706369295693915E-2</v>
      </c>
      <c r="F182" s="200">
        <f>'Weekly Quotes (Yahoo Finance)'!Q155-'Analysis (Yahoo Finance)'!C182/52</f>
        <v>-9.7627909014774659E-3</v>
      </c>
      <c r="G182" s="200">
        <f>'Weekly Quotes (Yahoo Finance)'!V155-'Analysis (Yahoo Finance)'!C182/52</f>
        <v>-1.9999739082947828E-2</v>
      </c>
      <c r="H182" s="200">
        <f>'Weekly Quotes (Yahoo Finance)'!AA155-'Analysis (Yahoo Finance)'!C182/52</f>
        <v>-1.2205921803450922E-2</v>
      </c>
      <c r="I182" s="200">
        <f>'Weekly Quotes (Yahoo Finance)'!AF155-'Analysis (Yahoo Finance)'!C182/52</f>
        <v>-2.4999999083005466E-5</v>
      </c>
    </row>
    <row r="183" spans="2:9" x14ac:dyDescent="0.3">
      <c r="B183" s="331">
        <v>40515.8125</v>
      </c>
      <c r="C183" s="198">
        <v>1.1500000208616258E-3</v>
      </c>
      <c r="D183" s="200">
        <f>'Weekly Quotes (Yahoo Finance)'!G156-'Analysis (Yahoo Finance)'!C183/52</f>
        <v>3.4405462332374008E-2</v>
      </c>
      <c r="E183" s="200">
        <f>'Weekly Quotes (Yahoo Finance)'!L156-'Analysis (Yahoo Finance)'!C183/52</f>
        <v>7.1642693332721941E-2</v>
      </c>
      <c r="F183" s="200">
        <f>'Weekly Quotes (Yahoo Finance)'!Q156-'Analysis (Yahoo Finance)'!C183/52</f>
        <v>3.0235015783916901E-2</v>
      </c>
      <c r="G183" s="200">
        <f>'Weekly Quotes (Yahoo Finance)'!V156-'Analysis (Yahoo Finance)'!C183/52</f>
        <v>8.3569262808279421E-2</v>
      </c>
      <c r="H183" s="200">
        <f>'Weekly Quotes (Yahoo Finance)'!AA156-'Analysis (Yahoo Finance)'!C183/52</f>
        <v>4.1199283009952396E-2</v>
      </c>
      <c r="I183" s="200">
        <f>'Weekly Quotes (Yahoo Finance)'!AF156-'Analysis (Yahoo Finance)'!C183/52</f>
        <v>1.8279494338964634E-2</v>
      </c>
    </row>
    <row r="184" spans="2:9" x14ac:dyDescent="0.3">
      <c r="B184" s="331">
        <v>40522.8125</v>
      </c>
      <c r="C184" s="198">
        <v>1.0499999672174453E-3</v>
      </c>
      <c r="D184" s="200">
        <f>'Weekly Quotes (Yahoo Finance)'!G157-'Analysis (Yahoo Finance)'!C184/52</f>
        <v>1.2918240235717613E-2</v>
      </c>
      <c r="E184" s="200">
        <f>'Weekly Quotes (Yahoo Finance)'!L157-'Analysis (Yahoo Finance)'!C184/52</f>
        <v>7.1814117627525308E-3</v>
      </c>
      <c r="F184" s="200">
        <f>'Weekly Quotes (Yahoo Finance)'!Q157-'Analysis (Yahoo Finance)'!C184/52</f>
        <v>2.6411543891988607E-2</v>
      </c>
      <c r="G184" s="200">
        <f>'Weekly Quotes (Yahoo Finance)'!V157-'Analysis (Yahoo Finance)'!C184/52</f>
        <v>3.0455969104768419E-2</v>
      </c>
      <c r="H184" s="200">
        <f>'Weekly Quotes (Yahoo Finance)'!AA157-'Analysis (Yahoo Finance)'!C184/52</f>
        <v>3.5508724525484904E-2</v>
      </c>
      <c r="I184" s="200">
        <f>'Weekly Quotes (Yahoo Finance)'!AF157-'Analysis (Yahoo Finance)'!C184/52</f>
        <v>-2.0192307061873946E-5</v>
      </c>
    </row>
    <row r="185" spans="2:9" x14ac:dyDescent="0.3">
      <c r="B185" s="331">
        <v>40529.8125</v>
      </c>
      <c r="C185" s="198">
        <v>1.2999999523162842E-3</v>
      </c>
      <c r="D185" s="200">
        <f>'Weekly Quotes (Yahoo Finance)'!G158-'Analysis (Yahoo Finance)'!C185/52</f>
        <v>3.7748046447837499E-3</v>
      </c>
      <c r="E185" s="200">
        <f>'Weekly Quotes (Yahoo Finance)'!L158-'Analysis (Yahoo Finance)'!C185/52</f>
        <v>3.0618644414464605E-2</v>
      </c>
      <c r="F185" s="200">
        <f>'Weekly Quotes (Yahoo Finance)'!Q158-'Analysis (Yahoo Finance)'!C185/52</f>
        <v>1.3565849966249103E-2</v>
      </c>
      <c r="G185" s="200">
        <f>'Weekly Quotes (Yahoo Finance)'!V158-'Analysis (Yahoo Finance)'!C185/52</f>
        <v>6.4207963781035216E-2</v>
      </c>
      <c r="H185" s="200">
        <f>'Weekly Quotes (Yahoo Finance)'!AA158-'Analysis (Yahoo Finance)'!C185/52</f>
        <v>5.0623095519177652E-2</v>
      </c>
      <c r="I185" s="200">
        <f>'Weekly Quotes (Yahoo Finance)'!AF158-'Analysis (Yahoo Finance)'!C185/52</f>
        <v>2.8731289177664213E-2</v>
      </c>
    </row>
    <row r="186" spans="2:9" x14ac:dyDescent="0.3">
      <c r="B186" s="331">
        <v>40535.8125</v>
      </c>
      <c r="C186" s="198">
        <v>1.1500000208616258E-3</v>
      </c>
      <c r="D186" s="200">
        <f>'Weekly Quotes (Yahoo Finance)'!G159-'Analysis (Yahoo Finance)'!C186/52</f>
        <v>1.0436415511575307E-2</v>
      </c>
      <c r="E186" s="200">
        <f>'Weekly Quotes (Yahoo Finance)'!L159-'Analysis (Yahoo Finance)'!C186/52</f>
        <v>5.3496082167913399E-2</v>
      </c>
      <c r="F186" s="200">
        <f>'Weekly Quotes (Yahoo Finance)'!Q159-'Analysis (Yahoo Finance)'!C186/52</f>
        <v>7.0350209044934215E-3</v>
      </c>
      <c r="G186" s="200">
        <f>'Weekly Quotes (Yahoo Finance)'!V159-'Analysis (Yahoo Finance)'!C186/52</f>
        <v>-2.6943557883840348E-2</v>
      </c>
      <c r="H186" s="200">
        <f>'Weekly Quotes (Yahoo Finance)'!AA159-'Analysis (Yahoo Finance)'!C186/52</f>
        <v>-3.0812093084500232E-2</v>
      </c>
      <c r="I186" s="200">
        <f>'Weekly Quotes (Yahoo Finance)'!AF159-'Analysis (Yahoo Finance)'!C186/52</f>
        <v>3.0026714870505837E-2</v>
      </c>
    </row>
    <row r="187" spans="2:9" x14ac:dyDescent="0.3">
      <c r="B187" s="331">
        <v>40543.8125</v>
      </c>
      <c r="C187" s="198">
        <v>1.3500000536441803E-3</v>
      </c>
      <c r="D187" s="200">
        <f>'Weekly Quotes (Yahoo Finance)'!G160-'Analysis (Yahoo Finance)'!C187/52</f>
        <v>1.1683181396568215E-3</v>
      </c>
      <c r="E187" s="200">
        <f>'Weekly Quotes (Yahoo Finance)'!L160-'Analysis (Yahoo Finance)'!C187/52</f>
        <v>7.4999785871842422E-3</v>
      </c>
      <c r="F187" s="200">
        <f>'Weekly Quotes (Yahoo Finance)'!Q160-'Analysis (Yahoo Finance)'!C187/52</f>
        <v>-9.8367165098783519E-3</v>
      </c>
      <c r="G187" s="200">
        <f>'Weekly Quotes (Yahoo Finance)'!V160-'Analysis (Yahoo Finance)'!C187/52</f>
        <v>-1.0289216506131982E-2</v>
      </c>
      <c r="H187" s="200">
        <f>'Weekly Quotes (Yahoo Finance)'!AA160-'Analysis (Yahoo Finance)'!C187/52</f>
        <v>3.289956687823426E-3</v>
      </c>
      <c r="I187" s="200">
        <f>'Weekly Quotes (Yahoo Finance)'!AF160-'Analysis (Yahoo Finance)'!C187/52</f>
        <v>-2.5961539493157312E-5</v>
      </c>
    </row>
    <row r="188" spans="2:9" x14ac:dyDescent="0.3">
      <c r="B188" s="331">
        <v>40550.8125</v>
      </c>
      <c r="C188" s="198">
        <v>1.4499999582767487E-3</v>
      </c>
      <c r="D188" s="200">
        <f>'Weekly Quotes (Yahoo Finance)'!G161-'Analysis (Yahoo Finance)'!C188/52</f>
        <v>1.1025788464132942E-2</v>
      </c>
      <c r="E188" s="200">
        <f>'Weekly Quotes (Yahoo Finance)'!L161-'Analysis (Yahoo Finance)'!C188/52</f>
        <v>4.6406221133743555E-3</v>
      </c>
      <c r="F188" s="200">
        <f>'Weekly Quotes (Yahoo Finance)'!Q161-'Analysis (Yahoo Finance)'!C188/52</f>
        <v>-2.1259339860382968E-2</v>
      </c>
      <c r="G188" s="200">
        <f>'Weekly Quotes (Yahoo Finance)'!V161-'Analysis (Yahoo Finance)'!C188/52</f>
        <v>-8.7043226301724119E-2</v>
      </c>
      <c r="H188" s="200">
        <f>'Weekly Quotes (Yahoo Finance)'!AA161-'Analysis (Yahoo Finance)'!C188/52</f>
        <v>-3.0838111646811155E-2</v>
      </c>
      <c r="I188" s="200">
        <f>'Weekly Quotes (Yahoo Finance)'!AF161-'Analysis (Yahoo Finance)'!C188/52</f>
        <v>-1.9430874633429067E-2</v>
      </c>
    </row>
    <row r="189" spans="2:9" x14ac:dyDescent="0.3">
      <c r="B189" s="331">
        <v>40557.8125</v>
      </c>
      <c r="C189" s="198">
        <v>1.5000000596046448E-3</v>
      </c>
      <c r="D189" s="200">
        <f>'Weekly Quotes (Yahoo Finance)'!G162-'Analysis (Yahoo Finance)'!C189/52</f>
        <v>1.6960328553822717E-2</v>
      </c>
      <c r="E189" s="200">
        <f>'Weekly Quotes (Yahoo Finance)'!L162-'Analysis (Yahoo Finance)'!C189/52</f>
        <v>-2.326302355188899E-2</v>
      </c>
      <c r="F189" s="200">
        <f>'Weekly Quotes (Yahoo Finance)'!Q162-'Analysis (Yahoo Finance)'!C189/52</f>
        <v>-2.9210984614323654E-3</v>
      </c>
      <c r="G189" s="200">
        <f>'Weekly Quotes (Yahoo Finance)'!V162-'Analysis (Yahoo Finance)'!C189/52</f>
        <v>1.3798348247254826E-2</v>
      </c>
      <c r="H189" s="200">
        <f>'Weekly Quotes (Yahoo Finance)'!AA162-'Analysis (Yahoo Finance)'!C189/52</f>
        <v>4.7050667725620866E-2</v>
      </c>
      <c r="I189" s="200">
        <f>'Weekly Quotes (Yahoo Finance)'!AF162-'Analysis (Yahoo Finance)'!C189/52</f>
        <v>-2.8846154992397017E-5</v>
      </c>
    </row>
    <row r="190" spans="2:9" x14ac:dyDescent="0.3">
      <c r="B190" s="331">
        <v>40564.8125</v>
      </c>
      <c r="C190" s="198">
        <v>1.3500000536441803E-3</v>
      </c>
      <c r="D190" s="200">
        <f>'Weekly Quotes (Yahoo Finance)'!G163-'Analysis (Yahoo Finance)'!C190/52</f>
        <v>-7.2185981413501405E-3</v>
      </c>
      <c r="E190" s="200">
        <f>'Weekly Quotes (Yahoo Finance)'!L163-'Analysis (Yahoo Finance)'!C190/52</f>
        <v>-4.0939424800174949E-2</v>
      </c>
      <c r="F190" s="200">
        <f>'Weekly Quotes (Yahoo Finance)'!Q163-'Analysis (Yahoo Finance)'!C190/52</f>
        <v>6.9925697586296128E-4</v>
      </c>
      <c r="G190" s="200">
        <f>'Weekly Quotes (Yahoo Finance)'!V163-'Analysis (Yahoo Finance)'!C190/52</f>
        <v>-1.3421067076815086E-2</v>
      </c>
      <c r="H190" s="200">
        <f>'Weekly Quotes (Yahoo Finance)'!AA163-'Analysis (Yahoo Finance)'!C190/52</f>
        <v>9.1947743080226293E-4</v>
      </c>
      <c r="I190" s="200">
        <f>'Weekly Quotes (Yahoo Finance)'!AF163-'Analysis (Yahoo Finance)'!C190/52</f>
        <v>-2.5901085436664549E-2</v>
      </c>
    </row>
    <row r="191" spans="2:9" x14ac:dyDescent="0.3">
      <c r="B191" s="331">
        <v>40571.8125</v>
      </c>
      <c r="C191" s="198">
        <v>1.4499999582767487E-3</v>
      </c>
      <c r="D191" s="200">
        <f>'Weekly Quotes (Yahoo Finance)'!G164-'Analysis (Yahoo Finance)'!C191/52</f>
        <v>-5.0913256148798977E-3</v>
      </c>
      <c r="E191" s="200">
        <f>'Weekly Quotes (Yahoo Finance)'!L164-'Analysis (Yahoo Finance)'!C191/52</f>
        <v>-6.0543645696864871E-2</v>
      </c>
      <c r="F191" s="200">
        <f>'Weekly Quotes (Yahoo Finance)'!Q164-'Analysis (Yahoo Finance)'!C191/52</f>
        <v>-3.408589929257521E-2</v>
      </c>
      <c r="G191" s="200">
        <f>'Weekly Quotes (Yahoo Finance)'!V164-'Analysis (Yahoo Finance)'!C191/52</f>
        <v>2.9841356296413719E-2</v>
      </c>
      <c r="H191" s="200">
        <f>'Weekly Quotes (Yahoo Finance)'!AA164-'Analysis (Yahoo Finance)'!C191/52</f>
        <v>1.0257625140761568E-2</v>
      </c>
      <c r="I191" s="200">
        <f>'Weekly Quotes (Yahoo Finance)'!AF164-'Analysis (Yahoo Finance)'!C191/52</f>
        <v>1.0909567464639121E-2</v>
      </c>
    </row>
    <row r="192" spans="2:9" x14ac:dyDescent="0.3">
      <c r="B192" s="331">
        <v>40578.8125</v>
      </c>
      <c r="C192" s="198">
        <v>1.0999999940395355E-3</v>
      </c>
      <c r="D192" s="200">
        <f>'Weekly Quotes (Yahoo Finance)'!G165-'Analysis (Yahoo Finance)'!C192/52</f>
        <v>2.683441022378992E-2</v>
      </c>
      <c r="E192" s="200">
        <f>'Weekly Quotes (Yahoo Finance)'!L165-'Analysis (Yahoo Finance)'!C192/52</f>
        <v>4.2026222512044483E-3</v>
      </c>
      <c r="F192" s="200">
        <f>'Weekly Quotes (Yahoo Finance)'!Q165-'Analysis (Yahoo Finance)'!C192/52</f>
        <v>1.7983399305776152E-2</v>
      </c>
      <c r="G192" s="200">
        <f>'Weekly Quotes (Yahoo Finance)'!V165-'Analysis (Yahoo Finance)'!C192/52</f>
        <v>2.9461097022782726E-2</v>
      </c>
      <c r="H192" s="200">
        <f>'Weekly Quotes (Yahoo Finance)'!AA165-'Analysis (Yahoo Finance)'!C192/52</f>
        <v>-3.0338372980605469E-3</v>
      </c>
      <c r="I192" s="200">
        <f>'Weekly Quotes (Yahoo Finance)'!AF165-'Analysis (Yahoo Finance)'!C192/52</f>
        <v>-9.4352073261987791E-3</v>
      </c>
    </row>
    <row r="193" spans="2:9" x14ac:dyDescent="0.3">
      <c r="B193" s="331">
        <v>40585.8125</v>
      </c>
      <c r="C193" s="198">
        <v>9.0000003576278691E-4</v>
      </c>
      <c r="D193" s="200">
        <f>'Weekly Quotes (Yahoo Finance)'!G166-'Analysis (Yahoo Finance)'!C193/52</f>
        <v>1.4927463981292211E-2</v>
      </c>
      <c r="E193" s="200">
        <f>'Weekly Quotes (Yahoo Finance)'!L166-'Analysis (Yahoo Finance)'!C193/52</f>
        <v>-8.4295197228907211E-3</v>
      </c>
      <c r="F193" s="200">
        <f>'Weekly Quotes (Yahoo Finance)'!Q166-'Analysis (Yahoo Finance)'!C193/52</f>
        <v>1.8405672542072059E-2</v>
      </c>
      <c r="G193" s="200">
        <f>'Weekly Quotes (Yahoo Finance)'!V166-'Analysis (Yahoo Finance)'!C193/52</f>
        <v>3.5372690694972973E-2</v>
      </c>
      <c r="H193" s="200">
        <f>'Weekly Quotes (Yahoo Finance)'!AA166-'Analysis (Yahoo Finance)'!C193/52</f>
        <v>3.2597021926735324E-2</v>
      </c>
      <c r="I193" s="200">
        <f>'Weekly Quotes (Yahoo Finance)'!AF166-'Analysis (Yahoo Finance)'!C193/52</f>
        <v>6.3656277430639511E-3</v>
      </c>
    </row>
    <row r="194" spans="2:9" x14ac:dyDescent="0.3">
      <c r="B194" s="331">
        <v>40592.8125</v>
      </c>
      <c r="C194" s="198">
        <v>1.25E-3</v>
      </c>
      <c r="D194" s="200">
        <f>'Weekly Quotes (Yahoo Finance)'!G167-'Analysis (Yahoo Finance)'!C194/52</f>
        <v>1.0643816413633728E-2</v>
      </c>
      <c r="E194" s="200">
        <f>'Weekly Quotes (Yahoo Finance)'!L167-'Analysis (Yahoo Finance)'!C194/52</f>
        <v>2.7547573016414046E-2</v>
      </c>
      <c r="F194" s="200">
        <f>'Weekly Quotes (Yahoo Finance)'!Q167-'Analysis (Yahoo Finance)'!C194/52</f>
        <v>2.9643055064778785E-2</v>
      </c>
      <c r="G194" s="200">
        <f>'Weekly Quotes (Yahoo Finance)'!V167-'Analysis (Yahoo Finance)'!C194/52</f>
        <v>5.0796700452250002E-2</v>
      </c>
      <c r="H194" s="200">
        <f>'Weekly Quotes (Yahoo Finance)'!AA167-'Analysis (Yahoo Finance)'!C194/52</f>
        <v>6.1529932961720893E-2</v>
      </c>
      <c r="I194" s="200">
        <f>'Weekly Quotes (Yahoo Finance)'!AF167-'Analysis (Yahoo Finance)'!C194/52</f>
        <v>2.6755406324977266E-2</v>
      </c>
    </row>
    <row r="195" spans="2:9" x14ac:dyDescent="0.3">
      <c r="B195" s="331">
        <v>40599.8125</v>
      </c>
      <c r="C195" s="198">
        <v>1.0999999940395355E-3</v>
      </c>
      <c r="D195" s="200">
        <f>'Weekly Quotes (Yahoo Finance)'!G168-'Analysis (Yahoo Finance)'!C195/52</f>
        <v>-1.6374361072714325E-2</v>
      </c>
      <c r="E195" s="200">
        <f>'Weekly Quotes (Yahoo Finance)'!L168-'Analysis (Yahoo Finance)'!C195/52</f>
        <v>-6.6068674751626297E-2</v>
      </c>
      <c r="F195" s="200">
        <f>'Weekly Quotes (Yahoo Finance)'!Q168-'Analysis (Yahoo Finance)'!C195/52</f>
        <v>-5.2023881255513757E-2</v>
      </c>
      <c r="G195" s="200">
        <f>'Weekly Quotes (Yahoo Finance)'!V168-'Analysis (Yahoo Finance)'!C195/52</f>
        <v>-3.2334407351817737E-2</v>
      </c>
      <c r="H195" s="200">
        <f>'Weekly Quotes (Yahoo Finance)'!AA168-'Analysis (Yahoo Finance)'!C195/52</f>
        <v>-3.5002146354872907E-2</v>
      </c>
      <c r="I195" s="200">
        <f>'Weekly Quotes (Yahoo Finance)'!AF168-'Analysis (Yahoo Finance)'!C195/52</f>
        <v>-2.1153846039221837E-5</v>
      </c>
    </row>
    <row r="196" spans="2:9" x14ac:dyDescent="0.3">
      <c r="B196" s="331">
        <v>40606.8125</v>
      </c>
      <c r="C196" s="198">
        <v>7.0000000298023226E-4</v>
      </c>
      <c r="D196" s="200">
        <f>'Weekly Quotes (Yahoo Finance)'!G169-'Analysis (Yahoo Finance)'!C196/52</f>
        <v>1.0444949922094151E-3</v>
      </c>
      <c r="E196" s="200">
        <f>'Weekly Quotes (Yahoo Finance)'!L169-'Analysis (Yahoo Finance)'!C196/52</f>
        <v>-1.7692983673739244E-2</v>
      </c>
      <c r="F196" s="200">
        <f>'Weekly Quotes (Yahoo Finance)'!Q169-'Analysis (Yahoo Finance)'!C196/52</f>
        <v>2.4449068283985891E-2</v>
      </c>
      <c r="G196" s="200">
        <f>'Weekly Quotes (Yahoo Finance)'!V169-'Analysis (Yahoo Finance)'!C196/52</f>
        <v>-2.8921689612111241E-2</v>
      </c>
      <c r="H196" s="200">
        <f>'Weekly Quotes (Yahoo Finance)'!AA169-'Analysis (Yahoo Finance)'!C196/52</f>
        <v>-1.6069384581432773E-2</v>
      </c>
      <c r="I196" s="200">
        <f>'Weekly Quotes (Yahoo Finance)'!AF169-'Analysis (Yahoo Finance)'!C196/52</f>
        <v>4.790910204130288E-3</v>
      </c>
    </row>
    <row r="197" spans="2:9" x14ac:dyDescent="0.3">
      <c r="B197" s="331">
        <v>40613.8125</v>
      </c>
      <c r="C197" s="198">
        <v>6.4999997615814212E-4</v>
      </c>
      <c r="D197" s="200">
        <f>'Weekly Quotes (Yahoo Finance)'!G170-'Analysis (Yahoo Finance)'!C197/52</f>
        <v>-1.2317209502010816E-2</v>
      </c>
      <c r="E197" s="200">
        <f>'Weekly Quotes (Yahoo Finance)'!L170-'Analysis (Yahoo Finance)'!C197/52</f>
        <v>-1.2385881097833283E-2</v>
      </c>
      <c r="F197" s="200">
        <f>'Weekly Quotes (Yahoo Finance)'!Q170-'Analysis (Yahoo Finance)'!C197/52</f>
        <v>-1.737868552744587E-2</v>
      </c>
      <c r="G197" s="200">
        <f>'Weekly Quotes (Yahoo Finance)'!V170-'Analysis (Yahoo Finance)'!C197/52</f>
        <v>-3.5047966989436852E-2</v>
      </c>
      <c r="H197" s="200">
        <f>'Weekly Quotes (Yahoo Finance)'!AA170-'Analysis (Yahoo Finance)'!C197/52</f>
        <v>-5.8977355597076231E-2</v>
      </c>
      <c r="I197" s="200">
        <f>'Weekly Quotes (Yahoo Finance)'!AF170-'Analysis (Yahoo Finance)'!C197/52</f>
        <v>1.4331804584244824E-2</v>
      </c>
    </row>
    <row r="198" spans="2:9" x14ac:dyDescent="0.3">
      <c r="B198" s="331">
        <v>40620.770833333336</v>
      </c>
      <c r="C198" s="198">
        <v>7.9999998211860652E-4</v>
      </c>
      <c r="D198" s="200">
        <f>'Weekly Quotes (Yahoo Finance)'!G171-'Analysis (Yahoo Finance)'!C198/52</f>
        <v>-1.9329006385055685E-2</v>
      </c>
      <c r="E198" s="200">
        <f>'Weekly Quotes (Yahoo Finance)'!L171-'Analysis (Yahoo Finance)'!C198/52</f>
        <v>-2.2794430712850415E-2</v>
      </c>
      <c r="F198" s="200">
        <f>'Weekly Quotes (Yahoo Finance)'!Q171-'Analysis (Yahoo Finance)'!C198/52</f>
        <v>-3.9779711822166712E-2</v>
      </c>
      <c r="G198" s="200">
        <f>'Weekly Quotes (Yahoo Finance)'!V171-'Analysis (Yahoo Finance)'!C198/52</f>
        <v>2.0867412747585697E-2</v>
      </c>
      <c r="H198" s="200">
        <f>'Weekly Quotes (Yahoo Finance)'!AA171-'Analysis (Yahoo Finance)'!C198/52</f>
        <v>1.2112268466325576E-2</v>
      </c>
      <c r="I198" s="200">
        <f>'Weekly Quotes (Yahoo Finance)'!AF171-'Analysis (Yahoo Finance)'!C198/52</f>
        <v>-1.5384615040742433E-5</v>
      </c>
    </row>
    <row r="199" spans="2:9" x14ac:dyDescent="0.3">
      <c r="B199" s="331">
        <v>40627.770833333336</v>
      </c>
      <c r="C199" s="198">
        <v>5.4999999701976776E-4</v>
      </c>
      <c r="D199" s="200">
        <f>'Weekly Quotes (Yahoo Finance)'!G172-'Analysis (Yahoo Finance)'!C199/52</f>
        <v>2.7697632660075334E-2</v>
      </c>
      <c r="E199" s="200">
        <f>'Weekly Quotes (Yahoo Finance)'!L172-'Analysis (Yahoo Finance)'!C199/52</f>
        <v>2.6795861859769489E-2</v>
      </c>
      <c r="F199" s="200">
        <f>'Weekly Quotes (Yahoo Finance)'!Q172-'Analysis (Yahoo Finance)'!C199/52</f>
        <v>6.0572198711224025E-2</v>
      </c>
      <c r="G199" s="200">
        <f>'Weekly Quotes (Yahoo Finance)'!V172-'Analysis (Yahoo Finance)'!C199/52</f>
        <v>5.2755588432843704E-2</v>
      </c>
      <c r="H199" s="200">
        <f>'Weekly Quotes (Yahoo Finance)'!AA172-'Analysis (Yahoo Finance)'!C199/52</f>
        <v>4.9180092986580694E-2</v>
      </c>
      <c r="I199" s="200">
        <f>'Weekly Quotes (Yahoo Finance)'!AF172-'Analysis (Yahoo Finance)'!C199/52</f>
        <v>-1.4825371187276747E-2</v>
      </c>
    </row>
    <row r="200" spans="2:9" x14ac:dyDescent="0.3">
      <c r="B200" s="331">
        <v>40634.770833333336</v>
      </c>
      <c r="C200" s="198">
        <v>3.5000000149011613E-4</v>
      </c>
      <c r="D200" s="200">
        <f>'Weekly Quotes (Yahoo Finance)'!G173-'Analysis (Yahoo Finance)'!C200/52</f>
        <v>1.4083069700869219E-2</v>
      </c>
      <c r="E200" s="200">
        <f>'Weekly Quotes (Yahoo Finance)'!L173-'Analysis (Yahoo Finance)'!C200/52</f>
        <v>4.1990960060056613E-2</v>
      </c>
      <c r="F200" s="200">
        <f>'Weekly Quotes (Yahoo Finance)'!Q173-'Analysis (Yahoo Finance)'!C200/52</f>
        <v>1.0116268150924665E-2</v>
      </c>
      <c r="G200" s="200">
        <f>'Weekly Quotes (Yahoo Finance)'!V173-'Analysis (Yahoo Finance)'!C200/52</f>
        <v>2.1852351671830157E-2</v>
      </c>
      <c r="H200" s="200">
        <f>'Weekly Quotes (Yahoo Finance)'!AA173-'Analysis (Yahoo Finance)'!C200/52</f>
        <v>1.7965181360309523E-3</v>
      </c>
      <c r="I200" s="200">
        <f>'Weekly Quotes (Yahoo Finance)'!AF173-'Analysis (Yahoo Finance)'!C200/52</f>
        <v>-6.73076925942531E-6</v>
      </c>
    </row>
    <row r="201" spans="2:9" x14ac:dyDescent="0.3">
      <c r="B201" s="331">
        <v>40641.770833333336</v>
      </c>
      <c r="C201" s="198">
        <v>5.9999998658895489E-4</v>
      </c>
      <c r="D201" s="200">
        <f>'Weekly Quotes (Yahoo Finance)'!G174-'Analysis (Yahoo Finance)'!C201/52</f>
        <v>-2.1894828805515509E-3</v>
      </c>
      <c r="E201" s="200">
        <f>'Weekly Quotes (Yahoo Finance)'!L174-'Analysis (Yahoo Finance)'!C201/52</f>
        <v>-3.704855845862521E-2</v>
      </c>
      <c r="F201" s="200">
        <f>'Weekly Quotes (Yahoo Finance)'!Q174-'Analysis (Yahoo Finance)'!C201/52</f>
        <v>4.0790194775455972E-2</v>
      </c>
      <c r="G201" s="200">
        <f>'Weekly Quotes (Yahoo Finance)'!V174-'Analysis (Yahoo Finance)'!C201/52</f>
        <v>-2.7669248337225293E-2</v>
      </c>
      <c r="H201" s="200">
        <f>'Weekly Quotes (Yahoo Finance)'!AA174-'Analysis (Yahoo Finance)'!C201/52</f>
        <v>2.5884829010241928E-3</v>
      </c>
      <c r="I201" s="200">
        <f>'Weekly Quotes (Yahoo Finance)'!AF174-'Analysis (Yahoo Finance)'!C201/52</f>
        <v>-1.1538461280556824E-5</v>
      </c>
    </row>
    <row r="202" spans="2:9" x14ac:dyDescent="0.3">
      <c r="B202" s="331">
        <v>40648.770833333336</v>
      </c>
      <c r="C202" s="198">
        <v>4.5000001788139346E-4</v>
      </c>
      <c r="D202" s="200">
        <f>'Weekly Quotes (Yahoo Finance)'!G175-'Analysis (Yahoo Finance)'!C202/52</f>
        <v>-6.1806192269860836E-3</v>
      </c>
      <c r="E202" s="200">
        <f>'Weekly Quotes (Yahoo Finance)'!L175-'Analysis (Yahoo Finance)'!C202/52</f>
        <v>2.2538447193488744E-3</v>
      </c>
      <c r="F202" s="200">
        <f>'Weekly Quotes (Yahoo Finance)'!Q175-'Analysis (Yahoo Finance)'!C202/52</f>
        <v>2.543834574888194E-2</v>
      </c>
      <c r="G202" s="200">
        <f>'Weekly Quotes (Yahoo Finance)'!V175-'Analysis (Yahoo Finance)'!C202/52</f>
        <v>-3.0675344249058479E-2</v>
      </c>
      <c r="H202" s="200">
        <f>'Weekly Quotes (Yahoo Finance)'!AA175-'Analysis (Yahoo Finance)'!C202/52</f>
        <v>7.1726867216462932E-3</v>
      </c>
      <c r="I202" s="200">
        <f>'Weekly Quotes (Yahoo Finance)'!AF175-'Analysis (Yahoo Finance)'!C202/52</f>
        <v>0.1346461413504153</v>
      </c>
    </row>
    <row r="203" spans="2:9" x14ac:dyDescent="0.3">
      <c r="B203" s="331">
        <v>40654.770833333336</v>
      </c>
      <c r="C203" s="198">
        <v>3.9999999105930326E-4</v>
      </c>
      <c r="D203" s="200">
        <f>'Weekly Quotes (Yahoo Finance)'!G176-'Analysis (Yahoo Finance)'!C203/52</f>
        <v>1.3170174866354998E-2</v>
      </c>
      <c r="E203" s="200">
        <f>'Weekly Quotes (Yahoo Finance)'!L176-'Analysis (Yahoo Finance)'!C203/52</f>
        <v>-1.1362857707624937E-3</v>
      </c>
      <c r="F203" s="200">
        <f>'Weekly Quotes (Yahoo Finance)'!Q176-'Analysis (Yahoo Finance)'!C203/52</f>
        <v>1.9442320759160889E-2</v>
      </c>
      <c r="G203" s="200">
        <f>'Weekly Quotes (Yahoo Finance)'!V176-'Analysis (Yahoo Finance)'!C203/52</f>
        <v>9.0933924926153969E-4</v>
      </c>
      <c r="H203" s="200">
        <f>'Weekly Quotes (Yahoo Finance)'!AA176-'Analysis (Yahoo Finance)'!C203/52</f>
        <v>2.6730244496645881E-2</v>
      </c>
      <c r="I203" s="200">
        <f>'Weekly Quotes (Yahoo Finance)'!AF176-'Analysis (Yahoo Finance)'!C203/52</f>
        <v>4.2763428797995356E-2</v>
      </c>
    </row>
    <row r="204" spans="2:9" x14ac:dyDescent="0.3">
      <c r="B204" s="331">
        <v>40662.770833333336</v>
      </c>
      <c r="C204" s="198">
        <v>4.9999998882412907E-5</v>
      </c>
      <c r="D204" s="200">
        <f>'Weekly Quotes (Yahoo Finance)'!G177-'Analysis (Yahoo Finance)'!C204/52</f>
        <v>1.9807634071253345E-2</v>
      </c>
      <c r="E204" s="200">
        <f>'Weekly Quotes (Yahoo Finance)'!L177-'Analysis (Yahoo Finance)'!C204/52</f>
        <v>-1.9210091678675888E-2</v>
      </c>
      <c r="F204" s="200">
        <f>'Weekly Quotes (Yahoo Finance)'!Q177-'Analysis (Yahoo Finance)'!C204/52</f>
        <v>-9.2114529037824015E-3</v>
      </c>
      <c r="G204" s="200">
        <f>'Weekly Quotes (Yahoo Finance)'!V177-'Analysis (Yahoo Finance)'!C204/52</f>
        <v>3.5271620250600648E-2</v>
      </c>
      <c r="H204" s="200">
        <f>'Weekly Quotes (Yahoo Finance)'!AA177-'Analysis (Yahoo Finance)'!C204/52</f>
        <v>-4.051869791807005E-3</v>
      </c>
      <c r="I204" s="200">
        <f>'Weekly Quotes (Yahoo Finance)'!AF177-'Analysis (Yahoo Finance)'!C204/52</f>
        <v>6.9314295992274795E-3</v>
      </c>
    </row>
    <row r="205" spans="2:9" x14ac:dyDescent="0.3">
      <c r="B205" s="331">
        <v>40669.770833333336</v>
      </c>
      <c r="C205" s="198">
        <v>1.9999999552965163E-4</v>
      </c>
      <c r="D205" s="200">
        <f>'Weekly Quotes (Yahoo Finance)'!G178-'Analysis (Yahoo Finance)'!C205/52</f>
        <v>-1.634919429754049E-2</v>
      </c>
      <c r="E205" s="200">
        <f>'Weekly Quotes (Yahoo Finance)'!L178-'Analysis (Yahoo Finance)'!C205/52</f>
        <v>-7.3736551594124441E-2</v>
      </c>
      <c r="F205" s="200">
        <f>'Weekly Quotes (Yahoo Finance)'!Q178-'Analysis (Yahoo Finance)'!C205/52</f>
        <v>-5.0468673087711011E-2</v>
      </c>
      <c r="G205" s="200">
        <f>'Weekly Quotes (Yahoo Finance)'!V178-'Analysis (Yahoo Finance)'!C205/52</f>
        <v>-9.4694167431440587E-2</v>
      </c>
      <c r="H205" s="200">
        <f>'Weekly Quotes (Yahoo Finance)'!AA178-'Analysis (Yahoo Finance)'!C205/52</f>
        <v>-3.6029423761199594E-2</v>
      </c>
      <c r="I205" s="200">
        <f>'Weekly Quotes (Yahoo Finance)'!AF178-'Analysis (Yahoo Finance)'!C205/52</f>
        <v>-5.9097379552605009E-2</v>
      </c>
    </row>
    <row r="206" spans="2:9" x14ac:dyDescent="0.3">
      <c r="B206" s="331">
        <v>40676.770833333336</v>
      </c>
      <c r="C206" s="198">
        <v>3.9999999105930326E-4</v>
      </c>
      <c r="D206" s="200">
        <f>'Weekly Quotes (Yahoo Finance)'!G179-'Analysis (Yahoo Finance)'!C206/52</f>
        <v>-1.1999699956568273E-3</v>
      </c>
      <c r="E206" s="200">
        <f>'Weekly Quotes (Yahoo Finance)'!L179-'Analysis (Yahoo Finance)'!C206/52</f>
        <v>1.7405291178219127E-2</v>
      </c>
      <c r="F206" s="200">
        <f>'Weekly Quotes (Yahoo Finance)'!Q179-'Analysis (Yahoo Finance)'!C206/52</f>
        <v>-1.7490237517981368E-2</v>
      </c>
      <c r="G206" s="200">
        <f>'Weekly Quotes (Yahoo Finance)'!V179-'Analysis (Yahoo Finance)'!C206/52</f>
        <v>-2.2979311778959257E-2</v>
      </c>
      <c r="H206" s="200">
        <f>'Weekly Quotes (Yahoo Finance)'!AA179-'Analysis (Yahoo Finance)'!C206/52</f>
        <v>-6.469721626303407E-3</v>
      </c>
      <c r="I206" s="200">
        <f>'Weekly Quotes (Yahoo Finance)'!AF179-'Analysis (Yahoo Finance)'!C206/52</f>
        <v>-4.0251631963103413E-2</v>
      </c>
    </row>
    <row r="207" spans="2:9" x14ac:dyDescent="0.3">
      <c r="B207" s="331">
        <v>40683.770833333336</v>
      </c>
      <c r="C207" s="198">
        <v>3.5000000149011613E-4</v>
      </c>
      <c r="D207" s="200">
        <f>'Weekly Quotes (Yahoo Finance)'!G180-'Analysis (Yahoo Finance)'!C207/52</f>
        <v>-3.2146739005558898E-3</v>
      </c>
      <c r="E207" s="200">
        <f>'Weekly Quotes (Yahoo Finance)'!L180-'Analysis (Yahoo Finance)'!C207/52</f>
        <v>1.099564929590254E-2</v>
      </c>
      <c r="F207" s="200">
        <f>'Weekly Quotes (Yahoo Finance)'!Q180-'Analysis (Yahoo Finance)'!C207/52</f>
        <v>-1.2370378573204591E-2</v>
      </c>
      <c r="G207" s="200">
        <f>'Weekly Quotes (Yahoo Finance)'!V180-'Analysis (Yahoo Finance)'!C207/52</f>
        <v>6.9967405289600073E-3</v>
      </c>
      <c r="H207" s="200">
        <f>'Weekly Quotes (Yahoo Finance)'!AA180-'Analysis (Yahoo Finance)'!C207/52</f>
        <v>-1.2811630329134719E-2</v>
      </c>
      <c r="I207" s="200">
        <f>'Weekly Quotes (Yahoo Finance)'!AF180-'Analysis (Yahoo Finance)'!C207/52</f>
        <v>-2.3513700856409064E-2</v>
      </c>
    </row>
    <row r="208" spans="2:9" x14ac:dyDescent="0.3">
      <c r="B208" s="331">
        <v>40690.770833333336</v>
      </c>
      <c r="C208" s="198">
        <v>2.9999999329447744E-4</v>
      </c>
      <c r="D208" s="200">
        <f>'Weekly Quotes (Yahoo Finance)'!G181-'Analysis (Yahoo Finance)'!C208/52</f>
        <v>-7.5426188133082494E-4</v>
      </c>
      <c r="E208" s="200">
        <f>'Weekly Quotes (Yahoo Finance)'!L181-'Analysis (Yahoo Finance)'!C208/52</f>
        <v>2.0550556989861687E-2</v>
      </c>
      <c r="F208" s="200">
        <f>'Weekly Quotes (Yahoo Finance)'!Q181-'Analysis (Yahoo Finance)'!C208/52</f>
        <v>-7.369511680046464E-3</v>
      </c>
      <c r="G208" s="200">
        <f>'Weekly Quotes (Yahoo Finance)'!V181-'Analysis (Yahoo Finance)'!C208/52</f>
        <v>-1.1928262083293844E-2</v>
      </c>
      <c r="H208" s="200">
        <f>'Weekly Quotes (Yahoo Finance)'!AA181-'Analysis (Yahoo Finance)'!C208/52</f>
        <v>-1.8741611378670645E-2</v>
      </c>
      <c r="I208" s="200">
        <f>'Weekly Quotes (Yahoo Finance)'!AF181-'Analysis (Yahoo Finance)'!C208/52</f>
        <v>3.8979790805433964E-3</v>
      </c>
    </row>
    <row r="209" spans="2:9" x14ac:dyDescent="0.3">
      <c r="B209" s="331">
        <v>40697.770833333336</v>
      </c>
      <c r="C209" s="198">
        <v>3.5000000149011613E-4</v>
      </c>
      <c r="D209" s="200">
        <f>'Weekly Quotes (Yahoo Finance)'!G182-'Analysis (Yahoo Finance)'!C209/52</f>
        <v>-2.3151038049808375E-2</v>
      </c>
      <c r="E209" s="200">
        <f>'Weekly Quotes (Yahoo Finance)'!L182-'Analysis (Yahoo Finance)'!C209/52</f>
        <v>-1.3039971767479544E-2</v>
      </c>
      <c r="F209" s="200">
        <f>'Weekly Quotes (Yahoo Finance)'!Q182-'Analysis (Yahoo Finance)'!C209/52</f>
        <v>-2.5229305622704461E-2</v>
      </c>
      <c r="G209" s="200">
        <f>'Weekly Quotes (Yahoo Finance)'!V182-'Analysis (Yahoo Finance)'!C209/52</f>
        <v>-4.4276906687315133E-2</v>
      </c>
      <c r="H209" s="200">
        <f>'Weekly Quotes (Yahoo Finance)'!AA182-'Analysis (Yahoo Finance)'!C209/52</f>
        <v>-1.2595872104593933E-2</v>
      </c>
      <c r="I209" s="200">
        <f>'Weekly Quotes (Yahoo Finance)'!AF182-'Analysis (Yahoo Finance)'!C209/52</f>
        <v>-6.73076925942531E-6</v>
      </c>
    </row>
    <row r="210" spans="2:9" x14ac:dyDescent="0.3">
      <c r="B210" s="331">
        <v>40704.770833333336</v>
      </c>
      <c r="C210" s="198">
        <v>2.5000000372529032E-4</v>
      </c>
      <c r="D210" s="200">
        <f>'Weekly Quotes (Yahoo Finance)'!G183-'Analysis (Yahoo Finance)'!C210/52</f>
        <v>-2.162725620040053E-2</v>
      </c>
      <c r="E210" s="200">
        <f>'Weekly Quotes (Yahoo Finance)'!L183-'Analysis (Yahoo Finance)'!C210/52</f>
        <v>-7.443457751429218E-2</v>
      </c>
      <c r="F210" s="200">
        <f>'Weekly Quotes (Yahoo Finance)'!Q183-'Analysis (Yahoo Finance)'!C210/52</f>
        <v>-3.1968279125538804E-2</v>
      </c>
      <c r="G210" s="200">
        <f>'Weekly Quotes (Yahoo Finance)'!V183-'Analysis (Yahoo Finance)'!C210/52</f>
        <v>-2.1444659062560451E-2</v>
      </c>
      <c r="H210" s="200">
        <f>'Weekly Quotes (Yahoo Finance)'!AA183-'Analysis (Yahoo Finance)'!C210/52</f>
        <v>-3.3154007177451997E-2</v>
      </c>
      <c r="I210" s="200">
        <f>'Weekly Quotes (Yahoo Finance)'!AF183-'Analysis (Yahoo Finance)'!C210/52</f>
        <v>-3.2409214050834315E-2</v>
      </c>
    </row>
    <row r="211" spans="2:9" x14ac:dyDescent="0.3">
      <c r="B211" s="331">
        <v>40711.770833333336</v>
      </c>
      <c r="C211" s="198">
        <v>9.9999997764825814E-5</v>
      </c>
      <c r="D211" s="200">
        <f>'Weekly Quotes (Yahoo Finance)'!G184-'Analysis (Yahoo Finance)'!C211/52</f>
        <v>6.0939807178393072E-4</v>
      </c>
      <c r="E211" s="200">
        <f>'Weekly Quotes (Yahoo Finance)'!L184-'Analysis (Yahoo Finance)'!C211/52</f>
        <v>2.5920171650658319E-3</v>
      </c>
      <c r="F211" s="200">
        <f>'Weekly Quotes (Yahoo Finance)'!Q184-'Analysis (Yahoo Finance)'!C211/52</f>
        <v>-1.8869839287267619E-2</v>
      </c>
      <c r="G211" s="200">
        <f>'Weekly Quotes (Yahoo Finance)'!V184-'Analysis (Yahoo Finance)'!C211/52</f>
        <v>5.1391034684712934E-2</v>
      </c>
      <c r="H211" s="200">
        <f>'Weekly Quotes (Yahoo Finance)'!AA184-'Analysis (Yahoo Finance)'!C211/52</f>
        <v>1.3167884240211445E-3</v>
      </c>
      <c r="I211" s="200">
        <f>'Weekly Quotes (Yahoo Finance)'!AF184-'Analysis (Yahoo Finance)'!C211/52</f>
        <v>-1.9230768800928042E-6</v>
      </c>
    </row>
    <row r="212" spans="2:9" x14ac:dyDescent="0.3">
      <c r="B212" s="331">
        <v>40718.770833333336</v>
      </c>
      <c r="C212" s="198">
        <v>9.9999997764825814E-5</v>
      </c>
      <c r="D212" s="200">
        <f>'Weekly Quotes (Yahoo Finance)'!G185-'Analysis (Yahoo Finance)'!C212/52</f>
        <v>-1.8909863385808891E-3</v>
      </c>
      <c r="E212" s="200">
        <f>'Weekly Quotes (Yahoo Finance)'!L185-'Analysis (Yahoo Finance)'!C212/52</f>
        <v>3.4926957977549834E-2</v>
      </c>
      <c r="F212" s="200">
        <f>'Weekly Quotes (Yahoo Finance)'!Q185-'Analysis (Yahoo Finance)'!C212/52</f>
        <v>-2.6444194816828935E-2</v>
      </c>
      <c r="G212" s="200">
        <f>'Weekly Quotes (Yahoo Finance)'!V185-'Analysis (Yahoo Finance)'!C212/52</f>
        <v>-1.3894310925317142E-2</v>
      </c>
      <c r="H212" s="200">
        <f>'Weekly Quotes (Yahoo Finance)'!AA185-'Analysis (Yahoo Finance)'!C212/52</f>
        <v>-2.6779824392272354E-2</v>
      </c>
      <c r="I212" s="200">
        <f>'Weekly Quotes (Yahoo Finance)'!AF185-'Analysis (Yahoo Finance)'!C212/52</f>
        <v>-1.9230768800928042E-6</v>
      </c>
    </row>
    <row r="213" spans="2:9" x14ac:dyDescent="0.3">
      <c r="B213" s="331">
        <v>40725.770833333336</v>
      </c>
      <c r="C213" s="198">
        <v>1.9999999552965163E-4</v>
      </c>
      <c r="D213" s="200">
        <f>'Weekly Quotes (Yahoo Finance)'!G186-'Analysis (Yahoo Finance)'!C213/52</f>
        <v>5.606429316677182E-2</v>
      </c>
      <c r="E213" s="200">
        <f>'Weekly Quotes (Yahoo Finance)'!L186-'Analysis (Yahoo Finance)'!C213/52</f>
        <v>8.2496202679973332E-2</v>
      </c>
      <c r="F213" s="200">
        <f>'Weekly Quotes (Yahoo Finance)'!Q186-'Analysis (Yahoo Finance)'!C213/52</f>
        <v>5.1024963089629519E-2</v>
      </c>
      <c r="G213" s="200">
        <f>'Weekly Quotes (Yahoo Finance)'!V186-'Analysis (Yahoo Finance)'!C213/52</f>
        <v>3.6260159148797835E-2</v>
      </c>
      <c r="H213" s="200">
        <f>'Weekly Quotes (Yahoo Finance)'!AA186-'Analysis (Yahoo Finance)'!C213/52</f>
        <v>1.3189637889078969E-2</v>
      </c>
      <c r="I213" s="200">
        <f>'Weekly Quotes (Yahoo Finance)'!AF186-'Analysis (Yahoo Finance)'!C213/52</f>
        <v>1.6071129381587793E-2</v>
      </c>
    </row>
    <row r="214" spans="2:9" x14ac:dyDescent="0.3">
      <c r="B214" s="331">
        <v>40732.770833333336</v>
      </c>
      <c r="C214" s="198">
        <v>4.9999998882412907E-5</v>
      </c>
      <c r="D214" s="200">
        <f>'Weekly Quotes (Yahoo Finance)'!G187-'Analysis (Yahoo Finance)'!C214/52</f>
        <v>3.5832359981632822E-3</v>
      </c>
      <c r="E214" s="200">
        <f>'Weekly Quotes (Yahoo Finance)'!L187-'Analysis (Yahoo Finance)'!C214/52</f>
        <v>-3.3488202822036746E-2</v>
      </c>
      <c r="F214" s="200">
        <f>'Weekly Quotes (Yahoo Finance)'!Q187-'Analysis (Yahoo Finance)'!C214/52</f>
        <v>-4.9335338396088453E-2</v>
      </c>
      <c r="G214" s="200">
        <f>'Weekly Quotes (Yahoo Finance)'!V187-'Analysis (Yahoo Finance)'!C214/52</f>
        <v>-4.2548856540149567E-2</v>
      </c>
      <c r="H214" s="200">
        <f>'Weekly Quotes (Yahoo Finance)'!AA187-'Analysis (Yahoo Finance)'!C214/52</f>
        <v>-4.5076036565066376E-2</v>
      </c>
      <c r="I214" s="200">
        <f>'Weekly Quotes (Yahoo Finance)'!AF187-'Analysis (Yahoo Finance)'!C214/52</f>
        <v>-5.7350975534883948E-2</v>
      </c>
    </row>
    <row r="215" spans="2:9" x14ac:dyDescent="0.3">
      <c r="B215" s="331">
        <v>40739.770833333336</v>
      </c>
      <c r="C215" s="198">
        <v>2.9999999329447744E-4</v>
      </c>
      <c r="D215" s="200">
        <f>'Weekly Quotes (Yahoo Finance)'!G188-'Analysis (Yahoo Finance)'!C215/52</f>
        <v>-2.0169397044234986E-2</v>
      </c>
      <c r="E215" s="200">
        <f>'Weekly Quotes (Yahoo Finance)'!L188-'Analysis (Yahoo Finance)'!C215/52</f>
        <v>-6.4521949419964197E-2</v>
      </c>
      <c r="F215" s="200">
        <f>'Weekly Quotes (Yahoo Finance)'!Q188-'Analysis (Yahoo Finance)'!C215/52</f>
        <v>-6.9198519596540164E-2</v>
      </c>
      <c r="G215" s="200">
        <f>'Weekly Quotes (Yahoo Finance)'!V188-'Analysis (Yahoo Finance)'!C215/52</f>
        <v>-6.2062058636474356E-2</v>
      </c>
      <c r="H215" s="200">
        <f>'Weekly Quotes (Yahoo Finance)'!AA188-'Analysis (Yahoo Finance)'!C215/52</f>
        <v>-3.9050305864092812E-2</v>
      </c>
      <c r="I215" s="200">
        <f>'Weekly Quotes (Yahoo Finance)'!AF188-'Analysis (Yahoo Finance)'!C215/52</f>
        <v>-6.9987762236472569E-3</v>
      </c>
    </row>
    <row r="216" spans="2:9" x14ac:dyDescent="0.3">
      <c r="B216" s="331">
        <v>40746.770833333336</v>
      </c>
      <c r="C216" s="198">
        <v>9.0000003576278691E-4</v>
      </c>
      <c r="D216" s="200">
        <f>'Weekly Quotes (Yahoo Finance)'!G189-'Analysis (Yahoo Finance)'!C216/52</f>
        <v>2.1928165281950539E-2</v>
      </c>
      <c r="E216" s="200">
        <f>'Weekly Quotes (Yahoo Finance)'!L189-'Analysis (Yahoo Finance)'!C216/52</f>
        <v>-4.2162885915271821E-2</v>
      </c>
      <c r="F216" s="200">
        <f>'Weekly Quotes (Yahoo Finance)'!Q189-'Analysis (Yahoo Finance)'!C216/52</f>
        <v>1.7681810488093162E-2</v>
      </c>
      <c r="G216" s="200">
        <f>'Weekly Quotes (Yahoo Finance)'!V189-'Analysis (Yahoo Finance)'!C216/52</f>
        <v>5.028958480701529E-3</v>
      </c>
      <c r="H216" s="200">
        <f>'Weekly Quotes (Yahoo Finance)'!AA189-'Analysis (Yahoo Finance)'!C216/52</f>
        <v>2.0237652016019701E-2</v>
      </c>
      <c r="I216" s="200">
        <f>'Weekly Quotes (Yahoo Finance)'!AF189-'Analysis (Yahoo Finance)'!C216/52</f>
        <v>-1.4101814735248941E-2</v>
      </c>
    </row>
    <row r="217" spans="2:9" x14ac:dyDescent="0.3">
      <c r="B217" s="331">
        <v>40753.770833333336</v>
      </c>
      <c r="C217" s="198">
        <v>9.9999997764825814E-5</v>
      </c>
      <c r="D217" s="200">
        <f>'Weekly Quotes (Yahoo Finance)'!G190-'Analysis (Yahoo Finance)'!C217/52</f>
        <v>-3.9012176670059427E-2</v>
      </c>
      <c r="E217" s="200">
        <f>'Weekly Quotes (Yahoo Finance)'!L190-'Analysis (Yahoo Finance)'!C217/52</f>
        <v>-6.1335298457081654E-2</v>
      </c>
      <c r="F217" s="200">
        <f>'Weekly Quotes (Yahoo Finance)'!Q190-'Analysis (Yahoo Finance)'!C217/52</f>
        <v>-5.7393286181138613E-2</v>
      </c>
      <c r="G217" s="200">
        <f>'Weekly Quotes (Yahoo Finance)'!V190-'Analysis (Yahoo Finance)'!C217/52</f>
        <v>-4.3516501179856969E-2</v>
      </c>
      <c r="H217" s="200">
        <f>'Weekly Quotes (Yahoo Finance)'!AA190-'Analysis (Yahoo Finance)'!C217/52</f>
        <v>-8.5831701785446315E-2</v>
      </c>
      <c r="I217" s="200">
        <f>'Weekly Quotes (Yahoo Finance)'!AF190-'Analysis (Yahoo Finance)'!C217/52</f>
        <v>-2.6859026697136822E-2</v>
      </c>
    </row>
    <row r="218" spans="2:9" x14ac:dyDescent="0.3">
      <c r="B218" s="331">
        <v>40760.770833333336</v>
      </c>
      <c r="C218" s="198">
        <v>4.9999998882412907E-5</v>
      </c>
      <c r="D218" s="200">
        <f>'Weekly Quotes (Yahoo Finance)'!G191-'Analysis (Yahoo Finance)'!C218/52</f>
        <v>-7.1523422444946319E-2</v>
      </c>
      <c r="E218" s="200">
        <f>'Weekly Quotes (Yahoo Finance)'!L191-'Analysis (Yahoo Finance)'!C218/52</f>
        <v>-0.17897821965719812</v>
      </c>
      <c r="F218" s="200">
        <f>'Weekly Quotes (Yahoo Finance)'!Q191-'Analysis (Yahoo Finance)'!C218/52</f>
        <v>-0.11162452657568663</v>
      </c>
      <c r="G218" s="200">
        <f>'Weekly Quotes (Yahoo Finance)'!V191-'Analysis (Yahoo Finance)'!C218/52</f>
        <v>-1.5749019313580481E-2</v>
      </c>
      <c r="H218" s="200">
        <f>'Weekly Quotes (Yahoo Finance)'!AA191-'Analysis (Yahoo Finance)'!C218/52</f>
        <v>-9.9740857725102064E-2</v>
      </c>
      <c r="I218" s="200">
        <f>'Weekly Quotes (Yahoo Finance)'!AF191-'Analysis (Yahoo Finance)'!C218/52</f>
        <v>-9.6153844004640208E-7</v>
      </c>
    </row>
    <row r="219" spans="2:9" x14ac:dyDescent="0.3">
      <c r="B219" s="331">
        <v>40767.770833333336</v>
      </c>
      <c r="C219" s="198">
        <v>9.9999997764825814E-5</v>
      </c>
      <c r="D219" s="200">
        <f>'Weekly Quotes (Yahoo Finance)'!G192-'Analysis (Yahoo Finance)'!C219/52</f>
        <v>-1.6324366902541042E-2</v>
      </c>
      <c r="E219" s="200">
        <f>'Weekly Quotes (Yahoo Finance)'!L192-'Analysis (Yahoo Finance)'!C219/52</f>
        <v>-0.10726835834064476</v>
      </c>
      <c r="F219" s="200">
        <f>'Weekly Quotes (Yahoo Finance)'!Q192-'Analysis (Yahoo Finance)'!C219/52</f>
        <v>-3.1171759535748777E-3</v>
      </c>
      <c r="G219" s="200">
        <f>'Weekly Quotes (Yahoo Finance)'!V192-'Analysis (Yahoo Finance)'!C219/52</f>
        <v>-0.10370562678058383</v>
      </c>
      <c r="H219" s="200">
        <f>'Weekly Quotes (Yahoo Finance)'!AA192-'Analysis (Yahoo Finance)'!C219/52</f>
        <v>-3.2357915920259404E-2</v>
      </c>
      <c r="I219" s="200">
        <f>'Weekly Quotes (Yahoo Finance)'!AF192-'Analysis (Yahoo Finance)'!C219/52</f>
        <v>-1.9230768800928042E-6</v>
      </c>
    </row>
    <row r="220" spans="2:9" x14ac:dyDescent="0.3">
      <c r="B220" s="331">
        <v>40774.770833333336</v>
      </c>
      <c r="C220" s="198">
        <v>9.9999997764825814E-5</v>
      </c>
      <c r="D220" s="200">
        <f>'Weekly Quotes (Yahoo Finance)'!G193-'Analysis (Yahoo Finance)'!C220/52</f>
        <v>-4.6395448555291673E-2</v>
      </c>
      <c r="E220" s="200">
        <f>'Weekly Quotes (Yahoo Finance)'!L193-'Analysis (Yahoo Finance)'!C220/52</f>
        <v>-3.488573238331396E-2</v>
      </c>
      <c r="F220" s="200">
        <f>'Weekly Quotes (Yahoo Finance)'!Q193-'Analysis (Yahoo Finance)'!C220/52</f>
        <v>-8.4168650520414681E-2</v>
      </c>
      <c r="G220" s="200">
        <f>'Weekly Quotes (Yahoo Finance)'!V193-'Analysis (Yahoo Finance)'!C220/52</f>
        <v>-2.2811858087049351E-2</v>
      </c>
      <c r="H220" s="200">
        <f>'Weekly Quotes (Yahoo Finance)'!AA193-'Analysis (Yahoo Finance)'!C220/52</f>
        <v>-0.1491286312771867</v>
      </c>
      <c r="I220" s="200">
        <f>'Weekly Quotes (Yahoo Finance)'!AF193-'Analysis (Yahoo Finance)'!C220/52</f>
        <v>-0.19700722904504422</v>
      </c>
    </row>
    <row r="221" spans="2:9" x14ac:dyDescent="0.3">
      <c r="B221" s="331">
        <v>40781.770833333336</v>
      </c>
      <c r="C221" s="198">
        <v>1.4999999664723872E-4</v>
      </c>
      <c r="D221" s="200">
        <f>'Weekly Quotes (Yahoo Finance)'!G194-'Analysis (Yahoo Finance)'!C221/52</f>
        <v>4.7316023942349156E-2</v>
      </c>
      <c r="E221" s="200">
        <f>'Weekly Quotes (Yahoo Finance)'!L194-'Analysis (Yahoo Finance)'!C221/52</f>
        <v>4.0133382621210497E-3</v>
      </c>
      <c r="F221" s="200">
        <f>'Weekly Quotes (Yahoo Finance)'!Q194-'Analysis (Yahoo Finance)'!C221/52</f>
        <v>5.2544906542751929E-2</v>
      </c>
      <c r="G221" s="200">
        <f>'Weekly Quotes (Yahoo Finance)'!V194-'Analysis (Yahoo Finance)'!C221/52</f>
        <v>0.17523399989452451</v>
      </c>
      <c r="H221" s="200">
        <f>'Weekly Quotes (Yahoo Finance)'!AA194-'Analysis (Yahoo Finance)'!C221/52</f>
        <v>-3.1055524225209161E-2</v>
      </c>
      <c r="I221" s="200">
        <f>'Weekly Quotes (Yahoo Finance)'!AF194-'Analysis (Yahoo Finance)'!C221/52</f>
        <v>2.3763097449186945E-2</v>
      </c>
    </row>
    <row r="222" spans="2:9" x14ac:dyDescent="0.3">
      <c r="B222" s="331">
        <v>40788.770833333336</v>
      </c>
      <c r="C222" s="198">
        <v>4.9999998882412907E-5</v>
      </c>
      <c r="D222" s="200">
        <f>'Weekly Quotes (Yahoo Finance)'!G195-'Analysis (Yahoo Finance)'!C222/52</f>
        <v>-1.0181925746382647E-3</v>
      </c>
      <c r="E222" s="200">
        <f>'Weekly Quotes (Yahoo Finance)'!L195-'Analysis (Yahoo Finance)'!C222/52</f>
        <v>9.998858662936639E-3</v>
      </c>
      <c r="F222" s="200">
        <f>'Weekly Quotes (Yahoo Finance)'!Q195-'Analysis (Yahoo Finance)'!C222/52</f>
        <v>4.9491187398886742E-2</v>
      </c>
      <c r="G222" s="200">
        <f>'Weekly Quotes (Yahoo Finance)'!V195-'Analysis (Yahoo Finance)'!C222/52</f>
        <v>-5.8568672743418655E-2</v>
      </c>
      <c r="H222" s="200">
        <f>'Weekly Quotes (Yahoo Finance)'!AA195-'Analysis (Yahoo Finance)'!C222/52</f>
        <v>2.2631665844511085E-2</v>
      </c>
      <c r="I222" s="200">
        <f>'Weekly Quotes (Yahoo Finance)'!AF195-'Analysis (Yahoo Finance)'!C222/52</f>
        <v>-9.6153844004640208E-7</v>
      </c>
    </row>
    <row r="223" spans="2:9" x14ac:dyDescent="0.3">
      <c r="B223" s="331">
        <v>40795.770833333336</v>
      </c>
      <c r="C223" s="198">
        <v>4.9999998882412907E-5</v>
      </c>
      <c r="D223" s="200">
        <f>'Weekly Quotes (Yahoo Finance)'!G196-'Analysis (Yahoo Finance)'!C223/52</f>
        <v>-1.6377714446074564E-2</v>
      </c>
      <c r="E223" s="200">
        <f>'Weekly Quotes (Yahoo Finance)'!L196-'Analysis (Yahoo Finance)'!C223/52</f>
        <v>-1.9802828175604036E-2</v>
      </c>
      <c r="F223" s="200">
        <f>'Weekly Quotes (Yahoo Finance)'!Q196-'Analysis (Yahoo Finance)'!C223/52</f>
        <v>-6.1162408165892752E-2</v>
      </c>
      <c r="G223" s="200">
        <f>'Weekly Quotes (Yahoo Finance)'!V196-'Analysis (Yahoo Finance)'!C223/52</f>
        <v>-2.0327470006198233E-2</v>
      </c>
      <c r="H223" s="200">
        <f>'Weekly Quotes (Yahoo Finance)'!AA196-'Analysis (Yahoo Finance)'!C223/52</f>
        <v>-4.0900419612329993E-2</v>
      </c>
      <c r="I223" s="200">
        <f>'Weekly Quotes (Yahoo Finance)'!AF196-'Analysis (Yahoo Finance)'!C223/52</f>
        <v>-2.5000988786277611E-2</v>
      </c>
    </row>
    <row r="224" spans="2:9" x14ac:dyDescent="0.3">
      <c r="B224" s="331">
        <v>40802.770833333336</v>
      </c>
      <c r="C224" s="198">
        <v>4.9999998882412907E-5</v>
      </c>
      <c r="D224" s="200">
        <f>'Weekly Quotes (Yahoo Finance)'!G197-'Analysis (Yahoo Finance)'!C224/52</f>
        <v>5.3699854303953236E-2</v>
      </c>
      <c r="E224" s="200">
        <f>'Weekly Quotes (Yahoo Finance)'!L197-'Analysis (Yahoo Finance)'!C224/52</f>
        <v>-1.8182673344302968E-2</v>
      </c>
      <c r="F224" s="200">
        <f>'Weekly Quotes (Yahoo Finance)'!Q197-'Analysis (Yahoo Finance)'!C224/52</f>
        <v>3.8384590159089065E-2</v>
      </c>
      <c r="G224" s="200">
        <f>'Weekly Quotes (Yahoo Finance)'!V197-'Analysis (Yahoo Finance)'!C224/52</f>
        <v>4.306728310897661E-2</v>
      </c>
      <c r="H224" s="200">
        <f>'Weekly Quotes (Yahoo Finance)'!AA197-'Analysis (Yahoo Finance)'!C224/52</f>
        <v>8.1594056609012686E-2</v>
      </c>
      <c r="I224" s="200">
        <f>'Weekly Quotes (Yahoo Finance)'!AF197-'Analysis (Yahoo Finance)'!C224/52</f>
        <v>-7.4359893261086121E-2</v>
      </c>
    </row>
    <row r="225" spans="2:9" x14ac:dyDescent="0.3">
      <c r="B225" s="331">
        <v>40809.770833333336</v>
      </c>
      <c r="C225" s="198">
        <v>9.9999997764825814E-5</v>
      </c>
      <c r="D225" s="200">
        <f>'Weekly Quotes (Yahoo Finance)'!G198-'Analysis (Yahoo Finance)'!C225/52</f>
        <v>-6.5670092497409641E-2</v>
      </c>
      <c r="E225" s="200">
        <f>'Weekly Quotes (Yahoo Finance)'!L198-'Analysis (Yahoo Finance)'!C225/52</f>
        <v>-0.27160704296993532</v>
      </c>
      <c r="F225" s="200">
        <f>'Weekly Quotes (Yahoo Finance)'!Q198-'Analysis (Yahoo Finance)'!C225/52</f>
        <v>-6.5908121673726519E-2</v>
      </c>
      <c r="G225" s="200">
        <f>'Weekly Quotes (Yahoo Finance)'!V198-'Analysis (Yahoo Finance)'!C225/52</f>
        <v>-0.12959809863021224</v>
      </c>
      <c r="H225" s="200">
        <f>'Weekly Quotes (Yahoo Finance)'!AA198-'Analysis (Yahoo Finance)'!C225/52</f>
        <v>-0.1211829856409752</v>
      </c>
      <c r="I225" s="200">
        <f>'Weekly Quotes (Yahoo Finance)'!AF198-'Analysis (Yahoo Finance)'!C225/52</f>
        <v>-4.0366008525493456E-2</v>
      </c>
    </row>
    <row r="226" spans="2:9" x14ac:dyDescent="0.3">
      <c r="B226" s="331">
        <v>40816.770833333336</v>
      </c>
      <c r="C226" s="198">
        <v>4.9999998882412907E-5</v>
      </c>
      <c r="D226" s="200">
        <f>'Weekly Quotes (Yahoo Finance)'!G199-'Analysis (Yahoo Finance)'!C226/52</f>
        <v>-3.4358689411499543E-3</v>
      </c>
      <c r="E226" s="200">
        <f>'Weekly Quotes (Yahoo Finance)'!L199-'Analysis (Yahoo Finance)'!C226/52</f>
        <v>-0.10734540749883754</v>
      </c>
      <c r="F226" s="200">
        <f>'Weekly Quotes (Yahoo Finance)'!Q199-'Analysis (Yahoo Finance)'!C226/52</f>
        <v>0.10131065900672802</v>
      </c>
      <c r="G226" s="200">
        <f>'Weekly Quotes (Yahoo Finance)'!V199-'Analysis (Yahoo Finance)'!C226/52</f>
        <v>-4.570732349074353E-2</v>
      </c>
      <c r="H226" s="200">
        <f>'Weekly Quotes (Yahoo Finance)'!AA199-'Analysis (Yahoo Finance)'!C226/52</f>
        <v>6.4477569955037214E-2</v>
      </c>
      <c r="I226" s="200">
        <f>'Weekly Quotes (Yahoo Finance)'!AF199-'Analysis (Yahoo Finance)'!C226/52</f>
        <v>0.10515364617539695</v>
      </c>
    </row>
    <row r="227" spans="2:9" x14ac:dyDescent="0.3">
      <c r="B227" s="331">
        <v>40823.770833333336</v>
      </c>
      <c r="C227" s="198">
        <v>1.4999999664723872E-4</v>
      </c>
      <c r="D227" s="200">
        <f>'Weekly Quotes (Yahoo Finance)'!G200-'Analysis (Yahoo Finance)'!C227/52</f>
        <v>2.2621927793615073E-2</v>
      </c>
      <c r="E227" s="200">
        <f>'Weekly Quotes (Yahoo Finance)'!L200-'Analysis (Yahoo Finance)'!C227/52</f>
        <v>-0.10759785274368114</v>
      </c>
      <c r="F227" s="200">
        <f>'Weekly Quotes (Yahoo Finance)'!Q200-'Analysis (Yahoo Finance)'!C227/52</f>
        <v>5.8518701292401359E-2</v>
      </c>
      <c r="G227" s="200">
        <f>'Weekly Quotes (Yahoo Finance)'!V200-'Analysis (Yahoo Finance)'!C227/52</f>
        <v>1.7413714038033514E-2</v>
      </c>
      <c r="H227" s="200">
        <f>'Weekly Quotes (Yahoo Finance)'!AA200-'Analysis (Yahoo Finance)'!C227/52</f>
        <v>-2.2079200412669395E-2</v>
      </c>
      <c r="I227" s="200">
        <f>'Weekly Quotes (Yahoo Finance)'!AF200-'Analysis (Yahoo Finance)'!C227/52</f>
        <v>5.9885230880051737E-2</v>
      </c>
    </row>
    <row r="228" spans="2:9" x14ac:dyDescent="0.3">
      <c r="B228" s="331">
        <v>40830.770833333336</v>
      </c>
      <c r="C228" s="198">
        <v>1.4999999664723872E-4</v>
      </c>
      <c r="D228" s="200">
        <f>'Weekly Quotes (Yahoo Finance)'!G201-'Analysis (Yahoo Finance)'!C228/52</f>
        <v>5.9283267529089551E-2</v>
      </c>
      <c r="E228" s="200">
        <f>'Weekly Quotes (Yahoo Finance)'!L201-'Analysis (Yahoo Finance)'!C228/52</f>
        <v>0.32978412067822993</v>
      </c>
      <c r="F228" s="200">
        <f>'Weekly Quotes (Yahoo Finance)'!Q201-'Analysis (Yahoo Finance)'!C228/52</f>
        <v>4.752376296927599E-2</v>
      </c>
      <c r="G228" s="200">
        <f>'Weekly Quotes (Yahoo Finance)'!V201-'Analysis (Yahoo Finance)'!C228/52</f>
        <v>0.14550345929132694</v>
      </c>
      <c r="H228" s="200">
        <f>'Weekly Quotes (Yahoo Finance)'!AA201-'Analysis (Yahoo Finance)'!C228/52</f>
        <v>0.12891502665567292</v>
      </c>
      <c r="I228" s="200">
        <f>'Weekly Quotes (Yahoo Finance)'!AF201-'Analysis (Yahoo Finance)'!C228/52</f>
        <v>5.4740940775897889E-2</v>
      </c>
    </row>
    <row r="229" spans="2:9" x14ac:dyDescent="0.3">
      <c r="B229" s="331">
        <v>40837.770833333336</v>
      </c>
      <c r="C229" s="198">
        <v>9.9999997764825814E-5</v>
      </c>
      <c r="D229" s="200">
        <f>'Weekly Quotes (Yahoo Finance)'!G202-'Analysis (Yahoo Finance)'!C229/52</f>
        <v>1.142013394657302E-2</v>
      </c>
      <c r="E229" s="200">
        <f>'Weekly Quotes (Yahoo Finance)'!L202-'Analysis (Yahoo Finance)'!C229/52</f>
        <v>-6.1335147431577773E-2</v>
      </c>
      <c r="F229" s="200">
        <f>'Weekly Quotes (Yahoo Finance)'!Q202-'Analysis (Yahoo Finance)'!C229/52</f>
        <v>1.4812909869520975E-2</v>
      </c>
      <c r="G229" s="200">
        <f>'Weekly Quotes (Yahoo Finance)'!V202-'Analysis (Yahoo Finance)'!C229/52</f>
        <v>-3.8918427878208782E-2</v>
      </c>
      <c r="H229" s="200">
        <f>'Weekly Quotes (Yahoo Finance)'!AA202-'Analysis (Yahoo Finance)'!C229/52</f>
        <v>-5.1250030172645044E-3</v>
      </c>
      <c r="I229" s="200">
        <f>'Weekly Quotes (Yahoo Finance)'!AF202-'Analysis (Yahoo Finance)'!C229/52</f>
        <v>-1.9230768800928042E-6</v>
      </c>
    </row>
    <row r="230" spans="2:9" x14ac:dyDescent="0.3">
      <c r="B230" s="331">
        <v>40844.770833333336</v>
      </c>
      <c r="C230" s="198">
        <v>4.9999998882412907E-5</v>
      </c>
      <c r="D230" s="200">
        <f>'Weekly Quotes (Yahoo Finance)'!G203-'Analysis (Yahoo Finance)'!C230/52</f>
        <v>3.7346822903134118E-2</v>
      </c>
      <c r="E230" s="200">
        <f>'Weekly Quotes (Yahoo Finance)'!L203-'Analysis (Yahoo Finance)'!C230/52</f>
        <v>0.25852163036205095</v>
      </c>
      <c r="F230" s="200">
        <f>'Weekly Quotes (Yahoo Finance)'!Q203-'Analysis (Yahoo Finance)'!C230/52</f>
        <v>5.3831169921598469E-2</v>
      </c>
      <c r="G230" s="200">
        <f>'Weekly Quotes (Yahoo Finance)'!V203-'Analysis (Yahoo Finance)'!C230/52</f>
        <v>7.5800728828386996E-2</v>
      </c>
      <c r="H230" s="200">
        <f>'Weekly Quotes (Yahoo Finance)'!AA203-'Analysis (Yahoo Finance)'!C230/52</f>
        <v>0.14800567856940056</v>
      </c>
      <c r="I230" s="200">
        <f>'Weekly Quotes (Yahoo Finance)'!AF203-'Analysis (Yahoo Finance)'!C230/52</f>
        <v>0.10146769695370532</v>
      </c>
    </row>
    <row r="231" spans="2:9" x14ac:dyDescent="0.3">
      <c r="B231" s="331">
        <v>40851.770833333336</v>
      </c>
      <c r="C231" s="198">
        <v>4.9999998882412907E-5</v>
      </c>
      <c r="D231" s="200">
        <f>'Weekly Quotes (Yahoo Finance)'!G204-'Analysis (Yahoo Finance)'!C231/52</f>
        <v>-2.4262257016689003E-2</v>
      </c>
      <c r="E231" s="200">
        <f>'Weekly Quotes (Yahoo Finance)'!L204-'Analysis (Yahoo Finance)'!C231/52</f>
        <v>5.6432600913993207E-2</v>
      </c>
      <c r="F231" s="200">
        <f>'Weekly Quotes (Yahoo Finance)'!Q204-'Analysis (Yahoo Finance)'!C231/52</f>
        <v>-8.3983671943269569E-2</v>
      </c>
      <c r="G231" s="200">
        <f>'Weekly Quotes (Yahoo Finance)'!V204-'Analysis (Yahoo Finance)'!C231/52</f>
        <v>-7.8591710558461439E-2</v>
      </c>
      <c r="H231" s="200">
        <f>'Weekly Quotes (Yahoo Finance)'!AA204-'Analysis (Yahoo Finance)'!C231/52</f>
        <v>-5.0789589887905336E-2</v>
      </c>
      <c r="I231" s="200">
        <f>'Weekly Quotes (Yahoo Finance)'!AF204-'Analysis (Yahoo Finance)'!C231/52</f>
        <v>-8.0303980281781831E-2</v>
      </c>
    </row>
    <row r="232" spans="2:9" x14ac:dyDescent="0.3">
      <c r="B232" s="331">
        <v>40858.8125</v>
      </c>
      <c r="C232" s="198">
        <v>4.9999998882412907E-5</v>
      </c>
      <c r="D232" s="200">
        <f>'Weekly Quotes (Yahoo Finance)'!G205-'Analysis (Yahoo Finance)'!C232/52</f>
        <v>9.4029297080337366E-3</v>
      </c>
      <c r="E232" s="200">
        <f>'Weekly Quotes (Yahoo Finance)'!L205-'Analysis (Yahoo Finance)'!C232/52</f>
        <v>-1.0684788473361583E-2</v>
      </c>
      <c r="F232" s="200">
        <f>'Weekly Quotes (Yahoo Finance)'!Q205-'Analysis (Yahoo Finance)'!C232/52</f>
        <v>-4.2534033234011455E-2</v>
      </c>
      <c r="G232" s="200">
        <f>'Weekly Quotes (Yahoo Finance)'!V205-'Analysis (Yahoo Finance)'!C232/52</f>
        <v>-2.9421429588948988E-3</v>
      </c>
      <c r="H232" s="200">
        <f>'Weekly Quotes (Yahoo Finance)'!AA205-'Analysis (Yahoo Finance)'!C232/52</f>
        <v>-1.6159461283099596E-2</v>
      </c>
      <c r="I232" s="200">
        <f>'Weekly Quotes (Yahoo Finance)'!AF205-'Analysis (Yahoo Finance)'!C232/52</f>
        <v>-6.3427687080904807E-2</v>
      </c>
    </row>
    <row r="233" spans="2:9" x14ac:dyDescent="0.3">
      <c r="B233" s="331">
        <v>40865.8125</v>
      </c>
      <c r="C233" s="198">
        <v>4.9999998882412907E-5</v>
      </c>
      <c r="D233" s="200">
        <f>'Weekly Quotes (Yahoo Finance)'!G206-'Analysis (Yahoo Finance)'!C233/52</f>
        <v>-3.6950276001280487E-2</v>
      </c>
      <c r="E233" s="200">
        <f>'Weekly Quotes (Yahoo Finance)'!L206-'Analysis (Yahoo Finance)'!C233/52</f>
        <v>-7.7754681286260022E-2</v>
      </c>
      <c r="F233" s="200">
        <f>'Weekly Quotes (Yahoo Finance)'!Q206-'Analysis (Yahoo Finance)'!C233/52</f>
        <v>1.2832237634661615E-2</v>
      </c>
      <c r="G233" s="200">
        <f>'Weekly Quotes (Yahoo Finance)'!V206-'Analysis (Yahoo Finance)'!C233/52</f>
        <v>5.4735192632842704E-2</v>
      </c>
      <c r="H233" s="200">
        <f>'Weekly Quotes (Yahoo Finance)'!AA206-'Analysis (Yahoo Finance)'!C233/52</f>
        <v>-6.9880138362954661E-2</v>
      </c>
      <c r="I233" s="200">
        <f>'Weekly Quotes (Yahoo Finance)'!AF206-'Analysis (Yahoo Finance)'!C233/52</f>
        <v>-1.6007995343838521E-2</v>
      </c>
    </row>
    <row r="234" spans="2:9" x14ac:dyDescent="0.3">
      <c r="B234" s="331">
        <v>40872.8125</v>
      </c>
      <c r="C234" s="198">
        <v>1.4999999664723872E-4</v>
      </c>
      <c r="D234" s="200">
        <f>'Weekly Quotes (Yahoo Finance)'!G207-'Analysis (Yahoo Finance)'!C234/52</f>
        <v>-4.6240028932650307E-2</v>
      </c>
      <c r="E234" s="200">
        <f>'Weekly Quotes (Yahoo Finance)'!L207-'Analysis (Yahoo Finance)'!C234/52</f>
        <v>-0.18501449841776116</v>
      </c>
      <c r="F234" s="200">
        <f>'Weekly Quotes (Yahoo Finance)'!Q207-'Analysis (Yahoo Finance)'!C234/52</f>
        <v>-8.1484382290881258E-2</v>
      </c>
      <c r="G234" s="200">
        <f>'Weekly Quotes (Yahoo Finance)'!V207-'Analysis (Yahoo Finance)'!C234/52</f>
        <v>-8.5459696386683909E-2</v>
      </c>
      <c r="H234" s="200">
        <f>'Weekly Quotes (Yahoo Finance)'!AA207-'Analysis (Yahoo Finance)'!C234/52</f>
        <v>-9.5788327176133031E-2</v>
      </c>
      <c r="I234" s="200">
        <f>'Weekly Quotes (Yahoo Finance)'!AF207-'Analysis (Yahoo Finance)'!C234/52</f>
        <v>-0.11065713521720563</v>
      </c>
    </row>
    <row r="235" spans="2:9" x14ac:dyDescent="0.3">
      <c r="B235" s="331">
        <v>40879.8125</v>
      </c>
      <c r="C235" s="198">
        <v>4.9999998882412907E-5</v>
      </c>
      <c r="D235" s="200">
        <f>'Weekly Quotes (Yahoo Finance)'!G208-'Analysis (Yahoo Finance)'!C235/52</f>
        <v>7.323270307090006E-2</v>
      </c>
      <c r="E235" s="200">
        <f>'Weekly Quotes (Yahoo Finance)'!L208-'Analysis (Yahoo Finance)'!C235/52</f>
        <v>0.37356192952904305</v>
      </c>
      <c r="F235" s="200">
        <f>'Weekly Quotes (Yahoo Finance)'!Q208-'Analysis (Yahoo Finance)'!C235/52</f>
        <v>0.11629784914062695</v>
      </c>
      <c r="G235" s="200">
        <f>'Weekly Quotes (Yahoo Finance)'!V208-'Analysis (Yahoo Finance)'!C235/52</f>
        <v>0.11012819423028801</v>
      </c>
      <c r="H235" s="200">
        <f>'Weekly Quotes (Yahoo Finance)'!AA208-'Analysis (Yahoo Finance)'!C235/52</f>
        <v>0.18478162882378463</v>
      </c>
      <c r="I235" s="200">
        <f>'Weekly Quotes (Yahoo Finance)'!AF208-'Analysis (Yahoo Finance)'!C235/52</f>
        <v>0.12160706332709863</v>
      </c>
    </row>
    <row r="236" spans="2:9" x14ac:dyDescent="0.3">
      <c r="B236" s="331">
        <v>40886.8125</v>
      </c>
      <c r="C236" s="198">
        <v>4.9999998882412907E-5</v>
      </c>
      <c r="D236" s="200">
        <f>'Weekly Quotes (Yahoo Finance)'!G209-'Analysis (Yahoo Finance)'!C236/52</f>
        <v>9.5297323233988658E-3</v>
      </c>
      <c r="E236" s="200">
        <f>'Weekly Quotes (Yahoo Finance)'!L209-'Analysis (Yahoo Finance)'!C236/52</f>
        <v>6.0668714100340741E-2</v>
      </c>
      <c r="F236" s="200">
        <f>'Weekly Quotes (Yahoo Finance)'!Q209-'Analysis (Yahoo Finance)'!C236/52</f>
        <v>-1.9020949843620671E-3</v>
      </c>
      <c r="G236" s="200">
        <f>'Weekly Quotes (Yahoo Finance)'!V209-'Analysis (Yahoo Finance)'!C236/52</f>
        <v>2.7249479178232439E-2</v>
      </c>
      <c r="H236" s="200">
        <f>'Weekly Quotes (Yahoo Finance)'!AA209-'Analysis (Yahoo Finance)'!C236/52</f>
        <v>-1.2440695132453338E-2</v>
      </c>
      <c r="I236" s="200">
        <f>'Weekly Quotes (Yahoo Finance)'!AF209-'Analysis (Yahoo Finance)'!C236/52</f>
        <v>1.5232054598481582E-2</v>
      </c>
    </row>
    <row r="237" spans="2:9" x14ac:dyDescent="0.3">
      <c r="B237" s="331">
        <v>40893.8125</v>
      </c>
      <c r="C237" s="198">
        <v>4.9999998882412907E-5</v>
      </c>
      <c r="D237" s="200">
        <f>'Weekly Quotes (Yahoo Finance)'!G210-'Analysis (Yahoo Finance)'!C237/52</f>
        <v>-2.9275111673541975E-2</v>
      </c>
      <c r="E237" s="200">
        <f>'Weekly Quotes (Yahoo Finance)'!L210-'Analysis (Yahoo Finance)'!C237/52</f>
        <v>-7.8906394513164717E-3</v>
      </c>
      <c r="F237" s="200">
        <f>'Weekly Quotes (Yahoo Finance)'!Q210-'Analysis (Yahoo Finance)'!C237/52</f>
        <v>-6.2667663808947907E-2</v>
      </c>
      <c r="G237" s="200">
        <f>'Weekly Quotes (Yahoo Finance)'!V210-'Analysis (Yahoo Finance)'!C237/52</f>
        <v>0.15588576457686426</v>
      </c>
      <c r="H237" s="200">
        <f>'Weekly Quotes (Yahoo Finance)'!AA210-'Analysis (Yahoo Finance)'!C237/52</f>
        <v>-4.928449698386201E-2</v>
      </c>
      <c r="I237" s="200">
        <f>'Weekly Quotes (Yahoo Finance)'!AF210-'Analysis (Yahoo Finance)'!C237/52</f>
        <v>-8.2083951840826688E-2</v>
      </c>
    </row>
    <row r="238" spans="2:9" x14ac:dyDescent="0.3">
      <c r="B238" s="331">
        <v>40900.8125</v>
      </c>
      <c r="C238" s="198">
        <v>4.9999998882412907E-5</v>
      </c>
      <c r="D238" s="200">
        <f>'Weekly Quotes (Yahoo Finance)'!G211-'Analysis (Yahoo Finance)'!C238/52</f>
        <v>3.947599541794438E-2</v>
      </c>
      <c r="E238" s="200">
        <f>'Weekly Quotes (Yahoo Finance)'!L211-'Analysis (Yahoo Finance)'!C238/52</f>
        <v>8.1510038434511031E-2</v>
      </c>
      <c r="F238" s="200">
        <f>'Weekly Quotes (Yahoo Finance)'!Q211-'Analysis (Yahoo Finance)'!C238/52</f>
        <v>1.7068724111229883E-2</v>
      </c>
      <c r="G238" s="200">
        <f>'Weekly Quotes (Yahoo Finance)'!V211-'Analysis (Yahoo Finance)'!C238/52</f>
        <v>2.0370388136513973E-2</v>
      </c>
      <c r="H238" s="200">
        <f>'Weekly Quotes (Yahoo Finance)'!AA211-'Analysis (Yahoo Finance)'!C238/52</f>
        <v>7.2208324955870415E-2</v>
      </c>
      <c r="I238" s="200">
        <f>'Weekly Quotes (Yahoo Finance)'!AF211-'Analysis (Yahoo Finance)'!C238/52</f>
        <v>3.3652884615406213E-2</v>
      </c>
    </row>
    <row r="239" spans="2:9" x14ac:dyDescent="0.3">
      <c r="B239" s="331">
        <v>40907.8125</v>
      </c>
      <c r="C239" s="198">
        <v>1.4999999664723872E-4</v>
      </c>
      <c r="D239" s="200">
        <f>'Weekly Quotes (Yahoo Finance)'!G212-'Analysis (Yahoo Finance)'!C239/52</f>
        <v>-7.0445761569480651E-3</v>
      </c>
      <c r="E239" s="200">
        <f>'Weekly Quotes (Yahoo Finance)'!L212-'Analysis (Yahoo Finance)'!C239/52</f>
        <v>-9.1941179681256108E-3</v>
      </c>
      <c r="F239" s="200">
        <f>'Weekly Quotes (Yahoo Finance)'!Q212-'Analysis (Yahoo Finance)'!C239/52</f>
        <v>3.9931843789522666E-3</v>
      </c>
      <c r="G239" s="200">
        <f>'Weekly Quotes (Yahoo Finance)'!V212-'Analysis (Yahoo Finance)'!C239/52</f>
        <v>-5.5626830080378357E-3</v>
      </c>
      <c r="H239" s="200">
        <f>'Weekly Quotes (Yahoo Finance)'!AA212-'Analysis (Yahoo Finance)'!C239/52</f>
        <v>1.2972153923493738E-2</v>
      </c>
      <c r="I239" s="200">
        <f>'Weekly Quotes (Yahoo Finance)'!AF212-'Analysis (Yahoo Finance)'!C239/52</f>
        <v>6.5087149032119459E-3</v>
      </c>
    </row>
    <row r="240" spans="2:9" x14ac:dyDescent="0.3">
      <c r="B240" s="331">
        <v>40914.8125</v>
      </c>
      <c r="C240" s="198">
        <v>1.9999999552965163E-4</v>
      </c>
      <c r="D240" s="200">
        <f>'Weekly Quotes (Yahoo Finance)'!G213-'Analysis (Yahoo Finance)'!C240/52</f>
        <v>1.7605708304189574E-2</v>
      </c>
      <c r="E240" s="200">
        <f>'Weekly Quotes (Yahoo Finance)'!L213-'Analysis (Yahoo Finance)'!C240/52</f>
        <v>7.4173728662855921E-3</v>
      </c>
      <c r="F240" s="200">
        <f>'Weekly Quotes (Yahoo Finance)'!Q213-'Analysis (Yahoo Finance)'!C240/52</f>
        <v>9.946364531967471E-3</v>
      </c>
      <c r="G240" s="200">
        <f>'Weekly Quotes (Yahoo Finance)'!V213-'Analysis (Yahoo Finance)'!C240/52</f>
        <v>-1.5285618061179744E-3</v>
      </c>
      <c r="H240" s="200">
        <f>'Weekly Quotes (Yahoo Finance)'!AA213-'Analysis (Yahoo Finance)'!C240/52</f>
        <v>3.0188219601893176E-2</v>
      </c>
      <c r="I240" s="200">
        <f>'Weekly Quotes (Yahoo Finance)'!AF213-'Analysis (Yahoo Finance)'!C240/52</f>
        <v>-3.8461537601856083E-6</v>
      </c>
    </row>
    <row r="241" spans="2:9" x14ac:dyDescent="0.3">
      <c r="B241" s="331">
        <v>40921.8125</v>
      </c>
      <c r="C241" s="198">
        <v>3.9999999105930326E-4</v>
      </c>
      <c r="D241" s="200">
        <f>'Weekly Quotes (Yahoo Finance)'!G214-'Analysis (Yahoo Finance)'!C241/52</f>
        <v>8.8404578883819786E-3</v>
      </c>
      <c r="E241" s="200">
        <f>'Weekly Quotes (Yahoo Finance)'!L214-'Analysis (Yahoo Finance)'!C241/52</f>
        <v>3.8666335316626249E-2</v>
      </c>
      <c r="F241" s="200">
        <f>'Weekly Quotes (Yahoo Finance)'!Q214-'Analysis (Yahoo Finance)'!C241/52</f>
        <v>2.1667181351675922E-2</v>
      </c>
      <c r="G241" s="200">
        <f>'Weekly Quotes (Yahoo Finance)'!V214-'Analysis (Yahoo Finance)'!C241/52</f>
        <v>3.4861203084725428E-2</v>
      </c>
      <c r="H241" s="200">
        <f>'Weekly Quotes (Yahoo Finance)'!AA214-'Analysis (Yahoo Finance)'!C241/52</f>
        <v>4.0252836392826202E-2</v>
      </c>
      <c r="I241" s="200">
        <f>'Weekly Quotes (Yahoo Finance)'!AF214-'Analysis (Yahoo Finance)'!C241/52</f>
        <v>1.200712366682458E-2</v>
      </c>
    </row>
    <row r="242" spans="2:9" x14ac:dyDescent="0.3">
      <c r="B242" s="331">
        <v>40928.8125</v>
      </c>
      <c r="C242" s="198">
        <v>5.0000000745058064E-4</v>
      </c>
      <c r="D242" s="200">
        <f>'Weekly Quotes (Yahoo Finance)'!G215-'Analysis (Yahoo Finance)'!C242/52</f>
        <v>2.4128856353438279E-2</v>
      </c>
      <c r="E242" s="200">
        <f>'Weekly Quotes (Yahoo Finance)'!L215-'Analysis (Yahoo Finance)'!C242/52</f>
        <v>0.14006112432262216</v>
      </c>
      <c r="F242" s="200">
        <f>'Weekly Quotes (Yahoo Finance)'!Q215-'Analysis (Yahoo Finance)'!C242/52</f>
        <v>4.1456148791458612E-2</v>
      </c>
      <c r="G242" s="200">
        <f>'Weekly Quotes (Yahoo Finance)'!V215-'Analysis (Yahoo Finance)'!C242/52</f>
        <v>5.0654461866144827E-2</v>
      </c>
      <c r="H242" s="200">
        <f>'Weekly Quotes (Yahoo Finance)'!AA215-'Analysis (Yahoo Finance)'!C242/52</f>
        <v>7.2841876298680192E-2</v>
      </c>
      <c r="I242" s="200">
        <f>'Weekly Quotes (Yahoo Finance)'!AF215-'Analysis (Yahoo Finance)'!C242/52</f>
        <v>-9.6153847586650126E-6</v>
      </c>
    </row>
    <row r="243" spans="2:9" x14ac:dyDescent="0.3">
      <c r="B243" s="331">
        <v>40935.8125</v>
      </c>
      <c r="C243" s="198">
        <v>7.0000000298023226E-4</v>
      </c>
      <c r="D243" s="200">
        <f>'Weekly Quotes (Yahoo Finance)'!G216-'Analysis (Yahoo Finance)'!C243/52</f>
        <v>-9.9860460051089486E-4</v>
      </c>
      <c r="E243" s="200">
        <f>'Weekly Quotes (Yahoo Finance)'!L216-'Analysis (Yahoo Finance)'!C243/52</f>
        <v>4.664303917654148E-2</v>
      </c>
      <c r="F243" s="200">
        <f>'Weekly Quotes (Yahoo Finance)'!Q216-'Analysis (Yahoo Finance)'!C243/52</f>
        <v>2.8690281931050315E-2</v>
      </c>
      <c r="G243" s="200">
        <f>'Weekly Quotes (Yahoo Finance)'!V216-'Analysis (Yahoo Finance)'!C243/52</f>
        <v>1.7074542239031414E-2</v>
      </c>
      <c r="H243" s="200">
        <f>'Weekly Quotes (Yahoo Finance)'!AA216-'Analysis (Yahoo Finance)'!C243/52</f>
        <v>1.8421543256160671E-2</v>
      </c>
      <c r="I243" s="200">
        <f>'Weekly Quotes (Yahoo Finance)'!AF216-'Analysis (Yahoo Finance)'!C243/52</f>
        <v>0.10573997984097609</v>
      </c>
    </row>
    <row r="244" spans="2:9" x14ac:dyDescent="0.3">
      <c r="B244" s="331">
        <v>40942.8125</v>
      </c>
      <c r="C244" s="198">
        <v>7.9999998211860652E-4</v>
      </c>
      <c r="D244" s="200">
        <f>'Weekly Quotes (Yahoo Finance)'!G217-'Analysis (Yahoo Finance)'!C244/52</f>
        <v>2.0618705893117824E-2</v>
      </c>
      <c r="E244" s="200">
        <f>'Weekly Quotes (Yahoo Finance)'!L217-'Analysis (Yahoo Finance)'!C244/52</f>
        <v>0.21840945128780948</v>
      </c>
      <c r="F244" s="200">
        <f>'Weekly Quotes (Yahoo Finance)'!Q217-'Analysis (Yahoo Finance)'!C244/52</f>
        <v>9.8855676466980732E-3</v>
      </c>
      <c r="G244" s="200">
        <f>'Weekly Quotes (Yahoo Finance)'!V217-'Analysis (Yahoo Finance)'!C244/52</f>
        <v>3.08246643851618E-2</v>
      </c>
      <c r="H244" s="200">
        <f>'Weekly Quotes (Yahoo Finance)'!AA217-'Analysis (Yahoo Finance)'!C244/52</f>
        <v>2.5378506842094035E-2</v>
      </c>
      <c r="I244" s="200">
        <f>'Weekly Quotes (Yahoo Finance)'!AF217-'Analysis (Yahoo Finance)'!C244/52</f>
        <v>-2.3278951457851808E-3</v>
      </c>
    </row>
    <row r="245" spans="2:9" x14ac:dyDescent="0.3">
      <c r="B245" s="331">
        <v>40949.8125</v>
      </c>
      <c r="C245" s="198">
        <v>7.5000002980232241E-4</v>
      </c>
      <c r="D245" s="200">
        <f>'Weekly Quotes (Yahoo Finance)'!G218-'Analysis (Yahoo Finance)'!C245/52</f>
        <v>-1.3522607819954435E-3</v>
      </c>
      <c r="E245" s="200">
        <f>'Weekly Quotes (Yahoo Finance)'!L218-'Analysis (Yahoo Finance)'!C245/52</f>
        <v>2.6814836421550265E-2</v>
      </c>
      <c r="F245" s="200">
        <f>'Weekly Quotes (Yahoo Finance)'!Q218-'Analysis (Yahoo Finance)'!C245/52</f>
        <v>-1.7969475265190249E-3</v>
      </c>
      <c r="G245" s="200">
        <f>'Weekly Quotes (Yahoo Finance)'!V218-'Analysis (Yahoo Finance)'!C245/52</f>
        <v>4.7987310953196881E-2</v>
      </c>
      <c r="H245" s="200">
        <f>'Weekly Quotes (Yahoo Finance)'!AA218-'Analysis (Yahoo Finance)'!C245/52</f>
        <v>-4.0019717338716655E-2</v>
      </c>
      <c r="I245" s="200">
        <f>'Weekly Quotes (Yahoo Finance)'!AF218-'Analysis (Yahoo Finance)'!C245/52</f>
        <v>2.3992148306792988E-2</v>
      </c>
    </row>
    <row r="246" spans="2:9" x14ac:dyDescent="0.3">
      <c r="B246" s="331">
        <v>40956.8125</v>
      </c>
      <c r="C246" s="198">
        <v>9.0000003576278691E-4</v>
      </c>
      <c r="D246" s="200">
        <f>'Weekly Quotes (Yahoo Finance)'!G219-'Analysis (Yahoo Finance)'!C246/52</f>
        <v>1.5240232069175819E-2</v>
      </c>
      <c r="E246" s="200">
        <f>'Weekly Quotes (Yahoo Finance)'!L219-'Analysis (Yahoo Finance)'!C246/52</f>
        <v>1.1859251247783554E-2</v>
      </c>
      <c r="F246" s="200">
        <f>'Weekly Quotes (Yahoo Finance)'!Q219-'Analysis (Yahoo Finance)'!C246/52</f>
        <v>4.6411302308297063E-2</v>
      </c>
      <c r="G246" s="200">
        <f>'Weekly Quotes (Yahoo Finance)'!V219-'Analysis (Yahoo Finance)'!C246/52</f>
        <v>1.5747534661425332E-2</v>
      </c>
      <c r="H246" s="200">
        <f>'Weekly Quotes (Yahoo Finance)'!AA219-'Analysis (Yahoo Finance)'!C246/52</f>
        <v>5.3032280860588553E-2</v>
      </c>
      <c r="I246" s="200">
        <f>'Weekly Quotes (Yahoo Finance)'!AF219-'Analysis (Yahoo Finance)'!C246/52</f>
        <v>-3.6395643271151058E-2</v>
      </c>
    </row>
    <row r="247" spans="2:9" x14ac:dyDescent="0.3">
      <c r="B247" s="331">
        <v>40963.8125</v>
      </c>
      <c r="C247" s="198">
        <v>5.9999998658895489E-4</v>
      </c>
      <c r="D247" s="200">
        <f>'Weekly Quotes (Yahoo Finance)'!G220-'Analysis (Yahoo Finance)'!C247/52</f>
        <v>3.8004181380309932E-3</v>
      </c>
      <c r="E247" s="200">
        <f>'Weekly Quotes (Yahoo Finance)'!L220-'Analysis (Yahoo Finance)'!C247/52</f>
        <v>-0.13616182274091793</v>
      </c>
      <c r="F247" s="200">
        <f>'Weekly Quotes (Yahoo Finance)'!Q220-'Analysis (Yahoo Finance)'!C247/52</f>
        <v>8.4170059356868511E-4</v>
      </c>
      <c r="G247" s="200">
        <f>'Weekly Quotes (Yahoo Finance)'!V220-'Analysis (Yahoo Finance)'!C247/52</f>
        <v>-3.1471314607037788E-2</v>
      </c>
      <c r="H247" s="200">
        <f>'Weekly Quotes (Yahoo Finance)'!AA220-'Analysis (Yahoo Finance)'!C247/52</f>
        <v>-1.6446698169329077E-3</v>
      </c>
      <c r="I247" s="200">
        <f>'Weekly Quotes (Yahoo Finance)'!AF220-'Analysis (Yahoo Finance)'!C247/52</f>
        <v>8.6397885326122567E-2</v>
      </c>
    </row>
    <row r="248" spans="2:9" x14ac:dyDescent="0.3">
      <c r="B248" s="331">
        <v>40970.8125</v>
      </c>
      <c r="C248" s="198">
        <v>7.9999998211860652E-4</v>
      </c>
      <c r="D248" s="200">
        <f>'Weekly Quotes (Yahoo Finance)'!G221-'Analysis (Yahoo Finance)'!C248/52</f>
        <v>2.7597917753668429E-3</v>
      </c>
      <c r="E248" s="200">
        <f>'Weekly Quotes (Yahoo Finance)'!L221-'Analysis (Yahoo Finance)'!C248/52</f>
        <v>9.6452019052694793E-2</v>
      </c>
      <c r="F248" s="200">
        <f>'Weekly Quotes (Yahoo Finance)'!Q221-'Analysis (Yahoo Finance)'!C248/52</f>
        <v>3.5790241634095672E-2</v>
      </c>
      <c r="G248" s="200">
        <f>'Weekly Quotes (Yahoo Finance)'!V221-'Analysis (Yahoo Finance)'!C248/52</f>
        <v>-5.5029402409360877E-2</v>
      </c>
      <c r="H248" s="200">
        <f>'Weekly Quotes (Yahoo Finance)'!AA221-'Analysis (Yahoo Finance)'!C248/52</f>
        <v>7.2464822353043579E-2</v>
      </c>
      <c r="I248" s="200">
        <f>'Weekly Quotes (Yahoo Finance)'!AF221-'Analysis (Yahoo Finance)'!C248/52</f>
        <v>-1.5384615040742433E-5</v>
      </c>
    </row>
    <row r="249" spans="2:9" x14ac:dyDescent="0.3">
      <c r="B249" s="331">
        <v>40977.8125</v>
      </c>
      <c r="C249" s="198">
        <v>7.9999998211860652E-4</v>
      </c>
      <c r="D249" s="200">
        <f>'Weekly Quotes (Yahoo Finance)'!G222-'Analysis (Yahoo Finance)'!C249/52</f>
        <v>1.878212138640983E-3</v>
      </c>
      <c r="E249" s="200">
        <f>'Weekly Quotes (Yahoo Finance)'!L222-'Analysis (Yahoo Finance)'!C249/52</f>
        <v>-3.732835055015921E-3</v>
      </c>
      <c r="F249" s="200">
        <f>'Weekly Quotes (Yahoo Finance)'!Q222-'Analysis (Yahoo Finance)'!C249/52</f>
        <v>-1.5384615040742433E-5</v>
      </c>
      <c r="G249" s="200">
        <f>'Weekly Quotes (Yahoo Finance)'!V222-'Analysis (Yahoo Finance)'!C249/52</f>
        <v>5.4075849686492435E-2</v>
      </c>
      <c r="H249" s="200">
        <f>'Weekly Quotes (Yahoo Finance)'!AA222-'Analysis (Yahoo Finance)'!C249/52</f>
        <v>-2.1838692571067457E-2</v>
      </c>
      <c r="I249" s="200">
        <f>'Weekly Quotes (Yahoo Finance)'!AF222-'Analysis (Yahoo Finance)'!C249/52</f>
        <v>8.4788710105626105E-3</v>
      </c>
    </row>
    <row r="250" spans="2:9" x14ac:dyDescent="0.3">
      <c r="B250" s="331">
        <v>40984.770833333336</v>
      </c>
      <c r="C250" s="198">
        <v>7.0000000298023226E-4</v>
      </c>
      <c r="D250" s="200">
        <f>'Weekly Quotes (Yahoo Finance)'!G223-'Analysis (Yahoo Finance)'!C250/52</f>
        <v>2.4294131319698414E-2</v>
      </c>
      <c r="E250" s="200">
        <f>'Weekly Quotes (Yahoo Finance)'!L223-'Analysis (Yahoo Finance)'!C250/52</f>
        <v>-5.7227432208750449E-2</v>
      </c>
      <c r="F250" s="200">
        <f>'Weekly Quotes (Yahoo Finance)'!Q223-'Analysis (Yahoo Finance)'!C250/52</f>
        <v>3.4554439370453695E-2</v>
      </c>
      <c r="G250" s="200">
        <f>'Weekly Quotes (Yahoo Finance)'!V223-'Analysis (Yahoo Finance)'!C250/52</f>
        <v>-5.8843127650821288E-3</v>
      </c>
      <c r="H250" s="200">
        <f>'Weekly Quotes (Yahoo Finance)'!AA223-'Analysis (Yahoo Finance)'!C250/52</f>
        <v>6.5957509060081618E-2</v>
      </c>
      <c r="I250" s="200">
        <f>'Weekly Quotes (Yahoo Finance)'!AF223-'Analysis (Yahoo Finance)'!C250/52</f>
        <v>5.4350937488376973E-2</v>
      </c>
    </row>
    <row r="251" spans="2:9" x14ac:dyDescent="0.3">
      <c r="B251" s="331">
        <v>40991.770833333336</v>
      </c>
      <c r="C251" s="198">
        <v>6.4999997615814212E-4</v>
      </c>
      <c r="D251" s="200">
        <f>'Weekly Quotes (Yahoo Finance)'!G224-'Analysis (Yahoo Finance)'!C251/52</f>
        <v>-4.645494590665376E-3</v>
      </c>
      <c r="E251" s="200">
        <f>'Weekly Quotes (Yahoo Finance)'!L224-'Analysis (Yahoo Finance)'!C251/52</f>
        <v>5.1438786360225419E-2</v>
      </c>
      <c r="F251" s="200">
        <f>'Weekly Quotes (Yahoo Finance)'!Q224-'Analysis (Yahoo Finance)'!C251/52</f>
        <v>-4.0585328410081056E-2</v>
      </c>
      <c r="G251" s="200">
        <f>'Weekly Quotes (Yahoo Finance)'!V224-'Analysis (Yahoo Finance)'!C251/52</f>
        <v>-3.4133264033655408E-2</v>
      </c>
      <c r="H251" s="200">
        <f>'Weekly Quotes (Yahoo Finance)'!AA224-'Analysis (Yahoo Finance)'!C251/52</f>
        <v>1.0902246949151486E-2</v>
      </c>
      <c r="I251" s="200">
        <f>'Weekly Quotes (Yahoo Finance)'!AF224-'Analysis (Yahoo Finance)'!C251/52</f>
        <v>-5.0959928372740753E-3</v>
      </c>
    </row>
    <row r="252" spans="2:9" x14ac:dyDescent="0.3">
      <c r="B252" s="331">
        <v>40998.770833333336</v>
      </c>
      <c r="C252" s="198">
        <v>7.0000000298023226E-4</v>
      </c>
      <c r="D252" s="200">
        <f>'Weekly Quotes (Yahoo Finance)'!G225-'Analysis (Yahoo Finance)'!C252/52</f>
        <v>8.2930455349380754E-3</v>
      </c>
      <c r="E252" s="200">
        <f>'Weekly Quotes (Yahoo Finance)'!L225-'Analysis (Yahoo Finance)'!C252/52</f>
        <v>1.2583631051118632E-2</v>
      </c>
      <c r="F252" s="200">
        <f>'Weekly Quotes (Yahoo Finance)'!Q225-'Analysis (Yahoo Finance)'!C252/52</f>
        <v>-2.3230687155616121E-2</v>
      </c>
      <c r="G252" s="200">
        <f>'Weekly Quotes (Yahoo Finance)'!V225-'Analysis (Yahoo Finance)'!C252/52</f>
        <v>-3.2395714937905572E-2</v>
      </c>
      <c r="H252" s="200">
        <f>'Weekly Quotes (Yahoo Finance)'!AA225-'Analysis (Yahoo Finance)'!C252/52</f>
        <v>1.0338108856575861E-2</v>
      </c>
      <c r="I252" s="200">
        <f>'Weekly Quotes (Yahoo Finance)'!AF225-'Analysis (Yahoo Finance)'!C252/52</f>
        <v>-5.3298155346969987E-2</v>
      </c>
    </row>
    <row r="253" spans="2:9" x14ac:dyDescent="0.3">
      <c r="B253" s="331">
        <v>41004.770833333336</v>
      </c>
      <c r="C253" s="198">
        <v>7.9999998211860652E-4</v>
      </c>
      <c r="D253" s="200">
        <f>'Weekly Quotes (Yahoo Finance)'!G226-'Analysis (Yahoo Finance)'!C253/52</f>
        <v>-7.2592187897873531E-3</v>
      </c>
      <c r="E253" s="200">
        <f>'Weekly Quotes (Yahoo Finance)'!L226-'Analysis (Yahoo Finance)'!C253/52</f>
        <v>-4.5118397049738905E-2</v>
      </c>
      <c r="F253" s="200">
        <f>'Weekly Quotes (Yahoo Finance)'!Q226-'Analysis (Yahoo Finance)'!C253/52</f>
        <v>-3.5669035100622741E-2</v>
      </c>
      <c r="G253" s="200">
        <f>'Weekly Quotes (Yahoo Finance)'!V226-'Analysis (Yahoo Finance)'!C253/52</f>
        <v>-5.3980091107181331E-3</v>
      </c>
      <c r="H253" s="200">
        <f>'Weekly Quotes (Yahoo Finance)'!AA226-'Analysis (Yahoo Finance)'!C253/52</f>
        <v>-4.1548734372126521E-2</v>
      </c>
      <c r="I253" s="200">
        <f>'Weekly Quotes (Yahoo Finance)'!AF226-'Analysis (Yahoo Finance)'!C253/52</f>
        <v>-2.083263220001657E-2</v>
      </c>
    </row>
    <row r="254" spans="2:9" x14ac:dyDescent="0.3">
      <c r="B254" s="331">
        <v>41012.770833333336</v>
      </c>
      <c r="C254" s="198">
        <v>6.4999997615814212E-4</v>
      </c>
      <c r="D254" s="200">
        <f>'Weekly Quotes (Yahoo Finance)'!G227-'Analysis (Yahoo Finance)'!C254/52</f>
        <v>-1.8969464186957607E-2</v>
      </c>
      <c r="E254" s="200">
        <f>'Weekly Quotes (Yahoo Finance)'!L227-'Analysis (Yahoo Finance)'!C254/52</f>
        <v>-8.2333710722881703E-2</v>
      </c>
      <c r="F254" s="200">
        <f>'Weekly Quotes (Yahoo Finance)'!Q227-'Analysis (Yahoo Finance)'!C254/52</f>
        <v>-9.6956322362045638E-3</v>
      </c>
      <c r="G254" s="200">
        <f>'Weekly Quotes (Yahoo Finance)'!V227-'Analysis (Yahoo Finance)'!C254/52</f>
        <v>-2.0483063102712584E-2</v>
      </c>
      <c r="H254" s="200">
        <f>'Weekly Quotes (Yahoo Finance)'!AA227-'Analysis (Yahoo Finance)'!C254/52</f>
        <v>-2.0932036721658942E-2</v>
      </c>
      <c r="I254" s="200">
        <f>'Weekly Quotes (Yahoo Finance)'!AF227-'Analysis (Yahoo Finance)'!C254/52</f>
        <v>-1.2499999541502733E-5</v>
      </c>
    </row>
    <row r="255" spans="2:9" x14ac:dyDescent="0.3">
      <c r="B255" s="331">
        <v>41019.770833333336</v>
      </c>
      <c r="C255" s="198">
        <v>8.5000000894069677E-4</v>
      </c>
      <c r="D255" s="200">
        <f>'Weekly Quotes (Yahoo Finance)'!G228-'Analysis (Yahoo Finance)'!C255/52</f>
        <v>5.8900091194156595E-3</v>
      </c>
      <c r="E255" s="200">
        <f>'Weekly Quotes (Yahoo Finance)'!L228-'Analysis (Yahoo Finance)'!C255/52</f>
        <v>-2.9574270210725589E-3</v>
      </c>
      <c r="F255" s="200">
        <f>'Weekly Quotes (Yahoo Finance)'!Q228-'Analysis (Yahoo Finance)'!C255/52</f>
        <v>-1.6348655971290497E-5</v>
      </c>
      <c r="G255" s="200">
        <f>'Weekly Quotes (Yahoo Finance)'!V228-'Analysis (Yahoo Finance)'!C255/52</f>
        <v>-1.0825876574235241E-2</v>
      </c>
      <c r="H255" s="200">
        <f>'Weekly Quotes (Yahoo Finance)'!AA228-'Analysis (Yahoo Finance)'!C255/52</f>
        <v>6.5579383797627483E-3</v>
      </c>
      <c r="I255" s="200">
        <f>'Weekly Quotes (Yahoo Finance)'!AF228-'Analysis (Yahoo Finance)'!C255/52</f>
        <v>-5.9071464264254317E-2</v>
      </c>
    </row>
    <row r="256" spans="2:9" x14ac:dyDescent="0.3">
      <c r="B256" s="331">
        <v>41026.770833333336</v>
      </c>
      <c r="C256" s="198">
        <v>7.0000000298023226E-4</v>
      </c>
      <c r="D256" s="200">
        <f>'Weekly Quotes (Yahoo Finance)'!G229-'Analysis (Yahoo Finance)'!C256/52</f>
        <v>1.7674124509937144E-2</v>
      </c>
      <c r="E256" s="200">
        <f>'Weekly Quotes (Yahoo Finance)'!L229-'Analysis (Yahoo Finance)'!C256/52</f>
        <v>6.6358152483814756E-2</v>
      </c>
      <c r="F256" s="200">
        <f>'Weekly Quotes (Yahoo Finance)'!Q229-'Analysis (Yahoo Finance)'!C256/52</f>
        <v>2.1706058589666604E-2</v>
      </c>
      <c r="G256" s="200">
        <f>'Weekly Quotes (Yahoo Finance)'!V229-'Analysis (Yahoo Finance)'!C256/52</f>
        <v>2.86412324010407E-2</v>
      </c>
      <c r="H256" s="200">
        <f>'Weekly Quotes (Yahoo Finance)'!AA229-'Analysis (Yahoo Finance)'!C256/52</f>
        <v>-1.2259734556062069E-2</v>
      </c>
      <c r="I256" s="200">
        <f>'Weekly Quotes (Yahoo Finance)'!AF229-'Analysis (Yahoo Finance)'!C256/52</f>
        <v>4.249701403516052E-2</v>
      </c>
    </row>
    <row r="257" spans="2:9" x14ac:dyDescent="0.3">
      <c r="B257" s="331">
        <v>41033.770833333336</v>
      </c>
      <c r="C257" s="198">
        <v>9.0000003576278691E-4</v>
      </c>
      <c r="D257" s="200">
        <f>'Weekly Quotes (Yahoo Finance)'!G230-'Analysis (Yahoo Finance)'!C257/52</f>
        <v>-2.4164322468881207E-2</v>
      </c>
      <c r="E257" s="200">
        <f>'Weekly Quotes (Yahoo Finance)'!L230-'Analysis (Yahoo Finance)'!C257/52</f>
        <v>-7.3322880177257049E-2</v>
      </c>
      <c r="F257" s="200">
        <f>'Weekly Quotes (Yahoo Finance)'!Q230-'Analysis (Yahoo Finance)'!C257/52</f>
        <v>-3.1018216560653046E-2</v>
      </c>
      <c r="G257" s="200">
        <f>'Weekly Quotes (Yahoo Finance)'!V230-'Analysis (Yahoo Finance)'!C257/52</f>
        <v>-2.3388451795974242E-2</v>
      </c>
      <c r="H257" s="200">
        <f>'Weekly Quotes (Yahoo Finance)'!AA230-'Analysis (Yahoo Finance)'!C257/52</f>
        <v>-8.1018665471139978E-2</v>
      </c>
      <c r="I257" s="200">
        <f>'Weekly Quotes (Yahoo Finance)'!AF230-'Analysis (Yahoo Finance)'!C257/52</f>
        <v>-1.730769299543821E-5</v>
      </c>
    </row>
    <row r="258" spans="2:9" x14ac:dyDescent="0.3">
      <c r="B258" s="331">
        <v>41040.770833333336</v>
      </c>
      <c r="C258" s="198">
        <v>7.5000002980232241E-4</v>
      </c>
      <c r="D258" s="200">
        <f>'Weekly Quotes (Yahoo Finance)'!G231-'Analysis (Yahoo Finance)'!C258/52</f>
        <v>-1.0160404023835315E-2</v>
      </c>
      <c r="E258" s="200">
        <f>'Weekly Quotes (Yahoo Finance)'!L231-'Analysis (Yahoo Finance)'!C258/52</f>
        <v>-2.6880170193741542E-2</v>
      </c>
      <c r="F258" s="200">
        <f>'Weekly Quotes (Yahoo Finance)'!Q231-'Analysis (Yahoo Finance)'!C258/52</f>
        <v>9.1263099414852413E-3</v>
      </c>
      <c r="G258" s="200">
        <f>'Weekly Quotes (Yahoo Finance)'!V231-'Analysis (Yahoo Finance)'!C258/52</f>
        <v>-3.2646729313323221E-2</v>
      </c>
      <c r="H258" s="200">
        <f>'Weekly Quotes (Yahoo Finance)'!AA231-'Analysis (Yahoo Finance)'!C258/52</f>
        <v>-5.3323775066314372E-4</v>
      </c>
      <c r="I258" s="200">
        <f>'Weekly Quotes (Yahoo Finance)'!AF231-'Analysis (Yahoo Finance)'!C258/52</f>
        <v>-6.8885844693705497E-2</v>
      </c>
    </row>
    <row r="259" spans="2:9" x14ac:dyDescent="0.3">
      <c r="B259" s="331">
        <v>41047.770833333336</v>
      </c>
      <c r="C259" s="198">
        <v>7.9999998211860652E-4</v>
      </c>
      <c r="D259" s="200">
        <f>'Weekly Quotes (Yahoo Finance)'!G232-'Analysis (Yahoo Finance)'!C259/52</f>
        <v>-4.33012417846294E-2</v>
      </c>
      <c r="E259" s="200">
        <f>'Weekly Quotes (Yahoo Finance)'!L232-'Analysis (Yahoo Finance)'!C259/52</f>
        <v>-0.20707066320757267</v>
      </c>
      <c r="F259" s="200">
        <f>'Weekly Quotes (Yahoo Finance)'!Q232-'Analysis (Yahoo Finance)'!C259/52</f>
        <v>-2.2660299268856647E-2</v>
      </c>
      <c r="G259" s="200">
        <f>'Weekly Quotes (Yahoo Finance)'!V232-'Analysis (Yahoo Finance)'!C259/52</f>
        <v>-0.13569754960917907</v>
      </c>
      <c r="H259" s="200">
        <f>'Weekly Quotes (Yahoo Finance)'!AA232-'Analysis (Yahoo Finance)'!C259/52</f>
        <v>-9.3412497815331619E-2</v>
      </c>
      <c r="I259" s="200">
        <f>'Weekly Quotes (Yahoo Finance)'!AF232-'Analysis (Yahoo Finance)'!C259/52</f>
        <v>-1.9842997130194266E-2</v>
      </c>
    </row>
    <row r="260" spans="2:9" x14ac:dyDescent="0.3">
      <c r="B260" s="331">
        <v>41054.770833333336</v>
      </c>
      <c r="C260" s="198">
        <v>6.4999997615814212E-4</v>
      </c>
      <c r="D260" s="200">
        <f>'Weekly Quotes (Yahoo Finance)'!G233-'Analysis (Yahoo Finance)'!C260/52</f>
        <v>1.8177730541769355E-2</v>
      </c>
      <c r="E260" s="200">
        <f>'Weekly Quotes (Yahoo Finance)'!L233-'Analysis (Yahoo Finance)'!C260/52</f>
        <v>5.8014601877122318E-2</v>
      </c>
      <c r="F260" s="200">
        <f>'Weekly Quotes (Yahoo Finance)'!Q233-'Analysis (Yahoo Finance)'!C260/52</f>
        <v>-9.2803055008004436E-3</v>
      </c>
      <c r="G260" s="200">
        <f>'Weekly Quotes (Yahoo Finance)'!V233-'Analysis (Yahoo Finance)'!C260/52</f>
        <v>3.381225177218633E-2</v>
      </c>
      <c r="H260" s="200">
        <f>'Weekly Quotes (Yahoo Finance)'!AA233-'Analysis (Yahoo Finance)'!C260/52</f>
        <v>1.672806630698237E-2</v>
      </c>
      <c r="I260" s="200">
        <f>'Weekly Quotes (Yahoo Finance)'!AF233-'Analysis (Yahoo Finance)'!C260/52</f>
        <v>8.670611807561361E-4</v>
      </c>
    </row>
    <row r="261" spans="2:9" x14ac:dyDescent="0.3">
      <c r="B261" s="331">
        <v>41061.770833333336</v>
      </c>
      <c r="C261" s="198">
        <v>7.9999998211860652E-4</v>
      </c>
      <c r="D261" s="200">
        <f>'Weekly Quotes (Yahoo Finance)'!G234-'Analysis (Yahoo Finance)'!C261/52</f>
        <v>-2.9841291196141255E-2</v>
      </c>
      <c r="E261" s="200">
        <f>'Weekly Quotes (Yahoo Finance)'!L234-'Analysis (Yahoo Finance)'!C261/52</f>
        <v>-7.1313336224769153E-2</v>
      </c>
      <c r="F261" s="200">
        <f>'Weekly Quotes (Yahoo Finance)'!Q234-'Analysis (Yahoo Finance)'!C261/52</f>
        <v>-5.3336266262727854E-2</v>
      </c>
      <c r="G261" s="200">
        <f>'Weekly Quotes (Yahoo Finance)'!V234-'Analysis (Yahoo Finance)'!C261/52</f>
        <v>-7.803544143227098E-2</v>
      </c>
      <c r="H261" s="200">
        <f>'Weekly Quotes (Yahoo Finance)'!AA234-'Analysis (Yahoo Finance)'!C261/52</f>
        <v>-4.0263072605647481E-2</v>
      </c>
      <c r="I261" s="200">
        <f>'Weekly Quotes (Yahoo Finance)'!AF234-'Analysis (Yahoo Finance)'!C261/52</f>
        <v>-1.5384615040742433E-5</v>
      </c>
    </row>
    <row r="262" spans="2:9" x14ac:dyDescent="0.3">
      <c r="B262" s="331">
        <v>41068.770833333336</v>
      </c>
      <c r="C262" s="198">
        <v>8.5000000894069677E-4</v>
      </c>
      <c r="D262" s="200">
        <f>'Weekly Quotes (Yahoo Finance)'!G235-'Analysis (Yahoo Finance)'!C262/52</f>
        <v>3.8529239834185033E-2</v>
      </c>
      <c r="E262" s="200">
        <f>'Weekly Quotes (Yahoo Finance)'!L235-'Analysis (Yahoo Finance)'!C262/52</f>
        <v>6.2975671023764598E-2</v>
      </c>
      <c r="F262" s="200">
        <f>'Weekly Quotes (Yahoo Finance)'!Q235-'Analysis (Yahoo Finance)'!C262/52</f>
        <v>7.8887621493853172E-3</v>
      </c>
      <c r="G262" s="200">
        <f>'Weekly Quotes (Yahoo Finance)'!V235-'Analysis (Yahoo Finance)'!C262/52</f>
        <v>3.850346805623199E-2</v>
      </c>
      <c r="H262" s="200">
        <f>'Weekly Quotes (Yahoo Finance)'!AA235-'Analysis (Yahoo Finance)'!C262/52</f>
        <v>-1.1892817147171747E-3</v>
      </c>
      <c r="I262" s="200">
        <f>'Weekly Quotes (Yahoo Finance)'!AF235-'Analysis (Yahoo Finance)'!C262/52</f>
        <v>-4.3250139356133824E-2</v>
      </c>
    </row>
    <row r="263" spans="2:9" x14ac:dyDescent="0.3">
      <c r="B263" s="331">
        <v>41075.770833333336</v>
      </c>
      <c r="C263" s="198">
        <v>7.5000002980232241E-4</v>
      </c>
      <c r="D263" s="200">
        <f>'Weekly Quotes (Yahoo Finance)'!G236-'Analysis (Yahoo Finance)'!C263/52</f>
        <v>1.296824564446388E-2</v>
      </c>
      <c r="E263" s="200">
        <f>'Weekly Quotes (Yahoo Finance)'!L236-'Analysis (Yahoo Finance)'!C263/52</f>
        <v>1.8504139210562837E-2</v>
      </c>
      <c r="F263" s="200">
        <f>'Weekly Quotes (Yahoo Finance)'!Q236-'Analysis (Yahoo Finance)'!C263/52</f>
        <v>-2.0014410511433916E-2</v>
      </c>
      <c r="G263" s="200">
        <f>'Weekly Quotes (Yahoo Finance)'!V236-'Analysis (Yahoo Finance)'!C263/52</f>
        <v>3.4912425225487507E-3</v>
      </c>
      <c r="H263" s="200">
        <f>'Weekly Quotes (Yahoo Finance)'!AA236-'Analysis (Yahoo Finance)'!C263/52</f>
        <v>-3.684417057532289E-3</v>
      </c>
      <c r="I263" s="200">
        <f>'Weekly Quotes (Yahoo Finance)'!AF236-'Analysis (Yahoo Finance)'!C263/52</f>
        <v>-4.4834384287265362E-2</v>
      </c>
    </row>
    <row r="264" spans="2:9" x14ac:dyDescent="0.3">
      <c r="B264" s="331">
        <v>41082.770833333336</v>
      </c>
      <c r="C264" s="198">
        <v>7.9999998211860652E-4</v>
      </c>
      <c r="D264" s="200">
        <f>'Weekly Quotes (Yahoo Finance)'!G237-'Analysis (Yahoo Finance)'!C264/52</f>
        <v>-5.0846605869752596E-3</v>
      </c>
      <c r="E264" s="200">
        <f>'Weekly Quotes (Yahoo Finance)'!L237-'Analysis (Yahoo Finance)'!C264/52</f>
        <v>3.8166511622695749E-2</v>
      </c>
      <c r="F264" s="200">
        <f>'Weekly Quotes (Yahoo Finance)'!Q237-'Analysis (Yahoo Finance)'!C264/52</f>
        <v>1.5390783686522641E-2</v>
      </c>
      <c r="G264" s="200">
        <f>'Weekly Quotes (Yahoo Finance)'!V237-'Analysis (Yahoo Finance)'!C264/52</f>
        <v>2.7058861279800457E-2</v>
      </c>
      <c r="H264" s="200">
        <f>'Weekly Quotes (Yahoo Finance)'!AA237-'Analysis (Yahoo Finance)'!C264/52</f>
        <v>7.5717622334149193E-2</v>
      </c>
      <c r="I264" s="200">
        <f>'Weekly Quotes (Yahoo Finance)'!AF237-'Analysis (Yahoo Finance)'!C264/52</f>
        <v>3.8446153846497806E-2</v>
      </c>
    </row>
    <row r="265" spans="2:9" x14ac:dyDescent="0.3">
      <c r="B265" s="331">
        <v>41089.770833333336</v>
      </c>
      <c r="C265" s="198">
        <v>7.0000000298023226E-4</v>
      </c>
      <c r="D265" s="200">
        <f>'Weekly Quotes (Yahoo Finance)'!G238-'Analysis (Yahoo Finance)'!C265/52</f>
        <v>1.9767740745611533E-2</v>
      </c>
      <c r="E265" s="200">
        <f>'Weekly Quotes (Yahoo Finance)'!L238-'Analysis (Yahoo Finance)'!C265/52</f>
        <v>0.17862038671863725</v>
      </c>
      <c r="F265" s="200">
        <f>'Weekly Quotes (Yahoo Finance)'!Q238-'Analysis (Yahoo Finance)'!C265/52</f>
        <v>3.151367047018875E-2</v>
      </c>
      <c r="G265" s="200">
        <f>'Weekly Quotes (Yahoo Finance)'!V238-'Analysis (Yahoo Finance)'!C265/52</f>
        <v>0.12555344488029344</v>
      </c>
      <c r="H265" s="200">
        <f>'Weekly Quotes (Yahoo Finance)'!AA238-'Analysis (Yahoo Finance)'!C265/52</f>
        <v>3.4502311223195394E-2</v>
      </c>
      <c r="I265" s="200">
        <f>'Weekly Quotes (Yahoo Finance)'!AF238-'Analysis (Yahoo Finance)'!C265/52</f>
        <v>-1.346153851885062E-5</v>
      </c>
    </row>
    <row r="266" spans="2:9" x14ac:dyDescent="0.3">
      <c r="B266" s="331">
        <v>41096.770833333336</v>
      </c>
      <c r="C266" s="198">
        <v>9.0000003576278691E-4</v>
      </c>
      <c r="D266" s="200">
        <f>'Weekly Quotes (Yahoo Finance)'!G239-'Analysis (Yahoo Finance)'!C266/52</f>
        <v>-4.4993105070701752E-3</v>
      </c>
      <c r="E266" s="200">
        <f>'Weekly Quotes (Yahoo Finance)'!L239-'Analysis (Yahoo Finance)'!C266/52</f>
        <v>-2.9734887243811216E-2</v>
      </c>
      <c r="F266" s="200">
        <f>'Weekly Quotes (Yahoo Finance)'!Q239-'Analysis (Yahoo Finance)'!C266/52</f>
        <v>6.6684355931621257E-3</v>
      </c>
      <c r="G266" s="200">
        <f>'Weekly Quotes (Yahoo Finance)'!V239-'Analysis (Yahoo Finance)'!C266/52</f>
        <v>3.5490118142313752E-2</v>
      </c>
      <c r="H266" s="200">
        <f>'Weekly Quotes (Yahoo Finance)'!AA239-'Analysis (Yahoo Finance)'!C266/52</f>
        <v>-8.358327997508774E-3</v>
      </c>
      <c r="I266" s="200">
        <f>'Weekly Quotes (Yahoo Finance)'!AF239-'Analysis (Yahoo Finance)'!C266/52</f>
        <v>1.1093775161098907E-2</v>
      </c>
    </row>
    <row r="267" spans="2:9" x14ac:dyDescent="0.3">
      <c r="B267" s="331">
        <v>41103.770833333336</v>
      </c>
      <c r="C267" s="198">
        <v>8.5000000894069677E-4</v>
      </c>
      <c r="D267" s="200">
        <f>'Weekly Quotes (Yahoo Finance)'!G240-'Analysis (Yahoo Finance)'!C267/52</f>
        <v>1.9025740341507696E-3</v>
      </c>
      <c r="E267" s="200">
        <f>'Weekly Quotes (Yahoo Finance)'!L240-'Analysis (Yahoo Finance)'!C267/52</f>
        <v>3.9799833965015671E-2</v>
      </c>
      <c r="F267" s="200">
        <f>'Weekly Quotes (Yahoo Finance)'!Q240-'Analysis (Yahoo Finance)'!C267/52</f>
        <v>-8.5552131350592059E-3</v>
      </c>
      <c r="G267" s="200">
        <f>'Weekly Quotes (Yahoo Finance)'!V240-'Analysis (Yahoo Finance)'!C267/52</f>
        <v>4.8865030024031905E-2</v>
      </c>
      <c r="H267" s="200">
        <f>'Weekly Quotes (Yahoo Finance)'!AA240-'Analysis (Yahoo Finance)'!C267/52</f>
        <v>-6.2913957017904504E-3</v>
      </c>
      <c r="I267" s="200">
        <f>'Weekly Quotes (Yahoo Finance)'!AF240-'Analysis (Yahoo Finance)'!C267/52</f>
        <v>-1.6346154018090324E-5</v>
      </c>
    </row>
    <row r="268" spans="2:9" x14ac:dyDescent="0.3">
      <c r="B268" s="331">
        <v>41110.770833333336</v>
      </c>
      <c r="C268" s="198">
        <v>1.0000000149011613E-3</v>
      </c>
      <c r="D268" s="200">
        <f>'Weekly Quotes (Yahoo Finance)'!G241-'Analysis (Yahoo Finance)'!C268/52</f>
        <v>5.2846456260857051E-3</v>
      </c>
      <c r="E268" s="200">
        <f>'Weekly Quotes (Yahoo Finance)'!L241-'Analysis (Yahoo Finance)'!C268/52</f>
        <v>4.7108990062330651E-2</v>
      </c>
      <c r="F268" s="200">
        <f>'Weekly Quotes (Yahoo Finance)'!Q241-'Analysis (Yahoo Finance)'!C268/52</f>
        <v>5.1655365630500043E-2</v>
      </c>
      <c r="G268" s="200">
        <f>'Weekly Quotes (Yahoo Finance)'!V241-'Analysis (Yahoo Finance)'!C268/52</f>
        <v>2.2007218092357551E-2</v>
      </c>
      <c r="H268" s="200">
        <f>'Weekly Quotes (Yahoo Finance)'!AA241-'Analysis (Yahoo Finance)'!C268/52</f>
        <v>3.0613562055264044E-2</v>
      </c>
      <c r="I268" s="200">
        <f>'Weekly Quotes (Yahoo Finance)'!AF241-'Analysis (Yahoo Finance)'!C268/52</f>
        <v>2.195880579596381E-2</v>
      </c>
    </row>
    <row r="269" spans="2:9" x14ac:dyDescent="0.3">
      <c r="B269" s="331">
        <v>41117.770833333336</v>
      </c>
      <c r="C269" s="198">
        <v>7.5000002980232241E-4</v>
      </c>
      <c r="D269" s="200">
        <f>'Weekly Quotes (Yahoo Finance)'!G242-'Analysis (Yahoo Finance)'!C269/52</f>
        <v>1.6179549482847517E-2</v>
      </c>
      <c r="E269" s="200">
        <f>'Weekly Quotes (Yahoo Finance)'!L242-'Analysis (Yahoo Finance)'!C269/52</f>
        <v>4.7805458705052838E-2</v>
      </c>
      <c r="F269" s="200">
        <f>'Weekly Quotes (Yahoo Finance)'!Q242-'Analysis (Yahoo Finance)'!C269/52</f>
        <v>4.2751711652706435E-2</v>
      </c>
      <c r="G269" s="200">
        <f>'Weekly Quotes (Yahoo Finance)'!V242-'Analysis (Yahoo Finance)'!C269/52</f>
        <v>-9.7337488806250469E-2</v>
      </c>
      <c r="H269" s="200">
        <f>'Weekly Quotes (Yahoo Finance)'!AA242-'Analysis (Yahoo Finance)'!C269/52</f>
        <v>-1.2789755357971092E-2</v>
      </c>
      <c r="I269" s="200">
        <f>'Weekly Quotes (Yahoo Finance)'!AF242-'Analysis (Yahoo Finance)'!C269/52</f>
        <v>-1.4423077496198509E-5</v>
      </c>
    </row>
    <row r="270" spans="2:9" x14ac:dyDescent="0.3">
      <c r="B270" s="331">
        <v>41124.770833333336</v>
      </c>
      <c r="C270" s="198">
        <v>9.4999998807907102E-4</v>
      </c>
      <c r="D270" s="200">
        <f>'Weekly Quotes (Yahoo Finance)'!G243-'Analysis (Yahoo Finance)'!C270/52</f>
        <v>4.8130940743368964E-3</v>
      </c>
      <c r="E270" s="200">
        <f>'Weekly Quotes (Yahoo Finance)'!L243-'Analysis (Yahoo Finance)'!C270/52</f>
        <v>-2.6863812741050031E-2</v>
      </c>
      <c r="F270" s="200">
        <f>'Weekly Quotes (Yahoo Finance)'!Q243-'Analysis (Yahoo Finance)'!C270/52</f>
        <v>4.5356987347805862E-2</v>
      </c>
      <c r="G270" s="200">
        <f>'Weekly Quotes (Yahoo Finance)'!V243-'Analysis (Yahoo Finance)'!C270/52</f>
        <v>-3.4700376201206522E-2</v>
      </c>
      <c r="H270" s="200">
        <f>'Weekly Quotes (Yahoo Finance)'!AA243-'Analysis (Yahoo Finance)'!C270/52</f>
        <v>4.8047216419741141E-2</v>
      </c>
      <c r="I270" s="200">
        <f>'Weekly Quotes (Yahoo Finance)'!AF243-'Analysis (Yahoo Finance)'!C270/52</f>
        <v>-1.8269230539982135E-5</v>
      </c>
    </row>
    <row r="271" spans="2:9" x14ac:dyDescent="0.3">
      <c r="B271" s="331">
        <v>41131.770833333336</v>
      </c>
      <c r="C271" s="198">
        <v>7.9999998211860652E-4</v>
      </c>
      <c r="D271" s="200">
        <f>'Weekly Quotes (Yahoo Finance)'!G244-'Analysis (Yahoo Finance)'!C271/52</f>
        <v>1.067704573381884E-2</v>
      </c>
      <c r="E271" s="200">
        <f>'Weekly Quotes (Yahoo Finance)'!L244-'Analysis (Yahoo Finance)'!C271/52</f>
        <v>3.5846715254766633E-2</v>
      </c>
      <c r="F271" s="200">
        <f>'Weekly Quotes (Yahoo Finance)'!Q244-'Analysis (Yahoo Finance)'!C271/52</f>
        <v>1.9183273518383732E-2</v>
      </c>
      <c r="G271" s="200">
        <f>'Weekly Quotes (Yahoo Finance)'!V244-'Analysis (Yahoo Finance)'!C271/52</f>
        <v>3.5652382563486525E-2</v>
      </c>
      <c r="H271" s="200">
        <f>'Weekly Quotes (Yahoo Finance)'!AA244-'Analysis (Yahoo Finance)'!C271/52</f>
        <v>1.9513346249593395E-2</v>
      </c>
      <c r="I271" s="200">
        <f>'Weekly Quotes (Yahoo Finance)'!AF244-'Analysis (Yahoo Finance)'!C271/52</f>
        <v>-1.5384615040742433E-5</v>
      </c>
    </row>
    <row r="272" spans="2:9" x14ac:dyDescent="0.3">
      <c r="B272" s="331">
        <v>41138.770833333336</v>
      </c>
      <c r="C272" s="198">
        <v>9.0000003576278691E-4</v>
      </c>
      <c r="D272" s="200">
        <f>'Weekly Quotes (Yahoo Finance)'!G245-'Analysis (Yahoo Finance)'!C272/52</f>
        <v>9.4970090688129231E-3</v>
      </c>
      <c r="E272" s="200">
        <f>'Weekly Quotes (Yahoo Finance)'!L245-'Analysis (Yahoo Finance)'!C272/52</f>
        <v>4.658712764491104E-2</v>
      </c>
      <c r="F272" s="200">
        <f>'Weekly Quotes (Yahoo Finance)'!Q245-'Analysis (Yahoo Finance)'!C272/52</f>
        <v>-2.6225365389064149E-2</v>
      </c>
      <c r="G272" s="200">
        <f>'Weekly Quotes (Yahoo Finance)'!V245-'Analysis (Yahoo Finance)'!C272/52</f>
        <v>1.556848329764462E-2</v>
      </c>
      <c r="H272" s="200">
        <f>'Weekly Quotes (Yahoo Finance)'!AA245-'Analysis (Yahoo Finance)'!C272/52</f>
        <v>7.2738932540601601E-3</v>
      </c>
      <c r="I272" s="200">
        <f>'Weekly Quotes (Yahoo Finance)'!AF245-'Analysis (Yahoo Finance)'!C272/52</f>
        <v>-1.730769299543821E-5</v>
      </c>
    </row>
    <row r="273" spans="2:9" x14ac:dyDescent="0.3">
      <c r="B273" s="331">
        <v>41145.770833333336</v>
      </c>
      <c r="C273" s="198">
        <v>8.5000000894069677E-4</v>
      </c>
      <c r="D273" s="200">
        <f>'Weekly Quotes (Yahoo Finance)'!G246-'Analysis (Yahoo Finance)'!C273/52</f>
        <v>-4.7286699932318071E-3</v>
      </c>
      <c r="E273" s="200">
        <f>'Weekly Quotes (Yahoo Finance)'!L246-'Analysis (Yahoo Finance)'!C273/52</f>
        <v>2.9245710497982233E-2</v>
      </c>
      <c r="F273" s="200">
        <f>'Weekly Quotes (Yahoo Finance)'!Q246-'Analysis (Yahoo Finance)'!C273/52</f>
        <v>-4.2215447537270051E-3</v>
      </c>
      <c r="G273" s="200">
        <f>'Weekly Quotes (Yahoo Finance)'!V246-'Analysis (Yahoo Finance)'!C273/52</f>
        <v>1.6815291055444034E-2</v>
      </c>
      <c r="H273" s="200">
        <f>'Weekly Quotes (Yahoo Finance)'!AA246-'Analysis (Yahoo Finance)'!C273/52</f>
        <v>-6.8867322822423055E-3</v>
      </c>
      <c r="I273" s="200">
        <f>'Weekly Quotes (Yahoo Finance)'!AF246-'Analysis (Yahoo Finance)'!C273/52</f>
        <v>9.9446007124553579E-2</v>
      </c>
    </row>
    <row r="274" spans="2:9" x14ac:dyDescent="0.3">
      <c r="B274" s="331">
        <v>41152.770833333336</v>
      </c>
      <c r="C274" s="198">
        <v>1.0000000149011613E-3</v>
      </c>
      <c r="D274" s="200">
        <f>'Weekly Quotes (Yahoo Finance)'!G247-'Analysis (Yahoo Finance)'!C274/52</f>
        <v>-2.4924896085575898E-3</v>
      </c>
      <c r="E274" s="200">
        <f>'Weekly Quotes (Yahoo Finance)'!L247-'Analysis (Yahoo Finance)'!C274/52</f>
        <v>-7.6657144506713085E-2</v>
      </c>
      <c r="F274" s="200">
        <f>'Weekly Quotes (Yahoo Finance)'!Q247-'Analysis (Yahoo Finance)'!C274/52</f>
        <v>-1.0998918897903453E-2</v>
      </c>
      <c r="G274" s="200">
        <f>'Weekly Quotes (Yahoo Finance)'!V247-'Analysis (Yahoo Finance)'!C274/52</f>
        <v>-5.2368915255876343E-2</v>
      </c>
      <c r="H274" s="200">
        <f>'Weekly Quotes (Yahoo Finance)'!AA247-'Analysis (Yahoo Finance)'!C274/52</f>
        <v>-7.5547543439232305E-3</v>
      </c>
      <c r="I274" s="200">
        <f>'Weekly Quotes (Yahoo Finance)'!AF247-'Analysis (Yahoo Finance)'!C274/52</f>
        <v>-1.9230769517330025E-5</v>
      </c>
    </row>
    <row r="275" spans="2:9" x14ac:dyDescent="0.3">
      <c r="B275" s="331">
        <v>41159.770833333336</v>
      </c>
      <c r="C275" s="198">
        <v>9.4999998807907102E-4</v>
      </c>
      <c r="D275" s="200">
        <f>'Weekly Quotes (Yahoo Finance)'!G248-'Analysis (Yahoo Finance)'!C275/52</f>
        <v>2.24385038404868E-2</v>
      </c>
      <c r="E275" s="200">
        <f>'Weekly Quotes (Yahoo Finance)'!L248-'Analysis (Yahoo Finance)'!C275/52</f>
        <v>8.2980496776171767E-2</v>
      </c>
      <c r="F275" s="200">
        <f>'Weekly Quotes (Yahoo Finance)'!Q248-'Analysis (Yahoo Finance)'!C275/52</f>
        <v>4.9511993809706785E-2</v>
      </c>
      <c r="G275" s="200">
        <f>'Weekly Quotes (Yahoo Finance)'!V248-'Analysis (Yahoo Finance)'!C275/52</f>
        <v>3.6723775282627442E-2</v>
      </c>
      <c r="H275" s="200">
        <f>'Weekly Quotes (Yahoo Finance)'!AA248-'Analysis (Yahoo Finance)'!C275/52</f>
        <v>7.2050453441241127E-2</v>
      </c>
      <c r="I275" s="200">
        <f>'Weekly Quotes (Yahoo Finance)'!AF248-'Analysis (Yahoo Finance)'!C275/52</f>
        <v>-1.7948155155233226E-2</v>
      </c>
    </row>
    <row r="276" spans="2:9" x14ac:dyDescent="0.3">
      <c r="B276" s="331">
        <v>41166.770833333336</v>
      </c>
      <c r="C276" s="198">
        <v>1.0000000149011613E-3</v>
      </c>
      <c r="D276" s="200">
        <f>'Weekly Quotes (Yahoo Finance)'!G249-'Analysis (Yahoo Finance)'!C276/52</f>
        <v>2.0142922803484554E-2</v>
      </c>
      <c r="E276" s="200">
        <f>'Weekly Quotes (Yahoo Finance)'!L249-'Analysis (Yahoo Finance)'!C276/52</f>
        <v>3.459142144433585E-2</v>
      </c>
      <c r="F276" s="200">
        <f>'Weekly Quotes (Yahoo Finance)'!Q249-'Analysis (Yahoo Finance)'!C276/52</f>
        <v>3.415489570241375E-2</v>
      </c>
      <c r="G276" s="200">
        <f>'Weekly Quotes (Yahoo Finance)'!V249-'Analysis (Yahoo Finance)'!C276/52</f>
        <v>0.21856813052817964</v>
      </c>
      <c r="H276" s="200">
        <f>'Weekly Quotes (Yahoo Finance)'!AA249-'Analysis (Yahoo Finance)'!C276/52</f>
        <v>2.3201482846848465E-2</v>
      </c>
      <c r="I276" s="200">
        <f>'Weekly Quotes (Yahoo Finance)'!AF249-'Analysis (Yahoo Finance)'!C276/52</f>
        <v>-1.9230769517330025E-5</v>
      </c>
    </row>
    <row r="277" spans="2:9" x14ac:dyDescent="0.3">
      <c r="B277" s="331">
        <v>41173.770833333336</v>
      </c>
      <c r="C277" s="198">
        <v>9.0000003576278691E-4</v>
      </c>
      <c r="D277" s="200">
        <f>'Weekly Quotes (Yahoo Finance)'!G250-'Analysis (Yahoo Finance)'!C277/52</f>
        <v>-4.0312329437927948E-3</v>
      </c>
      <c r="E277" s="200">
        <f>'Weekly Quotes (Yahoo Finance)'!L250-'Analysis (Yahoo Finance)'!C277/52</f>
        <v>8.345933967675712E-3</v>
      </c>
      <c r="F277" s="200">
        <f>'Weekly Quotes (Yahoo Finance)'!Q250-'Analysis (Yahoo Finance)'!C277/52</f>
        <v>7.6947139301377677E-4</v>
      </c>
      <c r="G277" s="200">
        <f>'Weekly Quotes (Yahoo Finance)'!V250-'Analysis (Yahoo Finance)'!C277/52</f>
        <v>-1.3846807709287678E-2</v>
      </c>
      <c r="H277" s="200">
        <f>'Weekly Quotes (Yahoo Finance)'!AA250-'Analysis (Yahoo Finance)'!C277/52</f>
        <v>-7.2793003129217656E-3</v>
      </c>
      <c r="I277" s="200">
        <f>'Weekly Quotes (Yahoo Finance)'!AF250-'Analysis (Yahoo Finance)'!C277/52</f>
        <v>0.13691215288791739</v>
      </c>
    </row>
    <row r="278" spans="2:9" x14ac:dyDescent="0.3">
      <c r="B278" s="331">
        <v>41180.770833333336</v>
      </c>
      <c r="C278" s="198">
        <v>1.0000000149011613E-3</v>
      </c>
      <c r="D278" s="200">
        <f>'Weekly Quotes (Yahoo Finance)'!G251-'Analysis (Yahoo Finance)'!C278/52</f>
        <v>-1.3044485860243715E-2</v>
      </c>
      <c r="E278" s="200">
        <f>'Weekly Quotes (Yahoo Finance)'!L251-'Analysis (Yahoo Finance)'!C278/52</f>
        <v>-1.3052428277367144E-2</v>
      </c>
      <c r="F278" s="200">
        <f>'Weekly Quotes (Yahoo Finance)'!Q251-'Analysis (Yahoo Finance)'!C278/52</f>
        <v>-5.8195300503337495E-2</v>
      </c>
      <c r="G278" s="200">
        <f>'Weekly Quotes (Yahoo Finance)'!V251-'Analysis (Yahoo Finance)'!C278/52</f>
        <v>-2.456042277229482E-2</v>
      </c>
      <c r="H278" s="200">
        <f>'Weekly Quotes (Yahoo Finance)'!AA251-'Analysis (Yahoo Finance)'!C278/52</f>
        <v>-6.8026969865669987E-2</v>
      </c>
      <c r="I278" s="200">
        <f>'Weekly Quotes (Yahoo Finance)'!AF251-'Analysis (Yahoo Finance)'!C278/52</f>
        <v>-5.7683419794950681E-2</v>
      </c>
    </row>
    <row r="279" spans="2:9" x14ac:dyDescent="0.3">
      <c r="B279" s="331">
        <v>41187.770833333336</v>
      </c>
      <c r="C279" s="198">
        <v>1.0000000149011613E-3</v>
      </c>
      <c r="D279" s="200">
        <f>'Weekly Quotes (Yahoo Finance)'!G252-'Analysis (Yahoo Finance)'!C279/52</f>
        <v>1.5053340950605888E-2</v>
      </c>
      <c r="E279" s="200">
        <f>'Weekly Quotes (Yahoo Finance)'!L252-'Analysis (Yahoo Finance)'!C279/52</f>
        <v>9.4818646129918679E-2</v>
      </c>
      <c r="F279" s="200">
        <f>'Weekly Quotes (Yahoo Finance)'!Q252-'Analysis (Yahoo Finance)'!C279/52</f>
        <v>5.5907300912079787E-2</v>
      </c>
      <c r="G279" s="200">
        <f>'Weekly Quotes (Yahoo Finance)'!V252-'Analysis (Yahoo Finance)'!C279/52</f>
        <v>1.9219666949091985E-2</v>
      </c>
      <c r="H279" s="200">
        <f>'Weekly Quotes (Yahoo Finance)'!AA252-'Analysis (Yahoo Finance)'!C279/52</f>
        <v>3.0027334360894265E-2</v>
      </c>
      <c r="I279" s="200">
        <f>'Weekly Quotes (Yahoo Finance)'!AF252-'Analysis (Yahoo Finance)'!C279/52</f>
        <v>-1.9230769517330025E-5</v>
      </c>
    </row>
    <row r="280" spans="2:9" x14ac:dyDescent="0.3">
      <c r="B280" s="331">
        <v>41194.770833333336</v>
      </c>
      <c r="C280" s="198">
        <v>9.0000003576278691E-4</v>
      </c>
      <c r="D280" s="200">
        <f>'Weekly Quotes (Yahoo Finance)'!G253-'Analysis (Yahoo Finance)'!C280/52</f>
        <v>-2.2256256738934811E-2</v>
      </c>
      <c r="E280" s="200">
        <f>'Weekly Quotes (Yahoo Finance)'!L253-'Analysis (Yahoo Finance)'!C280/52</f>
        <v>-3.1815569279887469E-2</v>
      </c>
      <c r="F280" s="200">
        <f>'Weekly Quotes (Yahoo Finance)'!Q253-'Analysis (Yahoo Finance)'!C280/52</f>
        <v>-1.730769299543821E-5</v>
      </c>
      <c r="G280" s="200">
        <f>'Weekly Quotes (Yahoo Finance)'!V253-'Analysis (Yahoo Finance)'!C280/52</f>
        <v>-4.2954452147140866E-2</v>
      </c>
      <c r="H280" s="200">
        <f>'Weekly Quotes (Yahoo Finance)'!AA253-'Analysis (Yahoo Finance)'!C280/52</f>
        <v>-5.5857228294241536E-2</v>
      </c>
      <c r="I280" s="200">
        <f>'Weekly Quotes (Yahoo Finance)'!AF253-'Analysis (Yahoo Finance)'!C280/52</f>
        <v>-1.730769299543821E-5</v>
      </c>
    </row>
    <row r="281" spans="2:9" x14ac:dyDescent="0.3">
      <c r="B281" s="331">
        <v>41201.770833333336</v>
      </c>
      <c r="C281" s="198">
        <v>1.0499999672174453E-3</v>
      </c>
      <c r="D281" s="200">
        <f>'Weekly Quotes (Yahoo Finance)'!G254-'Analysis (Yahoo Finance)'!C281/52</f>
        <v>3.4790028929923876E-3</v>
      </c>
      <c r="E281" s="200">
        <f>'Weekly Quotes (Yahoo Finance)'!L254-'Analysis (Yahoo Finance)'!C281/52</f>
        <v>1.5834857821962787E-2</v>
      </c>
      <c r="F281" s="200">
        <f>'Weekly Quotes (Yahoo Finance)'!Q254-'Analysis (Yahoo Finance)'!C281/52</f>
        <v>3.3181389221215031E-2</v>
      </c>
      <c r="G281" s="200">
        <f>'Weekly Quotes (Yahoo Finance)'!V254-'Analysis (Yahoo Finance)'!C281/52</f>
        <v>8.8658036364944494E-3</v>
      </c>
      <c r="H281" s="200">
        <f>'Weekly Quotes (Yahoo Finance)'!AA254-'Analysis (Yahoo Finance)'!C281/52</f>
        <v>3.7810827674638815E-2</v>
      </c>
      <c r="I281" s="200">
        <f>'Weekly Quotes (Yahoo Finance)'!AF254-'Analysis (Yahoo Finance)'!C281/52</f>
        <v>9.3240789233704685E-2</v>
      </c>
    </row>
    <row r="282" spans="2:9" x14ac:dyDescent="0.3">
      <c r="B282" s="331">
        <v>41208.770833333336</v>
      </c>
      <c r="C282" s="198">
        <v>9.0000003576278691E-4</v>
      </c>
      <c r="D282" s="200">
        <f>'Weekly Quotes (Yahoo Finance)'!G255-'Analysis (Yahoo Finance)'!C282/52</f>
        <v>-1.4244194469034554E-2</v>
      </c>
      <c r="E282" s="200">
        <f>'Weekly Quotes (Yahoo Finance)'!L255-'Analysis (Yahoo Finance)'!C282/52</f>
        <v>5.556938200536066E-3</v>
      </c>
      <c r="F282" s="200">
        <f>'Weekly Quotes (Yahoo Finance)'!Q255-'Analysis (Yahoo Finance)'!C282/52</f>
        <v>-2.6031103418896008E-2</v>
      </c>
      <c r="G282" s="200">
        <f>'Weekly Quotes (Yahoo Finance)'!V255-'Analysis (Yahoo Finance)'!C282/52</f>
        <v>-1.3061918944365699E-3</v>
      </c>
      <c r="H282" s="200">
        <f>'Weekly Quotes (Yahoo Finance)'!AA255-'Analysis (Yahoo Finance)'!C282/52</f>
        <v>3.4719750973246678E-4</v>
      </c>
      <c r="I282" s="200">
        <f>'Weekly Quotes (Yahoo Finance)'!AF255-'Analysis (Yahoo Finance)'!C282/52</f>
        <v>-3.0766892195324226E-2</v>
      </c>
    </row>
    <row r="283" spans="2:9" x14ac:dyDescent="0.3">
      <c r="B283" s="331">
        <v>41215.770833333336</v>
      </c>
      <c r="C283" s="198">
        <v>9.0000003576278691E-4</v>
      </c>
      <c r="D283" s="200">
        <f>'Weekly Quotes (Yahoo Finance)'!G256-'Analysis (Yahoo Finance)'!C283/52</f>
        <v>1.468305649846147E-3</v>
      </c>
      <c r="E283" s="200">
        <f>'Weekly Quotes (Yahoo Finance)'!L256-'Analysis (Yahoo Finance)'!C283/52</f>
        <v>9.9604191023195069E-3</v>
      </c>
      <c r="F283" s="200">
        <f>'Weekly Quotes (Yahoo Finance)'!Q256-'Analysis (Yahoo Finance)'!C283/52</f>
        <v>3.3761166667109176E-2</v>
      </c>
      <c r="G283" s="200">
        <f>'Weekly Quotes (Yahoo Finance)'!V256-'Analysis (Yahoo Finance)'!C283/52</f>
        <v>-3.0287768108928411E-3</v>
      </c>
      <c r="H283" s="200">
        <f>'Weekly Quotes (Yahoo Finance)'!AA256-'Analysis (Yahoo Finance)'!C283/52</f>
        <v>2.5975639495804635E-2</v>
      </c>
      <c r="I283" s="200">
        <f>'Weekly Quotes (Yahoo Finance)'!AF256-'Analysis (Yahoo Finance)'!C283/52</f>
        <v>-1.730769299543821E-5</v>
      </c>
    </row>
    <row r="284" spans="2:9" x14ac:dyDescent="0.3">
      <c r="B284" s="331">
        <v>41222.8125</v>
      </c>
      <c r="C284" s="198">
        <v>7.5000002980232241E-4</v>
      </c>
      <c r="D284" s="200">
        <f>'Weekly Quotes (Yahoo Finance)'!G257-'Analysis (Yahoo Finance)'!C284/52</f>
        <v>-2.4032464580195794E-2</v>
      </c>
      <c r="E284" s="200">
        <f>'Weekly Quotes (Yahoo Finance)'!L257-'Analysis (Yahoo Finance)'!C284/52</f>
        <v>-5.0508399946318817E-2</v>
      </c>
      <c r="F284" s="200">
        <f>'Weekly Quotes (Yahoo Finance)'!Q257-'Analysis (Yahoo Finance)'!C284/52</f>
        <v>-2.9649630462100989E-2</v>
      </c>
      <c r="G284" s="200">
        <f>'Weekly Quotes (Yahoo Finance)'!V257-'Analysis (Yahoo Finance)'!C284/52</f>
        <v>-2.3013660203450646E-4</v>
      </c>
      <c r="H284" s="200">
        <f>'Weekly Quotes (Yahoo Finance)'!AA257-'Analysis (Yahoo Finance)'!C284/52</f>
        <v>-5.5785430480298302E-3</v>
      </c>
      <c r="I284" s="200">
        <f>'Weekly Quotes (Yahoo Finance)'!AF257-'Analysis (Yahoo Finance)'!C284/52</f>
        <v>-1.4423077496198509E-5</v>
      </c>
    </row>
    <row r="285" spans="2:9" x14ac:dyDescent="0.3">
      <c r="B285" s="331">
        <v>41229.8125</v>
      </c>
      <c r="C285" s="198">
        <v>9.0000003576278691E-4</v>
      </c>
      <c r="D285" s="200">
        <f>'Weekly Quotes (Yahoo Finance)'!G258-'Analysis (Yahoo Finance)'!C285/52</f>
        <v>-1.2973362249128683E-2</v>
      </c>
      <c r="E285" s="200">
        <f>'Weekly Quotes (Yahoo Finance)'!L258-'Analysis (Yahoo Finance)'!C285/52</f>
        <v>-1.2734093416886338E-2</v>
      </c>
      <c r="F285" s="200">
        <f>'Weekly Quotes (Yahoo Finance)'!Q258-'Analysis (Yahoo Finance)'!C285/52</f>
        <v>-4.6219355111790962E-2</v>
      </c>
      <c r="G285" s="200">
        <f>'Weekly Quotes (Yahoo Finance)'!V258-'Analysis (Yahoo Finance)'!C285/52</f>
        <v>4.5143945897230479E-3</v>
      </c>
      <c r="H285" s="200">
        <f>'Weekly Quotes (Yahoo Finance)'!AA258-'Analysis (Yahoo Finance)'!C285/52</f>
        <v>-8.5493501802230892E-2</v>
      </c>
      <c r="I285" s="200">
        <f>'Weekly Quotes (Yahoo Finance)'!AF258-'Analysis (Yahoo Finance)'!C285/52</f>
        <v>-3.8760019195367069E-2</v>
      </c>
    </row>
    <row r="286" spans="2:9" x14ac:dyDescent="0.3">
      <c r="B286" s="331">
        <v>41236.8125</v>
      </c>
      <c r="C286" s="198">
        <v>7.5000002980232241E-4</v>
      </c>
      <c r="D286" s="200">
        <f>'Weekly Quotes (Yahoo Finance)'!G259-'Analysis (Yahoo Finance)'!C286/52</f>
        <v>3.6503954605575782E-2</v>
      </c>
      <c r="E286" s="200">
        <f>'Weekly Quotes (Yahoo Finance)'!L259-'Analysis (Yahoo Finance)'!C286/52</f>
        <v>6.4388367897154089E-2</v>
      </c>
      <c r="F286" s="200">
        <f>'Weekly Quotes (Yahoo Finance)'!Q259-'Analysis (Yahoo Finance)'!C286/52</f>
        <v>1.6405941302386613E-2</v>
      </c>
      <c r="G286" s="200">
        <f>'Weekly Quotes (Yahoo Finance)'!V259-'Analysis (Yahoo Finance)'!C286/52</f>
        <v>5.7987778547818801E-2</v>
      </c>
      <c r="H286" s="200">
        <f>'Weekly Quotes (Yahoo Finance)'!AA259-'Analysis (Yahoo Finance)'!C286/52</f>
        <v>3.0055839455313777E-2</v>
      </c>
      <c r="I286" s="200">
        <f>'Weekly Quotes (Yahoo Finance)'!AF259-'Analysis (Yahoo Finance)'!C286/52</f>
        <v>-1.4423077496198509E-5</v>
      </c>
    </row>
    <row r="287" spans="2:9" x14ac:dyDescent="0.3">
      <c r="B287" s="331">
        <v>41243.8125</v>
      </c>
      <c r="C287" s="198">
        <v>7.9999998211860652E-4</v>
      </c>
      <c r="D287" s="200">
        <f>'Weekly Quotes (Yahoo Finance)'!G260-'Analysis (Yahoo Finance)'!C287/52</f>
        <v>5.6442387201212692E-3</v>
      </c>
      <c r="E287" s="200">
        <f>'Weekly Quotes (Yahoo Finance)'!L260-'Analysis (Yahoo Finance)'!C287/52</f>
        <v>-2.0917402786929488E-2</v>
      </c>
      <c r="F287" s="200">
        <f>'Weekly Quotes (Yahoo Finance)'!Q260-'Analysis (Yahoo Finance)'!C287/52</f>
        <v>2.5832723575369095E-2</v>
      </c>
      <c r="G287" s="200">
        <f>'Weekly Quotes (Yahoo Finance)'!V260-'Analysis (Yahoo Finance)'!C287/52</f>
        <v>7.309587353699537E-2</v>
      </c>
      <c r="H287" s="200">
        <f>'Weekly Quotes (Yahoo Finance)'!AA260-'Analysis (Yahoo Finance)'!C287/52</f>
        <v>5.6094846593320265E-2</v>
      </c>
      <c r="I287" s="200">
        <f>'Weekly Quotes (Yahoo Finance)'!AF260-'Analysis (Yahoo Finance)'!C287/52</f>
        <v>3.7868967537804717E-3</v>
      </c>
    </row>
    <row r="288" spans="2:9" x14ac:dyDescent="0.3">
      <c r="B288" s="331">
        <v>41250.8125</v>
      </c>
      <c r="C288" s="198">
        <v>2.5000000372529032E-4</v>
      </c>
      <c r="D288" s="200">
        <f>'Weekly Quotes (Yahoo Finance)'!G261-'Analysis (Yahoo Finance)'!C288/52</f>
        <v>1.824314901986296E-3</v>
      </c>
      <c r="E288" s="200">
        <f>'Weekly Quotes (Yahoo Finance)'!L261-'Analysis (Yahoo Finance)'!C288/52</f>
        <v>1.5725539200623011E-2</v>
      </c>
      <c r="F288" s="200">
        <f>'Weekly Quotes (Yahoo Finance)'!Q261-'Analysis (Yahoo Finance)'!C288/52</f>
        <v>3.306605944270212E-2</v>
      </c>
      <c r="G288" s="200">
        <f>'Weekly Quotes (Yahoo Finance)'!V261-'Analysis (Yahoo Finance)'!C288/52</f>
        <v>-1.5901858225350413E-2</v>
      </c>
      <c r="H288" s="200">
        <f>'Weekly Quotes (Yahoo Finance)'!AA261-'Analysis (Yahoo Finance)'!C288/52</f>
        <v>3.3859041073794213E-2</v>
      </c>
      <c r="I288" s="200">
        <f>'Weekly Quotes (Yahoo Finance)'!AF261-'Analysis (Yahoo Finance)'!C288/52</f>
        <v>5.9086124517907054E-2</v>
      </c>
    </row>
    <row r="289" spans="2:9" x14ac:dyDescent="0.3">
      <c r="B289" s="331">
        <v>41257.8125</v>
      </c>
      <c r="C289" s="198">
        <v>5.0000000745058064E-4</v>
      </c>
      <c r="D289" s="200">
        <f>'Weekly Quotes (Yahoo Finance)'!G262-'Analysis (Yahoo Finance)'!C289/52</f>
        <v>-2.1864116113023187E-3</v>
      </c>
      <c r="E289" s="200">
        <f>'Weekly Quotes (Yahoo Finance)'!L262-'Analysis (Yahoo Finance)'!C289/52</f>
        <v>1.6583310577469059E-2</v>
      </c>
      <c r="F289" s="200">
        <f>'Weekly Quotes (Yahoo Finance)'!Q262-'Analysis (Yahoo Finance)'!C289/52</f>
        <v>1.5147690883785209E-3</v>
      </c>
      <c r="G289" s="200">
        <f>'Weekly Quotes (Yahoo Finance)'!V262-'Analysis (Yahoo Finance)'!C289/52</f>
        <v>-7.7019524208914777E-3</v>
      </c>
      <c r="H289" s="200">
        <f>'Weekly Quotes (Yahoo Finance)'!AA262-'Analysis (Yahoo Finance)'!C289/52</f>
        <v>1.6541313780994406E-2</v>
      </c>
      <c r="I289" s="200">
        <f>'Weekly Quotes (Yahoo Finance)'!AF262-'Analysis (Yahoo Finance)'!C289/52</f>
        <v>1.1721424342338216E-2</v>
      </c>
    </row>
    <row r="290" spans="2:9" x14ac:dyDescent="0.3">
      <c r="B290" s="331">
        <v>41264.8125</v>
      </c>
      <c r="C290" s="198">
        <v>9.9999997764825814E-5</v>
      </c>
      <c r="D290" s="200">
        <f>'Weekly Quotes (Yahoo Finance)'!G263-'Analysis (Yahoo Finance)'!C290/52</f>
        <v>1.2045839830111184E-2</v>
      </c>
      <c r="E290" s="200">
        <f>'Weekly Quotes (Yahoo Finance)'!L263-'Analysis (Yahoo Finance)'!C290/52</f>
        <v>6.2022049234217481E-2</v>
      </c>
      <c r="F290" s="200">
        <f>'Weekly Quotes (Yahoo Finance)'!Q263-'Analysis (Yahoo Finance)'!C290/52</f>
        <v>1.8262969998196966E-2</v>
      </c>
      <c r="G290" s="200">
        <f>'Weekly Quotes (Yahoo Finance)'!V263-'Analysis (Yahoo Finance)'!C290/52</f>
        <v>1.2788772018646234E-2</v>
      </c>
      <c r="H290" s="200">
        <f>'Weekly Quotes (Yahoo Finance)'!AA263-'Analysis (Yahoo Finance)'!C290/52</f>
        <v>4.3377303601521568E-2</v>
      </c>
      <c r="I290" s="200">
        <f>'Weekly Quotes (Yahoo Finance)'!AF263-'Analysis (Yahoo Finance)'!C290/52</f>
        <v>-1.9230768800928042E-6</v>
      </c>
    </row>
    <row r="291" spans="2:9" x14ac:dyDescent="0.3">
      <c r="B291" s="331">
        <v>41271.8125</v>
      </c>
      <c r="C291" s="198">
        <v>9.9999997764825814E-5</v>
      </c>
      <c r="D291" s="200">
        <f>'Weekly Quotes (Yahoo Finance)'!G264-'Analysis (Yahoo Finance)'!C291/52</f>
        <v>-1.9330970185281092E-2</v>
      </c>
      <c r="E291" s="200">
        <f>'Weekly Quotes (Yahoo Finance)'!L264-'Analysis (Yahoo Finance)'!C291/52</f>
        <v>-8.1987340372510417E-3</v>
      </c>
      <c r="F291" s="200">
        <f>'Weekly Quotes (Yahoo Finance)'!Q264-'Analysis (Yahoo Finance)'!C291/52</f>
        <v>-1.9230768800928042E-6</v>
      </c>
      <c r="G291" s="200">
        <f>'Weekly Quotes (Yahoo Finance)'!V264-'Analysis (Yahoo Finance)'!C291/52</f>
        <v>-2.0285076399466216E-2</v>
      </c>
      <c r="H291" s="200">
        <f>'Weekly Quotes (Yahoo Finance)'!AA264-'Analysis (Yahoo Finance)'!C291/52</f>
        <v>2.1636885452745096E-4</v>
      </c>
      <c r="I291" s="200">
        <f>'Weekly Quotes (Yahoo Finance)'!AF264-'Analysis (Yahoo Finance)'!C291/52</f>
        <v>-1.9230768800928042E-6</v>
      </c>
    </row>
  </sheetData>
  <mergeCells count="7">
    <mergeCell ref="D29:I29"/>
    <mergeCell ref="B2:G2"/>
    <mergeCell ref="C13:H13"/>
    <mergeCell ref="B22:B23"/>
    <mergeCell ref="C22:C23"/>
    <mergeCell ref="D22:D23"/>
    <mergeCell ref="E22:J22"/>
  </mergeCells>
  <pageMargins left="0.75" right="0.75" top="1" bottom="1" header="0.5" footer="0.5"/>
  <pageSetup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DB4AD-C430-4891-B434-6FAB71038909}">
  <sheetPr>
    <tabColor theme="0" tint="-0.249977111117893"/>
  </sheetPr>
  <dimension ref="B2:AF264"/>
  <sheetViews>
    <sheetView showGridLines="0" zoomScaleNormal="100" workbookViewId="0">
      <selection activeCell="H19" sqref="H19"/>
    </sheetView>
  </sheetViews>
  <sheetFormatPr defaultColWidth="8.7265625" defaultRowHeight="13" x14ac:dyDescent="0.3"/>
  <cols>
    <col min="1" max="1" width="2.81640625" style="52" customWidth="1"/>
    <col min="2" max="2" width="15" style="52" customWidth="1"/>
    <col min="3" max="3" width="12.81640625" style="52" customWidth="1"/>
    <col min="4" max="7" width="8.7265625" style="52" customWidth="1"/>
    <col min="8" max="8" width="12.81640625" style="52" customWidth="1"/>
    <col min="9" max="12" width="8.7265625" style="52" customWidth="1"/>
    <col min="13" max="13" width="12.81640625" style="52" customWidth="1"/>
    <col min="14" max="17" width="8.7265625" style="52" customWidth="1"/>
    <col min="18" max="18" width="12.81640625" style="52" customWidth="1"/>
    <col min="19" max="22" width="8.7265625" style="52" customWidth="1"/>
    <col min="23" max="23" width="12.81640625" style="52" customWidth="1"/>
    <col min="24" max="27" width="8.7265625" style="52" customWidth="1"/>
    <col min="28" max="28" width="12.81640625" style="52" customWidth="1"/>
    <col min="29" max="256" width="8.7265625" style="52"/>
    <col min="257" max="257" width="2.81640625" style="52" customWidth="1"/>
    <col min="258" max="258" width="15" style="52" customWidth="1"/>
    <col min="259" max="259" width="12.81640625" style="52" customWidth="1"/>
    <col min="260" max="263" width="8.7265625" style="52"/>
    <col min="264" max="264" width="12.81640625" style="52" customWidth="1"/>
    <col min="265" max="268" width="8.7265625" style="52"/>
    <col min="269" max="269" width="12.81640625" style="52" customWidth="1"/>
    <col min="270" max="273" width="8.7265625" style="52"/>
    <col min="274" max="274" width="12.81640625" style="52" customWidth="1"/>
    <col min="275" max="278" width="8.7265625" style="52"/>
    <col min="279" max="279" width="12.81640625" style="52" customWidth="1"/>
    <col min="280" max="283" width="8.7265625" style="52"/>
    <col min="284" max="284" width="12.81640625" style="52" customWidth="1"/>
    <col min="285" max="512" width="8.7265625" style="52"/>
    <col min="513" max="513" width="2.81640625" style="52" customWidth="1"/>
    <col min="514" max="514" width="15" style="52" customWidth="1"/>
    <col min="515" max="515" width="12.81640625" style="52" customWidth="1"/>
    <col min="516" max="519" width="8.7265625" style="52"/>
    <col min="520" max="520" width="12.81640625" style="52" customWidth="1"/>
    <col min="521" max="524" width="8.7265625" style="52"/>
    <col min="525" max="525" width="12.81640625" style="52" customWidth="1"/>
    <col min="526" max="529" width="8.7265625" style="52"/>
    <col min="530" max="530" width="12.81640625" style="52" customWidth="1"/>
    <col min="531" max="534" width="8.7265625" style="52"/>
    <col min="535" max="535" width="12.81640625" style="52" customWidth="1"/>
    <col min="536" max="539" width="8.7265625" style="52"/>
    <col min="540" max="540" width="12.81640625" style="52" customWidth="1"/>
    <col min="541" max="768" width="8.7265625" style="52"/>
    <col min="769" max="769" width="2.81640625" style="52" customWidth="1"/>
    <col min="770" max="770" width="15" style="52" customWidth="1"/>
    <col min="771" max="771" width="12.81640625" style="52" customWidth="1"/>
    <col min="772" max="775" width="8.7265625" style="52"/>
    <col min="776" max="776" width="12.81640625" style="52" customWidth="1"/>
    <col min="777" max="780" width="8.7265625" style="52"/>
    <col min="781" max="781" width="12.81640625" style="52" customWidth="1"/>
    <col min="782" max="785" width="8.7265625" style="52"/>
    <col min="786" max="786" width="12.81640625" style="52" customWidth="1"/>
    <col min="787" max="790" width="8.7265625" style="52"/>
    <col min="791" max="791" width="12.81640625" style="52" customWidth="1"/>
    <col min="792" max="795" width="8.7265625" style="52"/>
    <col min="796" max="796" width="12.81640625" style="52" customWidth="1"/>
    <col min="797" max="1024" width="8.7265625" style="52"/>
    <col min="1025" max="1025" width="2.81640625" style="52" customWidth="1"/>
    <col min="1026" max="1026" width="15" style="52" customWidth="1"/>
    <col min="1027" max="1027" width="12.81640625" style="52" customWidth="1"/>
    <col min="1028" max="1031" width="8.7265625" style="52"/>
    <col min="1032" max="1032" width="12.81640625" style="52" customWidth="1"/>
    <col min="1033" max="1036" width="8.7265625" style="52"/>
    <col min="1037" max="1037" width="12.81640625" style="52" customWidth="1"/>
    <col min="1038" max="1041" width="8.7265625" style="52"/>
    <col min="1042" max="1042" width="12.81640625" style="52" customWidth="1"/>
    <col min="1043" max="1046" width="8.7265625" style="52"/>
    <col min="1047" max="1047" width="12.81640625" style="52" customWidth="1"/>
    <col min="1048" max="1051" width="8.7265625" style="52"/>
    <col min="1052" max="1052" width="12.81640625" style="52" customWidth="1"/>
    <col min="1053" max="1280" width="8.7265625" style="52"/>
    <col min="1281" max="1281" width="2.81640625" style="52" customWidth="1"/>
    <col min="1282" max="1282" width="15" style="52" customWidth="1"/>
    <col min="1283" max="1283" width="12.81640625" style="52" customWidth="1"/>
    <col min="1284" max="1287" width="8.7265625" style="52"/>
    <col min="1288" max="1288" width="12.81640625" style="52" customWidth="1"/>
    <col min="1289" max="1292" width="8.7265625" style="52"/>
    <col min="1293" max="1293" width="12.81640625" style="52" customWidth="1"/>
    <col min="1294" max="1297" width="8.7265625" style="52"/>
    <col min="1298" max="1298" width="12.81640625" style="52" customWidth="1"/>
    <col min="1299" max="1302" width="8.7265625" style="52"/>
    <col min="1303" max="1303" width="12.81640625" style="52" customWidth="1"/>
    <col min="1304" max="1307" width="8.7265625" style="52"/>
    <col min="1308" max="1308" width="12.81640625" style="52" customWidth="1"/>
    <col min="1309" max="1536" width="8.7265625" style="52"/>
    <col min="1537" max="1537" width="2.81640625" style="52" customWidth="1"/>
    <col min="1538" max="1538" width="15" style="52" customWidth="1"/>
    <col min="1539" max="1539" width="12.81640625" style="52" customWidth="1"/>
    <col min="1540" max="1543" width="8.7265625" style="52"/>
    <col min="1544" max="1544" width="12.81640625" style="52" customWidth="1"/>
    <col min="1545" max="1548" width="8.7265625" style="52"/>
    <col min="1549" max="1549" width="12.81640625" style="52" customWidth="1"/>
    <col min="1550" max="1553" width="8.7265625" style="52"/>
    <col min="1554" max="1554" width="12.81640625" style="52" customWidth="1"/>
    <col min="1555" max="1558" width="8.7265625" style="52"/>
    <col min="1559" max="1559" width="12.81640625" style="52" customWidth="1"/>
    <col min="1560" max="1563" width="8.7265625" style="52"/>
    <col min="1564" max="1564" width="12.81640625" style="52" customWidth="1"/>
    <col min="1565" max="1792" width="8.7265625" style="52"/>
    <col min="1793" max="1793" width="2.81640625" style="52" customWidth="1"/>
    <col min="1794" max="1794" width="15" style="52" customWidth="1"/>
    <col min="1795" max="1795" width="12.81640625" style="52" customWidth="1"/>
    <col min="1796" max="1799" width="8.7265625" style="52"/>
    <col min="1800" max="1800" width="12.81640625" style="52" customWidth="1"/>
    <col min="1801" max="1804" width="8.7265625" style="52"/>
    <col min="1805" max="1805" width="12.81640625" style="52" customWidth="1"/>
    <col min="1806" max="1809" width="8.7265625" style="52"/>
    <col min="1810" max="1810" width="12.81640625" style="52" customWidth="1"/>
    <col min="1811" max="1814" width="8.7265625" style="52"/>
    <col min="1815" max="1815" width="12.81640625" style="52" customWidth="1"/>
    <col min="1816" max="1819" width="8.7265625" style="52"/>
    <col min="1820" max="1820" width="12.81640625" style="52" customWidth="1"/>
    <col min="1821" max="2048" width="8.7265625" style="52"/>
    <col min="2049" max="2049" width="2.81640625" style="52" customWidth="1"/>
    <col min="2050" max="2050" width="15" style="52" customWidth="1"/>
    <col min="2051" max="2051" width="12.81640625" style="52" customWidth="1"/>
    <col min="2052" max="2055" width="8.7265625" style="52"/>
    <col min="2056" max="2056" width="12.81640625" style="52" customWidth="1"/>
    <col min="2057" max="2060" width="8.7265625" style="52"/>
    <col min="2061" max="2061" width="12.81640625" style="52" customWidth="1"/>
    <col min="2062" max="2065" width="8.7265625" style="52"/>
    <col min="2066" max="2066" width="12.81640625" style="52" customWidth="1"/>
    <col min="2067" max="2070" width="8.7265625" style="52"/>
    <col min="2071" max="2071" width="12.81640625" style="52" customWidth="1"/>
    <col min="2072" max="2075" width="8.7265625" style="52"/>
    <col min="2076" max="2076" width="12.81640625" style="52" customWidth="1"/>
    <col min="2077" max="2304" width="8.7265625" style="52"/>
    <col min="2305" max="2305" width="2.81640625" style="52" customWidth="1"/>
    <col min="2306" max="2306" width="15" style="52" customWidth="1"/>
    <col min="2307" max="2307" width="12.81640625" style="52" customWidth="1"/>
    <col min="2308" max="2311" width="8.7265625" style="52"/>
    <col min="2312" max="2312" width="12.81640625" style="52" customWidth="1"/>
    <col min="2313" max="2316" width="8.7265625" style="52"/>
    <col min="2317" max="2317" width="12.81640625" style="52" customWidth="1"/>
    <col min="2318" max="2321" width="8.7265625" style="52"/>
    <col min="2322" max="2322" width="12.81640625" style="52" customWidth="1"/>
    <col min="2323" max="2326" width="8.7265625" style="52"/>
    <col min="2327" max="2327" width="12.81640625" style="52" customWidth="1"/>
    <col min="2328" max="2331" width="8.7265625" style="52"/>
    <col min="2332" max="2332" width="12.81640625" style="52" customWidth="1"/>
    <col min="2333" max="2560" width="8.7265625" style="52"/>
    <col min="2561" max="2561" width="2.81640625" style="52" customWidth="1"/>
    <col min="2562" max="2562" width="15" style="52" customWidth="1"/>
    <col min="2563" max="2563" width="12.81640625" style="52" customWidth="1"/>
    <col min="2564" max="2567" width="8.7265625" style="52"/>
    <col min="2568" max="2568" width="12.81640625" style="52" customWidth="1"/>
    <col min="2569" max="2572" width="8.7265625" style="52"/>
    <col min="2573" max="2573" width="12.81640625" style="52" customWidth="1"/>
    <col min="2574" max="2577" width="8.7265625" style="52"/>
    <col min="2578" max="2578" width="12.81640625" style="52" customWidth="1"/>
    <col min="2579" max="2582" width="8.7265625" style="52"/>
    <col min="2583" max="2583" width="12.81640625" style="52" customWidth="1"/>
    <col min="2584" max="2587" width="8.7265625" style="52"/>
    <col min="2588" max="2588" width="12.81640625" style="52" customWidth="1"/>
    <col min="2589" max="2816" width="8.7265625" style="52"/>
    <col min="2817" max="2817" width="2.81640625" style="52" customWidth="1"/>
    <col min="2818" max="2818" width="15" style="52" customWidth="1"/>
    <col min="2819" max="2819" width="12.81640625" style="52" customWidth="1"/>
    <col min="2820" max="2823" width="8.7265625" style="52"/>
    <col min="2824" max="2824" width="12.81640625" style="52" customWidth="1"/>
    <col min="2825" max="2828" width="8.7265625" style="52"/>
    <col min="2829" max="2829" width="12.81640625" style="52" customWidth="1"/>
    <col min="2830" max="2833" width="8.7265625" style="52"/>
    <col min="2834" max="2834" width="12.81640625" style="52" customWidth="1"/>
    <col min="2835" max="2838" width="8.7265625" style="52"/>
    <col min="2839" max="2839" width="12.81640625" style="52" customWidth="1"/>
    <col min="2840" max="2843" width="8.7265625" style="52"/>
    <col min="2844" max="2844" width="12.81640625" style="52" customWidth="1"/>
    <col min="2845" max="3072" width="8.7265625" style="52"/>
    <col min="3073" max="3073" width="2.81640625" style="52" customWidth="1"/>
    <col min="3074" max="3074" width="15" style="52" customWidth="1"/>
    <col min="3075" max="3075" width="12.81640625" style="52" customWidth="1"/>
    <col min="3076" max="3079" width="8.7265625" style="52"/>
    <col min="3080" max="3080" width="12.81640625" style="52" customWidth="1"/>
    <col min="3081" max="3084" width="8.7265625" style="52"/>
    <col min="3085" max="3085" width="12.81640625" style="52" customWidth="1"/>
    <col min="3086" max="3089" width="8.7265625" style="52"/>
    <col min="3090" max="3090" width="12.81640625" style="52" customWidth="1"/>
    <col min="3091" max="3094" width="8.7265625" style="52"/>
    <col min="3095" max="3095" width="12.81640625" style="52" customWidth="1"/>
    <col min="3096" max="3099" width="8.7265625" style="52"/>
    <col min="3100" max="3100" width="12.81640625" style="52" customWidth="1"/>
    <col min="3101" max="3328" width="8.7265625" style="52"/>
    <col min="3329" max="3329" width="2.81640625" style="52" customWidth="1"/>
    <col min="3330" max="3330" width="15" style="52" customWidth="1"/>
    <col min="3331" max="3331" width="12.81640625" style="52" customWidth="1"/>
    <col min="3332" max="3335" width="8.7265625" style="52"/>
    <col min="3336" max="3336" width="12.81640625" style="52" customWidth="1"/>
    <col min="3337" max="3340" width="8.7265625" style="52"/>
    <col min="3341" max="3341" width="12.81640625" style="52" customWidth="1"/>
    <col min="3342" max="3345" width="8.7265625" style="52"/>
    <col min="3346" max="3346" width="12.81640625" style="52" customWidth="1"/>
    <col min="3347" max="3350" width="8.7265625" style="52"/>
    <col min="3351" max="3351" width="12.81640625" style="52" customWidth="1"/>
    <col min="3352" max="3355" width="8.7265625" style="52"/>
    <col min="3356" max="3356" width="12.81640625" style="52" customWidth="1"/>
    <col min="3357" max="3584" width="8.7265625" style="52"/>
    <col min="3585" max="3585" width="2.81640625" style="52" customWidth="1"/>
    <col min="3586" max="3586" width="15" style="52" customWidth="1"/>
    <col min="3587" max="3587" width="12.81640625" style="52" customWidth="1"/>
    <col min="3588" max="3591" width="8.7265625" style="52"/>
    <col min="3592" max="3592" width="12.81640625" style="52" customWidth="1"/>
    <col min="3593" max="3596" width="8.7265625" style="52"/>
    <col min="3597" max="3597" width="12.81640625" style="52" customWidth="1"/>
    <col min="3598" max="3601" width="8.7265625" style="52"/>
    <col min="3602" max="3602" width="12.81640625" style="52" customWidth="1"/>
    <col min="3603" max="3606" width="8.7265625" style="52"/>
    <col min="3607" max="3607" width="12.81640625" style="52" customWidth="1"/>
    <col min="3608" max="3611" width="8.7265625" style="52"/>
    <col min="3612" max="3612" width="12.81640625" style="52" customWidth="1"/>
    <col min="3613" max="3840" width="8.7265625" style="52"/>
    <col min="3841" max="3841" width="2.81640625" style="52" customWidth="1"/>
    <col min="3842" max="3842" width="15" style="52" customWidth="1"/>
    <col min="3843" max="3843" width="12.81640625" style="52" customWidth="1"/>
    <col min="3844" max="3847" width="8.7265625" style="52"/>
    <col min="3848" max="3848" width="12.81640625" style="52" customWidth="1"/>
    <col min="3849" max="3852" width="8.7265625" style="52"/>
    <col min="3853" max="3853" width="12.81640625" style="52" customWidth="1"/>
    <col min="3854" max="3857" width="8.7265625" style="52"/>
    <col min="3858" max="3858" width="12.81640625" style="52" customWidth="1"/>
    <col min="3859" max="3862" width="8.7265625" style="52"/>
    <col min="3863" max="3863" width="12.81640625" style="52" customWidth="1"/>
    <col min="3864" max="3867" width="8.7265625" style="52"/>
    <col min="3868" max="3868" width="12.81640625" style="52" customWidth="1"/>
    <col min="3869" max="4096" width="8.7265625" style="52"/>
    <col min="4097" max="4097" width="2.81640625" style="52" customWidth="1"/>
    <col min="4098" max="4098" width="15" style="52" customWidth="1"/>
    <col min="4099" max="4099" width="12.81640625" style="52" customWidth="1"/>
    <col min="4100" max="4103" width="8.7265625" style="52"/>
    <col min="4104" max="4104" width="12.81640625" style="52" customWidth="1"/>
    <col min="4105" max="4108" width="8.7265625" style="52"/>
    <col min="4109" max="4109" width="12.81640625" style="52" customWidth="1"/>
    <col min="4110" max="4113" width="8.7265625" style="52"/>
    <col min="4114" max="4114" width="12.81640625" style="52" customWidth="1"/>
    <col min="4115" max="4118" width="8.7265625" style="52"/>
    <col min="4119" max="4119" width="12.81640625" style="52" customWidth="1"/>
    <col min="4120" max="4123" width="8.7265625" style="52"/>
    <col min="4124" max="4124" width="12.81640625" style="52" customWidth="1"/>
    <col min="4125" max="4352" width="8.7265625" style="52"/>
    <col min="4353" max="4353" width="2.81640625" style="52" customWidth="1"/>
    <col min="4354" max="4354" width="15" style="52" customWidth="1"/>
    <col min="4355" max="4355" width="12.81640625" style="52" customWidth="1"/>
    <col min="4356" max="4359" width="8.7265625" style="52"/>
    <col min="4360" max="4360" width="12.81640625" style="52" customWidth="1"/>
    <col min="4361" max="4364" width="8.7265625" style="52"/>
    <col min="4365" max="4365" width="12.81640625" style="52" customWidth="1"/>
    <col min="4366" max="4369" width="8.7265625" style="52"/>
    <col min="4370" max="4370" width="12.81640625" style="52" customWidth="1"/>
    <col min="4371" max="4374" width="8.7265625" style="52"/>
    <col min="4375" max="4375" width="12.81640625" style="52" customWidth="1"/>
    <col min="4376" max="4379" width="8.7265625" style="52"/>
    <col min="4380" max="4380" width="12.81640625" style="52" customWidth="1"/>
    <col min="4381" max="4608" width="8.7265625" style="52"/>
    <col min="4609" max="4609" width="2.81640625" style="52" customWidth="1"/>
    <col min="4610" max="4610" width="15" style="52" customWidth="1"/>
    <col min="4611" max="4611" width="12.81640625" style="52" customWidth="1"/>
    <col min="4612" max="4615" width="8.7265625" style="52"/>
    <col min="4616" max="4616" width="12.81640625" style="52" customWidth="1"/>
    <col min="4617" max="4620" width="8.7265625" style="52"/>
    <col min="4621" max="4621" width="12.81640625" style="52" customWidth="1"/>
    <col min="4622" max="4625" width="8.7265625" style="52"/>
    <col min="4626" max="4626" width="12.81640625" style="52" customWidth="1"/>
    <col min="4627" max="4630" width="8.7265625" style="52"/>
    <col min="4631" max="4631" width="12.81640625" style="52" customWidth="1"/>
    <col min="4632" max="4635" width="8.7265625" style="52"/>
    <col min="4636" max="4636" width="12.81640625" style="52" customWidth="1"/>
    <col min="4637" max="4864" width="8.7265625" style="52"/>
    <col min="4865" max="4865" width="2.81640625" style="52" customWidth="1"/>
    <col min="4866" max="4866" width="15" style="52" customWidth="1"/>
    <col min="4867" max="4867" width="12.81640625" style="52" customWidth="1"/>
    <col min="4868" max="4871" width="8.7265625" style="52"/>
    <col min="4872" max="4872" width="12.81640625" style="52" customWidth="1"/>
    <col min="4873" max="4876" width="8.7265625" style="52"/>
    <col min="4877" max="4877" width="12.81640625" style="52" customWidth="1"/>
    <col min="4878" max="4881" width="8.7265625" style="52"/>
    <col min="4882" max="4882" width="12.81640625" style="52" customWidth="1"/>
    <col min="4883" max="4886" width="8.7265625" style="52"/>
    <col min="4887" max="4887" width="12.81640625" style="52" customWidth="1"/>
    <col min="4888" max="4891" width="8.7265625" style="52"/>
    <col min="4892" max="4892" width="12.81640625" style="52" customWidth="1"/>
    <col min="4893" max="5120" width="8.7265625" style="52"/>
    <col min="5121" max="5121" width="2.81640625" style="52" customWidth="1"/>
    <col min="5122" max="5122" width="15" style="52" customWidth="1"/>
    <col min="5123" max="5123" width="12.81640625" style="52" customWidth="1"/>
    <col min="5124" max="5127" width="8.7265625" style="52"/>
    <col min="5128" max="5128" width="12.81640625" style="52" customWidth="1"/>
    <col min="5129" max="5132" width="8.7265625" style="52"/>
    <col min="5133" max="5133" width="12.81640625" style="52" customWidth="1"/>
    <col min="5134" max="5137" width="8.7265625" style="52"/>
    <col min="5138" max="5138" width="12.81640625" style="52" customWidth="1"/>
    <col min="5139" max="5142" width="8.7265625" style="52"/>
    <col min="5143" max="5143" width="12.81640625" style="52" customWidth="1"/>
    <col min="5144" max="5147" width="8.7265625" style="52"/>
    <col min="5148" max="5148" width="12.81640625" style="52" customWidth="1"/>
    <col min="5149" max="5376" width="8.7265625" style="52"/>
    <col min="5377" max="5377" width="2.81640625" style="52" customWidth="1"/>
    <col min="5378" max="5378" width="15" style="52" customWidth="1"/>
    <col min="5379" max="5379" width="12.81640625" style="52" customWidth="1"/>
    <col min="5380" max="5383" width="8.7265625" style="52"/>
    <col min="5384" max="5384" width="12.81640625" style="52" customWidth="1"/>
    <col min="5385" max="5388" width="8.7265625" style="52"/>
    <col min="5389" max="5389" width="12.81640625" style="52" customWidth="1"/>
    <col min="5390" max="5393" width="8.7265625" style="52"/>
    <col min="5394" max="5394" width="12.81640625" style="52" customWidth="1"/>
    <col min="5395" max="5398" width="8.7265625" style="52"/>
    <col min="5399" max="5399" width="12.81640625" style="52" customWidth="1"/>
    <col min="5400" max="5403" width="8.7265625" style="52"/>
    <col min="5404" max="5404" width="12.81640625" style="52" customWidth="1"/>
    <col min="5405" max="5632" width="8.7265625" style="52"/>
    <col min="5633" max="5633" width="2.81640625" style="52" customWidth="1"/>
    <col min="5634" max="5634" width="15" style="52" customWidth="1"/>
    <col min="5635" max="5635" width="12.81640625" style="52" customWidth="1"/>
    <col min="5636" max="5639" width="8.7265625" style="52"/>
    <col min="5640" max="5640" width="12.81640625" style="52" customWidth="1"/>
    <col min="5641" max="5644" width="8.7265625" style="52"/>
    <col min="5645" max="5645" width="12.81640625" style="52" customWidth="1"/>
    <col min="5646" max="5649" width="8.7265625" style="52"/>
    <col min="5650" max="5650" width="12.81640625" style="52" customWidth="1"/>
    <col min="5651" max="5654" width="8.7265625" style="52"/>
    <col min="5655" max="5655" width="12.81640625" style="52" customWidth="1"/>
    <col min="5656" max="5659" width="8.7265625" style="52"/>
    <col min="5660" max="5660" width="12.81640625" style="52" customWidth="1"/>
    <col min="5661" max="5888" width="8.7265625" style="52"/>
    <col min="5889" max="5889" width="2.81640625" style="52" customWidth="1"/>
    <col min="5890" max="5890" width="15" style="52" customWidth="1"/>
    <col min="5891" max="5891" width="12.81640625" style="52" customWidth="1"/>
    <col min="5892" max="5895" width="8.7265625" style="52"/>
    <col min="5896" max="5896" width="12.81640625" style="52" customWidth="1"/>
    <col min="5897" max="5900" width="8.7265625" style="52"/>
    <col min="5901" max="5901" width="12.81640625" style="52" customWidth="1"/>
    <col min="5902" max="5905" width="8.7265625" style="52"/>
    <col min="5906" max="5906" width="12.81640625" style="52" customWidth="1"/>
    <col min="5907" max="5910" width="8.7265625" style="52"/>
    <col min="5911" max="5911" width="12.81640625" style="52" customWidth="1"/>
    <col min="5912" max="5915" width="8.7265625" style="52"/>
    <col min="5916" max="5916" width="12.81640625" style="52" customWidth="1"/>
    <col min="5917" max="6144" width="8.7265625" style="52"/>
    <col min="6145" max="6145" width="2.81640625" style="52" customWidth="1"/>
    <col min="6146" max="6146" width="15" style="52" customWidth="1"/>
    <col min="6147" max="6147" width="12.81640625" style="52" customWidth="1"/>
    <col min="6148" max="6151" width="8.7265625" style="52"/>
    <col min="6152" max="6152" width="12.81640625" style="52" customWidth="1"/>
    <col min="6153" max="6156" width="8.7265625" style="52"/>
    <col min="6157" max="6157" width="12.81640625" style="52" customWidth="1"/>
    <col min="6158" max="6161" width="8.7265625" style="52"/>
    <col min="6162" max="6162" width="12.81640625" style="52" customWidth="1"/>
    <col min="6163" max="6166" width="8.7265625" style="52"/>
    <col min="6167" max="6167" width="12.81640625" style="52" customWidth="1"/>
    <col min="6168" max="6171" width="8.7265625" style="52"/>
    <col min="6172" max="6172" width="12.81640625" style="52" customWidth="1"/>
    <col min="6173" max="6400" width="8.7265625" style="52"/>
    <col min="6401" max="6401" width="2.81640625" style="52" customWidth="1"/>
    <col min="6402" max="6402" width="15" style="52" customWidth="1"/>
    <col min="6403" max="6403" width="12.81640625" style="52" customWidth="1"/>
    <col min="6404" max="6407" width="8.7265625" style="52"/>
    <col min="6408" max="6408" width="12.81640625" style="52" customWidth="1"/>
    <col min="6409" max="6412" width="8.7265625" style="52"/>
    <col min="6413" max="6413" width="12.81640625" style="52" customWidth="1"/>
    <col min="6414" max="6417" width="8.7265625" style="52"/>
    <col min="6418" max="6418" width="12.81640625" style="52" customWidth="1"/>
    <col min="6419" max="6422" width="8.7265625" style="52"/>
    <col min="6423" max="6423" width="12.81640625" style="52" customWidth="1"/>
    <col min="6424" max="6427" width="8.7265625" style="52"/>
    <col min="6428" max="6428" width="12.81640625" style="52" customWidth="1"/>
    <col min="6429" max="6656" width="8.7265625" style="52"/>
    <col min="6657" max="6657" width="2.81640625" style="52" customWidth="1"/>
    <col min="6658" max="6658" width="15" style="52" customWidth="1"/>
    <col min="6659" max="6659" width="12.81640625" style="52" customWidth="1"/>
    <col min="6660" max="6663" width="8.7265625" style="52"/>
    <col min="6664" max="6664" width="12.81640625" style="52" customWidth="1"/>
    <col min="6665" max="6668" width="8.7265625" style="52"/>
    <col min="6669" max="6669" width="12.81640625" style="52" customWidth="1"/>
    <col min="6670" max="6673" width="8.7265625" style="52"/>
    <col min="6674" max="6674" width="12.81640625" style="52" customWidth="1"/>
    <col min="6675" max="6678" width="8.7265625" style="52"/>
    <col min="6679" max="6679" width="12.81640625" style="52" customWidth="1"/>
    <col min="6680" max="6683" width="8.7265625" style="52"/>
    <col min="6684" max="6684" width="12.81640625" style="52" customWidth="1"/>
    <col min="6685" max="6912" width="8.7265625" style="52"/>
    <col min="6913" max="6913" width="2.81640625" style="52" customWidth="1"/>
    <col min="6914" max="6914" width="15" style="52" customWidth="1"/>
    <col min="6915" max="6915" width="12.81640625" style="52" customWidth="1"/>
    <col min="6916" max="6919" width="8.7265625" style="52"/>
    <col min="6920" max="6920" width="12.81640625" style="52" customWidth="1"/>
    <col min="6921" max="6924" width="8.7265625" style="52"/>
    <col min="6925" max="6925" width="12.81640625" style="52" customWidth="1"/>
    <col min="6926" max="6929" width="8.7265625" style="52"/>
    <col min="6930" max="6930" width="12.81640625" style="52" customWidth="1"/>
    <col min="6931" max="6934" width="8.7265625" style="52"/>
    <col min="6935" max="6935" width="12.81640625" style="52" customWidth="1"/>
    <col min="6936" max="6939" width="8.7265625" style="52"/>
    <col min="6940" max="6940" width="12.81640625" style="52" customWidth="1"/>
    <col min="6941" max="7168" width="8.7265625" style="52"/>
    <col min="7169" max="7169" width="2.81640625" style="52" customWidth="1"/>
    <col min="7170" max="7170" width="15" style="52" customWidth="1"/>
    <col min="7171" max="7171" width="12.81640625" style="52" customWidth="1"/>
    <col min="7172" max="7175" width="8.7265625" style="52"/>
    <col min="7176" max="7176" width="12.81640625" style="52" customWidth="1"/>
    <col min="7177" max="7180" width="8.7265625" style="52"/>
    <col min="7181" max="7181" width="12.81640625" style="52" customWidth="1"/>
    <col min="7182" max="7185" width="8.7265625" style="52"/>
    <col min="7186" max="7186" width="12.81640625" style="52" customWidth="1"/>
    <col min="7187" max="7190" width="8.7265625" style="52"/>
    <col min="7191" max="7191" width="12.81640625" style="52" customWidth="1"/>
    <col min="7192" max="7195" width="8.7265625" style="52"/>
    <col min="7196" max="7196" width="12.81640625" style="52" customWidth="1"/>
    <col min="7197" max="7424" width="8.7265625" style="52"/>
    <col min="7425" max="7425" width="2.81640625" style="52" customWidth="1"/>
    <col min="7426" max="7426" width="15" style="52" customWidth="1"/>
    <col min="7427" max="7427" width="12.81640625" style="52" customWidth="1"/>
    <col min="7428" max="7431" width="8.7265625" style="52"/>
    <col min="7432" max="7432" width="12.81640625" style="52" customWidth="1"/>
    <col min="7433" max="7436" width="8.7265625" style="52"/>
    <col min="7437" max="7437" width="12.81640625" style="52" customWidth="1"/>
    <col min="7438" max="7441" width="8.7265625" style="52"/>
    <col min="7442" max="7442" width="12.81640625" style="52" customWidth="1"/>
    <col min="7443" max="7446" width="8.7265625" style="52"/>
    <col min="7447" max="7447" width="12.81640625" style="52" customWidth="1"/>
    <col min="7448" max="7451" width="8.7265625" style="52"/>
    <col min="7452" max="7452" width="12.81640625" style="52" customWidth="1"/>
    <col min="7453" max="7680" width="8.7265625" style="52"/>
    <col min="7681" max="7681" width="2.81640625" style="52" customWidth="1"/>
    <col min="7682" max="7682" width="15" style="52" customWidth="1"/>
    <col min="7683" max="7683" width="12.81640625" style="52" customWidth="1"/>
    <col min="7684" max="7687" width="8.7265625" style="52"/>
    <col min="7688" max="7688" width="12.81640625" style="52" customWidth="1"/>
    <col min="7689" max="7692" width="8.7265625" style="52"/>
    <col min="7693" max="7693" width="12.81640625" style="52" customWidth="1"/>
    <col min="7694" max="7697" width="8.7265625" style="52"/>
    <col min="7698" max="7698" width="12.81640625" style="52" customWidth="1"/>
    <col min="7699" max="7702" width="8.7265625" style="52"/>
    <col min="7703" max="7703" width="12.81640625" style="52" customWidth="1"/>
    <col min="7704" max="7707" width="8.7265625" style="52"/>
    <col min="7708" max="7708" width="12.81640625" style="52" customWidth="1"/>
    <col min="7709" max="7936" width="8.7265625" style="52"/>
    <col min="7937" max="7937" width="2.81640625" style="52" customWidth="1"/>
    <col min="7938" max="7938" width="15" style="52" customWidth="1"/>
    <col min="7939" max="7939" width="12.81640625" style="52" customWidth="1"/>
    <col min="7940" max="7943" width="8.7265625" style="52"/>
    <col min="7944" max="7944" width="12.81640625" style="52" customWidth="1"/>
    <col min="7945" max="7948" width="8.7265625" style="52"/>
    <col min="7949" max="7949" width="12.81640625" style="52" customWidth="1"/>
    <col min="7950" max="7953" width="8.7265625" style="52"/>
    <col min="7954" max="7954" width="12.81640625" style="52" customWidth="1"/>
    <col min="7955" max="7958" width="8.7265625" style="52"/>
    <col min="7959" max="7959" width="12.81640625" style="52" customWidth="1"/>
    <col min="7960" max="7963" width="8.7265625" style="52"/>
    <col min="7964" max="7964" width="12.81640625" style="52" customWidth="1"/>
    <col min="7965" max="8192" width="8.7265625" style="52"/>
    <col min="8193" max="8193" width="2.81640625" style="52" customWidth="1"/>
    <col min="8194" max="8194" width="15" style="52" customWidth="1"/>
    <col min="8195" max="8195" width="12.81640625" style="52" customWidth="1"/>
    <col min="8196" max="8199" width="8.7265625" style="52"/>
    <col min="8200" max="8200" width="12.81640625" style="52" customWidth="1"/>
    <col min="8201" max="8204" width="8.7265625" style="52"/>
    <col min="8205" max="8205" width="12.81640625" style="52" customWidth="1"/>
    <col min="8206" max="8209" width="8.7265625" style="52"/>
    <col min="8210" max="8210" width="12.81640625" style="52" customWidth="1"/>
    <col min="8211" max="8214" width="8.7265625" style="52"/>
    <col min="8215" max="8215" width="12.81640625" style="52" customWidth="1"/>
    <col min="8216" max="8219" width="8.7265625" style="52"/>
    <col min="8220" max="8220" width="12.81640625" style="52" customWidth="1"/>
    <col min="8221" max="8448" width="8.7265625" style="52"/>
    <col min="8449" max="8449" width="2.81640625" style="52" customWidth="1"/>
    <col min="8450" max="8450" width="15" style="52" customWidth="1"/>
    <col min="8451" max="8451" width="12.81640625" style="52" customWidth="1"/>
    <col min="8452" max="8455" width="8.7265625" style="52"/>
    <col min="8456" max="8456" width="12.81640625" style="52" customWidth="1"/>
    <col min="8457" max="8460" width="8.7265625" style="52"/>
    <col min="8461" max="8461" width="12.81640625" style="52" customWidth="1"/>
    <col min="8462" max="8465" width="8.7265625" style="52"/>
    <col min="8466" max="8466" width="12.81640625" style="52" customWidth="1"/>
    <col min="8467" max="8470" width="8.7265625" style="52"/>
    <col min="8471" max="8471" width="12.81640625" style="52" customWidth="1"/>
    <col min="8472" max="8475" width="8.7265625" style="52"/>
    <col min="8476" max="8476" width="12.81640625" style="52" customWidth="1"/>
    <col min="8477" max="8704" width="8.7265625" style="52"/>
    <col min="8705" max="8705" width="2.81640625" style="52" customWidth="1"/>
    <col min="8706" max="8706" width="15" style="52" customWidth="1"/>
    <col min="8707" max="8707" width="12.81640625" style="52" customWidth="1"/>
    <col min="8708" max="8711" width="8.7265625" style="52"/>
    <col min="8712" max="8712" width="12.81640625" style="52" customWidth="1"/>
    <col min="8713" max="8716" width="8.7265625" style="52"/>
    <col min="8717" max="8717" width="12.81640625" style="52" customWidth="1"/>
    <col min="8718" max="8721" width="8.7265625" style="52"/>
    <col min="8722" max="8722" width="12.81640625" style="52" customWidth="1"/>
    <col min="8723" max="8726" width="8.7265625" style="52"/>
    <col min="8727" max="8727" width="12.81640625" style="52" customWidth="1"/>
    <col min="8728" max="8731" width="8.7265625" style="52"/>
    <col min="8732" max="8732" width="12.81640625" style="52" customWidth="1"/>
    <col min="8733" max="8960" width="8.7265625" style="52"/>
    <col min="8961" max="8961" width="2.81640625" style="52" customWidth="1"/>
    <col min="8962" max="8962" width="15" style="52" customWidth="1"/>
    <col min="8963" max="8963" width="12.81640625" style="52" customWidth="1"/>
    <col min="8964" max="8967" width="8.7265625" style="52"/>
    <col min="8968" max="8968" width="12.81640625" style="52" customWidth="1"/>
    <col min="8969" max="8972" width="8.7265625" style="52"/>
    <col min="8973" max="8973" width="12.81640625" style="52" customWidth="1"/>
    <col min="8974" max="8977" width="8.7265625" style="52"/>
    <col min="8978" max="8978" width="12.81640625" style="52" customWidth="1"/>
    <col min="8979" max="8982" width="8.7265625" style="52"/>
    <col min="8983" max="8983" width="12.81640625" style="52" customWidth="1"/>
    <col min="8984" max="8987" width="8.7265625" style="52"/>
    <col min="8988" max="8988" width="12.81640625" style="52" customWidth="1"/>
    <col min="8989" max="9216" width="8.7265625" style="52"/>
    <col min="9217" max="9217" width="2.81640625" style="52" customWidth="1"/>
    <col min="9218" max="9218" width="15" style="52" customWidth="1"/>
    <col min="9219" max="9219" width="12.81640625" style="52" customWidth="1"/>
    <col min="9220" max="9223" width="8.7265625" style="52"/>
    <col min="9224" max="9224" width="12.81640625" style="52" customWidth="1"/>
    <col min="9225" max="9228" width="8.7265625" style="52"/>
    <col min="9229" max="9229" width="12.81640625" style="52" customWidth="1"/>
    <col min="9230" max="9233" width="8.7265625" style="52"/>
    <col min="9234" max="9234" width="12.81640625" style="52" customWidth="1"/>
    <col min="9235" max="9238" width="8.7265625" style="52"/>
    <col min="9239" max="9239" width="12.81640625" style="52" customWidth="1"/>
    <col min="9240" max="9243" width="8.7265625" style="52"/>
    <col min="9244" max="9244" width="12.81640625" style="52" customWidth="1"/>
    <col min="9245" max="9472" width="8.7265625" style="52"/>
    <col min="9473" max="9473" width="2.81640625" style="52" customWidth="1"/>
    <col min="9474" max="9474" width="15" style="52" customWidth="1"/>
    <col min="9475" max="9475" width="12.81640625" style="52" customWidth="1"/>
    <col min="9476" max="9479" width="8.7265625" style="52"/>
    <col min="9480" max="9480" width="12.81640625" style="52" customWidth="1"/>
    <col min="9481" max="9484" width="8.7265625" style="52"/>
    <col min="9485" max="9485" width="12.81640625" style="52" customWidth="1"/>
    <col min="9486" max="9489" width="8.7265625" style="52"/>
    <col min="9490" max="9490" width="12.81640625" style="52" customWidth="1"/>
    <col min="9491" max="9494" width="8.7265625" style="52"/>
    <col min="9495" max="9495" width="12.81640625" style="52" customWidth="1"/>
    <col min="9496" max="9499" width="8.7265625" style="52"/>
    <col min="9500" max="9500" width="12.81640625" style="52" customWidth="1"/>
    <col min="9501" max="9728" width="8.7265625" style="52"/>
    <col min="9729" max="9729" width="2.81640625" style="52" customWidth="1"/>
    <col min="9730" max="9730" width="15" style="52" customWidth="1"/>
    <col min="9731" max="9731" width="12.81640625" style="52" customWidth="1"/>
    <col min="9732" max="9735" width="8.7265625" style="52"/>
    <col min="9736" max="9736" width="12.81640625" style="52" customWidth="1"/>
    <col min="9737" max="9740" width="8.7265625" style="52"/>
    <col min="9741" max="9741" width="12.81640625" style="52" customWidth="1"/>
    <col min="9742" max="9745" width="8.7265625" style="52"/>
    <col min="9746" max="9746" width="12.81640625" style="52" customWidth="1"/>
    <col min="9747" max="9750" width="8.7265625" style="52"/>
    <col min="9751" max="9751" width="12.81640625" style="52" customWidth="1"/>
    <col min="9752" max="9755" width="8.7265625" style="52"/>
    <col min="9756" max="9756" width="12.81640625" style="52" customWidth="1"/>
    <col min="9757" max="9984" width="8.7265625" style="52"/>
    <col min="9985" max="9985" width="2.81640625" style="52" customWidth="1"/>
    <col min="9986" max="9986" width="15" style="52" customWidth="1"/>
    <col min="9987" max="9987" width="12.81640625" style="52" customWidth="1"/>
    <col min="9988" max="9991" width="8.7265625" style="52"/>
    <col min="9992" max="9992" width="12.81640625" style="52" customWidth="1"/>
    <col min="9993" max="9996" width="8.7265625" style="52"/>
    <col min="9997" max="9997" width="12.81640625" style="52" customWidth="1"/>
    <col min="9998" max="10001" width="8.7265625" style="52"/>
    <col min="10002" max="10002" width="12.81640625" style="52" customWidth="1"/>
    <col min="10003" max="10006" width="8.7265625" style="52"/>
    <col min="10007" max="10007" width="12.81640625" style="52" customWidth="1"/>
    <col min="10008" max="10011" width="8.7265625" style="52"/>
    <col min="10012" max="10012" width="12.81640625" style="52" customWidth="1"/>
    <col min="10013" max="10240" width="8.7265625" style="52"/>
    <col min="10241" max="10241" width="2.81640625" style="52" customWidth="1"/>
    <col min="10242" max="10242" width="15" style="52" customWidth="1"/>
    <col min="10243" max="10243" width="12.81640625" style="52" customWidth="1"/>
    <col min="10244" max="10247" width="8.7265625" style="52"/>
    <col min="10248" max="10248" width="12.81640625" style="52" customWidth="1"/>
    <col min="10249" max="10252" width="8.7265625" style="52"/>
    <col min="10253" max="10253" width="12.81640625" style="52" customWidth="1"/>
    <col min="10254" max="10257" width="8.7265625" style="52"/>
    <col min="10258" max="10258" width="12.81640625" style="52" customWidth="1"/>
    <col min="10259" max="10262" width="8.7265625" style="52"/>
    <col min="10263" max="10263" width="12.81640625" style="52" customWidth="1"/>
    <col min="10264" max="10267" width="8.7265625" style="52"/>
    <col min="10268" max="10268" width="12.81640625" style="52" customWidth="1"/>
    <col min="10269" max="10496" width="8.7265625" style="52"/>
    <col min="10497" max="10497" width="2.81640625" style="52" customWidth="1"/>
    <col min="10498" max="10498" width="15" style="52" customWidth="1"/>
    <col min="10499" max="10499" width="12.81640625" style="52" customWidth="1"/>
    <col min="10500" max="10503" width="8.7265625" style="52"/>
    <col min="10504" max="10504" width="12.81640625" style="52" customWidth="1"/>
    <col min="10505" max="10508" width="8.7265625" style="52"/>
    <col min="10509" max="10509" width="12.81640625" style="52" customWidth="1"/>
    <col min="10510" max="10513" width="8.7265625" style="52"/>
    <col min="10514" max="10514" width="12.81640625" style="52" customWidth="1"/>
    <col min="10515" max="10518" width="8.7265625" style="52"/>
    <col min="10519" max="10519" width="12.81640625" style="52" customWidth="1"/>
    <col min="10520" max="10523" width="8.7265625" style="52"/>
    <col min="10524" max="10524" width="12.81640625" style="52" customWidth="1"/>
    <col min="10525" max="10752" width="8.7265625" style="52"/>
    <col min="10753" max="10753" width="2.81640625" style="52" customWidth="1"/>
    <col min="10754" max="10754" width="15" style="52" customWidth="1"/>
    <col min="10755" max="10755" width="12.81640625" style="52" customWidth="1"/>
    <col min="10756" max="10759" width="8.7265625" style="52"/>
    <col min="10760" max="10760" width="12.81640625" style="52" customWidth="1"/>
    <col min="10761" max="10764" width="8.7265625" style="52"/>
    <col min="10765" max="10765" width="12.81640625" style="52" customWidth="1"/>
    <col min="10766" max="10769" width="8.7265625" style="52"/>
    <col min="10770" max="10770" width="12.81640625" style="52" customWidth="1"/>
    <col min="10771" max="10774" width="8.7265625" style="52"/>
    <col min="10775" max="10775" width="12.81640625" style="52" customWidth="1"/>
    <col min="10776" max="10779" width="8.7265625" style="52"/>
    <col min="10780" max="10780" width="12.81640625" style="52" customWidth="1"/>
    <col min="10781" max="11008" width="8.7265625" style="52"/>
    <col min="11009" max="11009" width="2.81640625" style="52" customWidth="1"/>
    <col min="11010" max="11010" width="15" style="52" customWidth="1"/>
    <col min="11011" max="11011" width="12.81640625" style="52" customWidth="1"/>
    <col min="11012" max="11015" width="8.7265625" style="52"/>
    <col min="11016" max="11016" width="12.81640625" style="52" customWidth="1"/>
    <col min="11017" max="11020" width="8.7265625" style="52"/>
    <col min="11021" max="11021" width="12.81640625" style="52" customWidth="1"/>
    <col min="11022" max="11025" width="8.7265625" style="52"/>
    <col min="11026" max="11026" width="12.81640625" style="52" customWidth="1"/>
    <col min="11027" max="11030" width="8.7265625" style="52"/>
    <col min="11031" max="11031" width="12.81640625" style="52" customWidth="1"/>
    <col min="11032" max="11035" width="8.7265625" style="52"/>
    <col min="11036" max="11036" width="12.81640625" style="52" customWidth="1"/>
    <col min="11037" max="11264" width="8.7265625" style="52"/>
    <col min="11265" max="11265" width="2.81640625" style="52" customWidth="1"/>
    <col min="11266" max="11266" width="15" style="52" customWidth="1"/>
    <col min="11267" max="11267" width="12.81640625" style="52" customWidth="1"/>
    <col min="11268" max="11271" width="8.7265625" style="52"/>
    <col min="11272" max="11272" width="12.81640625" style="52" customWidth="1"/>
    <col min="11273" max="11276" width="8.7265625" style="52"/>
    <col min="11277" max="11277" width="12.81640625" style="52" customWidth="1"/>
    <col min="11278" max="11281" width="8.7265625" style="52"/>
    <col min="11282" max="11282" width="12.81640625" style="52" customWidth="1"/>
    <col min="11283" max="11286" width="8.7265625" style="52"/>
    <col min="11287" max="11287" width="12.81640625" style="52" customWidth="1"/>
    <col min="11288" max="11291" width="8.7265625" style="52"/>
    <col min="11292" max="11292" width="12.81640625" style="52" customWidth="1"/>
    <col min="11293" max="11520" width="8.7265625" style="52"/>
    <col min="11521" max="11521" width="2.81640625" style="52" customWidth="1"/>
    <col min="11522" max="11522" width="15" style="52" customWidth="1"/>
    <col min="11523" max="11523" width="12.81640625" style="52" customWidth="1"/>
    <col min="11524" max="11527" width="8.7265625" style="52"/>
    <col min="11528" max="11528" width="12.81640625" style="52" customWidth="1"/>
    <col min="11529" max="11532" width="8.7265625" style="52"/>
    <col min="11533" max="11533" width="12.81640625" style="52" customWidth="1"/>
    <col min="11534" max="11537" width="8.7265625" style="52"/>
    <col min="11538" max="11538" width="12.81640625" style="52" customWidth="1"/>
    <col min="11539" max="11542" width="8.7265625" style="52"/>
    <col min="11543" max="11543" width="12.81640625" style="52" customWidth="1"/>
    <col min="11544" max="11547" width="8.7265625" style="52"/>
    <col min="11548" max="11548" width="12.81640625" style="52" customWidth="1"/>
    <col min="11549" max="11776" width="8.7265625" style="52"/>
    <col min="11777" max="11777" width="2.81640625" style="52" customWidth="1"/>
    <col min="11778" max="11778" width="15" style="52" customWidth="1"/>
    <col min="11779" max="11779" width="12.81640625" style="52" customWidth="1"/>
    <col min="11780" max="11783" width="8.7265625" style="52"/>
    <col min="11784" max="11784" width="12.81640625" style="52" customWidth="1"/>
    <col min="11785" max="11788" width="8.7265625" style="52"/>
    <col min="11789" max="11789" width="12.81640625" style="52" customWidth="1"/>
    <col min="11790" max="11793" width="8.7265625" style="52"/>
    <col min="11794" max="11794" width="12.81640625" style="52" customWidth="1"/>
    <col min="11795" max="11798" width="8.7265625" style="52"/>
    <col min="11799" max="11799" width="12.81640625" style="52" customWidth="1"/>
    <col min="11800" max="11803" width="8.7265625" style="52"/>
    <col min="11804" max="11804" width="12.81640625" style="52" customWidth="1"/>
    <col min="11805" max="12032" width="8.7265625" style="52"/>
    <col min="12033" max="12033" width="2.81640625" style="52" customWidth="1"/>
    <col min="12034" max="12034" width="15" style="52" customWidth="1"/>
    <col min="12035" max="12035" width="12.81640625" style="52" customWidth="1"/>
    <col min="12036" max="12039" width="8.7265625" style="52"/>
    <col min="12040" max="12040" width="12.81640625" style="52" customWidth="1"/>
    <col min="12041" max="12044" width="8.7265625" style="52"/>
    <col min="12045" max="12045" width="12.81640625" style="52" customWidth="1"/>
    <col min="12046" max="12049" width="8.7265625" style="52"/>
    <col min="12050" max="12050" width="12.81640625" style="52" customWidth="1"/>
    <col min="12051" max="12054" width="8.7265625" style="52"/>
    <col min="12055" max="12055" width="12.81640625" style="52" customWidth="1"/>
    <col min="12056" max="12059" width="8.7265625" style="52"/>
    <col min="12060" max="12060" width="12.81640625" style="52" customWidth="1"/>
    <col min="12061" max="12288" width="8.7265625" style="52"/>
    <col min="12289" max="12289" width="2.81640625" style="52" customWidth="1"/>
    <col min="12290" max="12290" width="15" style="52" customWidth="1"/>
    <col min="12291" max="12291" width="12.81640625" style="52" customWidth="1"/>
    <col min="12292" max="12295" width="8.7265625" style="52"/>
    <col min="12296" max="12296" width="12.81640625" style="52" customWidth="1"/>
    <col min="12297" max="12300" width="8.7265625" style="52"/>
    <col min="12301" max="12301" width="12.81640625" style="52" customWidth="1"/>
    <col min="12302" max="12305" width="8.7265625" style="52"/>
    <col min="12306" max="12306" width="12.81640625" style="52" customWidth="1"/>
    <col min="12307" max="12310" width="8.7265625" style="52"/>
    <col min="12311" max="12311" width="12.81640625" style="52" customWidth="1"/>
    <col min="12312" max="12315" width="8.7265625" style="52"/>
    <col min="12316" max="12316" width="12.81640625" style="52" customWidth="1"/>
    <col min="12317" max="12544" width="8.7265625" style="52"/>
    <col min="12545" max="12545" width="2.81640625" style="52" customWidth="1"/>
    <col min="12546" max="12546" width="15" style="52" customWidth="1"/>
    <col min="12547" max="12547" width="12.81640625" style="52" customWidth="1"/>
    <col min="12548" max="12551" width="8.7265625" style="52"/>
    <col min="12552" max="12552" width="12.81640625" style="52" customWidth="1"/>
    <col min="12553" max="12556" width="8.7265625" style="52"/>
    <col min="12557" max="12557" width="12.81640625" style="52" customWidth="1"/>
    <col min="12558" max="12561" width="8.7265625" style="52"/>
    <col min="12562" max="12562" width="12.81640625" style="52" customWidth="1"/>
    <col min="12563" max="12566" width="8.7265625" style="52"/>
    <col min="12567" max="12567" width="12.81640625" style="52" customWidth="1"/>
    <col min="12568" max="12571" width="8.7265625" style="52"/>
    <col min="12572" max="12572" width="12.81640625" style="52" customWidth="1"/>
    <col min="12573" max="12800" width="8.7265625" style="52"/>
    <col min="12801" max="12801" width="2.81640625" style="52" customWidth="1"/>
    <col min="12802" max="12802" width="15" style="52" customWidth="1"/>
    <col min="12803" max="12803" width="12.81640625" style="52" customWidth="1"/>
    <col min="12804" max="12807" width="8.7265625" style="52"/>
    <col min="12808" max="12808" width="12.81640625" style="52" customWidth="1"/>
    <col min="12809" max="12812" width="8.7265625" style="52"/>
    <col min="12813" max="12813" width="12.81640625" style="52" customWidth="1"/>
    <col min="12814" max="12817" width="8.7265625" style="52"/>
    <col min="12818" max="12818" width="12.81640625" style="52" customWidth="1"/>
    <col min="12819" max="12822" width="8.7265625" style="52"/>
    <col min="12823" max="12823" width="12.81640625" style="52" customWidth="1"/>
    <col min="12824" max="12827" width="8.7265625" style="52"/>
    <col min="12828" max="12828" width="12.81640625" style="52" customWidth="1"/>
    <col min="12829" max="13056" width="8.7265625" style="52"/>
    <col min="13057" max="13057" width="2.81640625" style="52" customWidth="1"/>
    <col min="13058" max="13058" width="15" style="52" customWidth="1"/>
    <col min="13059" max="13059" width="12.81640625" style="52" customWidth="1"/>
    <col min="13060" max="13063" width="8.7265625" style="52"/>
    <col min="13064" max="13064" width="12.81640625" style="52" customWidth="1"/>
    <col min="13065" max="13068" width="8.7265625" style="52"/>
    <col min="13069" max="13069" width="12.81640625" style="52" customWidth="1"/>
    <col min="13070" max="13073" width="8.7265625" style="52"/>
    <col min="13074" max="13074" width="12.81640625" style="52" customWidth="1"/>
    <col min="13075" max="13078" width="8.7265625" style="52"/>
    <col min="13079" max="13079" width="12.81640625" style="52" customWidth="1"/>
    <col min="13080" max="13083" width="8.7265625" style="52"/>
    <col min="13084" max="13084" width="12.81640625" style="52" customWidth="1"/>
    <col min="13085" max="13312" width="8.7265625" style="52"/>
    <col min="13313" max="13313" width="2.81640625" style="52" customWidth="1"/>
    <col min="13314" max="13314" width="15" style="52" customWidth="1"/>
    <col min="13315" max="13315" width="12.81640625" style="52" customWidth="1"/>
    <col min="13316" max="13319" width="8.7265625" style="52"/>
    <col min="13320" max="13320" width="12.81640625" style="52" customWidth="1"/>
    <col min="13321" max="13324" width="8.7265625" style="52"/>
    <col min="13325" max="13325" width="12.81640625" style="52" customWidth="1"/>
    <col min="13326" max="13329" width="8.7265625" style="52"/>
    <col min="13330" max="13330" width="12.81640625" style="52" customWidth="1"/>
    <col min="13331" max="13334" width="8.7265625" style="52"/>
    <col min="13335" max="13335" width="12.81640625" style="52" customWidth="1"/>
    <col min="13336" max="13339" width="8.7265625" style="52"/>
    <col min="13340" max="13340" width="12.81640625" style="52" customWidth="1"/>
    <col min="13341" max="13568" width="8.7265625" style="52"/>
    <col min="13569" max="13569" width="2.81640625" style="52" customWidth="1"/>
    <col min="13570" max="13570" width="15" style="52" customWidth="1"/>
    <col min="13571" max="13571" width="12.81640625" style="52" customWidth="1"/>
    <col min="13572" max="13575" width="8.7265625" style="52"/>
    <col min="13576" max="13576" width="12.81640625" style="52" customWidth="1"/>
    <col min="13577" max="13580" width="8.7265625" style="52"/>
    <col min="13581" max="13581" width="12.81640625" style="52" customWidth="1"/>
    <col min="13582" max="13585" width="8.7265625" style="52"/>
    <col min="13586" max="13586" width="12.81640625" style="52" customWidth="1"/>
    <col min="13587" max="13590" width="8.7265625" style="52"/>
    <col min="13591" max="13591" width="12.81640625" style="52" customWidth="1"/>
    <col min="13592" max="13595" width="8.7265625" style="52"/>
    <col min="13596" max="13596" width="12.81640625" style="52" customWidth="1"/>
    <col min="13597" max="13824" width="8.7265625" style="52"/>
    <col min="13825" max="13825" width="2.81640625" style="52" customWidth="1"/>
    <col min="13826" max="13826" width="15" style="52" customWidth="1"/>
    <col min="13827" max="13827" width="12.81640625" style="52" customWidth="1"/>
    <col min="13828" max="13831" width="8.7265625" style="52"/>
    <col min="13832" max="13832" width="12.81640625" style="52" customWidth="1"/>
    <col min="13833" max="13836" width="8.7265625" style="52"/>
    <col min="13837" max="13837" width="12.81640625" style="52" customWidth="1"/>
    <col min="13838" max="13841" width="8.7265625" style="52"/>
    <col min="13842" max="13842" width="12.81640625" style="52" customWidth="1"/>
    <col min="13843" max="13846" width="8.7265625" style="52"/>
    <col min="13847" max="13847" width="12.81640625" style="52" customWidth="1"/>
    <col min="13848" max="13851" width="8.7265625" style="52"/>
    <col min="13852" max="13852" width="12.81640625" style="52" customWidth="1"/>
    <col min="13853" max="14080" width="8.7265625" style="52"/>
    <col min="14081" max="14081" width="2.81640625" style="52" customWidth="1"/>
    <col min="14082" max="14082" width="15" style="52" customWidth="1"/>
    <col min="14083" max="14083" width="12.81640625" style="52" customWidth="1"/>
    <col min="14084" max="14087" width="8.7265625" style="52"/>
    <col min="14088" max="14088" width="12.81640625" style="52" customWidth="1"/>
    <col min="14089" max="14092" width="8.7265625" style="52"/>
    <col min="14093" max="14093" width="12.81640625" style="52" customWidth="1"/>
    <col min="14094" max="14097" width="8.7265625" style="52"/>
    <col min="14098" max="14098" width="12.81640625" style="52" customWidth="1"/>
    <col min="14099" max="14102" width="8.7265625" style="52"/>
    <col min="14103" max="14103" width="12.81640625" style="52" customWidth="1"/>
    <col min="14104" max="14107" width="8.7265625" style="52"/>
    <col min="14108" max="14108" width="12.81640625" style="52" customWidth="1"/>
    <col min="14109" max="14336" width="8.7265625" style="52"/>
    <col min="14337" max="14337" width="2.81640625" style="52" customWidth="1"/>
    <col min="14338" max="14338" width="15" style="52" customWidth="1"/>
    <col min="14339" max="14339" width="12.81640625" style="52" customWidth="1"/>
    <col min="14340" max="14343" width="8.7265625" style="52"/>
    <col min="14344" max="14344" width="12.81640625" style="52" customWidth="1"/>
    <col min="14345" max="14348" width="8.7265625" style="52"/>
    <col min="14349" max="14349" width="12.81640625" style="52" customWidth="1"/>
    <col min="14350" max="14353" width="8.7265625" style="52"/>
    <col min="14354" max="14354" width="12.81640625" style="52" customWidth="1"/>
    <col min="14355" max="14358" width="8.7265625" style="52"/>
    <col min="14359" max="14359" width="12.81640625" style="52" customWidth="1"/>
    <col min="14360" max="14363" width="8.7265625" style="52"/>
    <col min="14364" max="14364" width="12.81640625" style="52" customWidth="1"/>
    <col min="14365" max="14592" width="8.7265625" style="52"/>
    <col min="14593" max="14593" width="2.81640625" style="52" customWidth="1"/>
    <col min="14594" max="14594" width="15" style="52" customWidth="1"/>
    <col min="14595" max="14595" width="12.81640625" style="52" customWidth="1"/>
    <col min="14596" max="14599" width="8.7265625" style="52"/>
    <col min="14600" max="14600" width="12.81640625" style="52" customWidth="1"/>
    <col min="14601" max="14604" width="8.7265625" style="52"/>
    <col min="14605" max="14605" width="12.81640625" style="52" customWidth="1"/>
    <col min="14606" max="14609" width="8.7265625" style="52"/>
    <col min="14610" max="14610" width="12.81640625" style="52" customWidth="1"/>
    <col min="14611" max="14614" width="8.7265625" style="52"/>
    <col min="14615" max="14615" width="12.81640625" style="52" customWidth="1"/>
    <col min="14616" max="14619" width="8.7265625" style="52"/>
    <col min="14620" max="14620" width="12.81640625" style="52" customWidth="1"/>
    <col min="14621" max="14848" width="8.7265625" style="52"/>
    <col min="14849" max="14849" width="2.81640625" style="52" customWidth="1"/>
    <col min="14850" max="14850" width="15" style="52" customWidth="1"/>
    <col min="14851" max="14851" width="12.81640625" style="52" customWidth="1"/>
    <col min="14852" max="14855" width="8.7265625" style="52"/>
    <col min="14856" max="14856" width="12.81640625" style="52" customWidth="1"/>
    <col min="14857" max="14860" width="8.7265625" style="52"/>
    <col min="14861" max="14861" width="12.81640625" style="52" customWidth="1"/>
    <col min="14862" max="14865" width="8.7265625" style="52"/>
    <col min="14866" max="14866" width="12.81640625" style="52" customWidth="1"/>
    <col min="14867" max="14870" width="8.7265625" style="52"/>
    <col min="14871" max="14871" width="12.81640625" style="52" customWidth="1"/>
    <col min="14872" max="14875" width="8.7265625" style="52"/>
    <col min="14876" max="14876" width="12.81640625" style="52" customWidth="1"/>
    <col min="14877" max="15104" width="8.7265625" style="52"/>
    <col min="15105" max="15105" width="2.81640625" style="52" customWidth="1"/>
    <col min="15106" max="15106" width="15" style="52" customWidth="1"/>
    <col min="15107" max="15107" width="12.81640625" style="52" customWidth="1"/>
    <col min="15108" max="15111" width="8.7265625" style="52"/>
    <col min="15112" max="15112" width="12.81640625" style="52" customWidth="1"/>
    <col min="15113" max="15116" width="8.7265625" style="52"/>
    <col min="15117" max="15117" width="12.81640625" style="52" customWidth="1"/>
    <col min="15118" max="15121" width="8.7265625" style="52"/>
    <col min="15122" max="15122" width="12.81640625" style="52" customWidth="1"/>
    <col min="15123" max="15126" width="8.7265625" style="52"/>
    <col min="15127" max="15127" width="12.81640625" style="52" customWidth="1"/>
    <col min="15128" max="15131" width="8.7265625" style="52"/>
    <col min="15132" max="15132" width="12.81640625" style="52" customWidth="1"/>
    <col min="15133" max="15360" width="8.7265625" style="52"/>
    <col min="15361" max="15361" width="2.81640625" style="52" customWidth="1"/>
    <col min="15362" max="15362" width="15" style="52" customWidth="1"/>
    <col min="15363" max="15363" width="12.81640625" style="52" customWidth="1"/>
    <col min="15364" max="15367" width="8.7265625" style="52"/>
    <col min="15368" max="15368" width="12.81640625" style="52" customWidth="1"/>
    <col min="15369" max="15372" width="8.7265625" style="52"/>
    <col min="15373" max="15373" width="12.81640625" style="52" customWidth="1"/>
    <col min="15374" max="15377" width="8.7265625" style="52"/>
    <col min="15378" max="15378" width="12.81640625" style="52" customWidth="1"/>
    <col min="15379" max="15382" width="8.7265625" style="52"/>
    <col min="15383" max="15383" width="12.81640625" style="52" customWidth="1"/>
    <col min="15384" max="15387" width="8.7265625" style="52"/>
    <col min="15388" max="15388" width="12.81640625" style="52" customWidth="1"/>
    <col min="15389" max="15616" width="8.7265625" style="52"/>
    <col min="15617" max="15617" width="2.81640625" style="52" customWidth="1"/>
    <col min="15618" max="15618" width="15" style="52" customWidth="1"/>
    <col min="15619" max="15619" width="12.81640625" style="52" customWidth="1"/>
    <col min="15620" max="15623" width="8.7265625" style="52"/>
    <col min="15624" max="15624" width="12.81640625" style="52" customWidth="1"/>
    <col min="15625" max="15628" width="8.7265625" style="52"/>
    <col min="15629" max="15629" width="12.81640625" style="52" customWidth="1"/>
    <col min="15630" max="15633" width="8.7265625" style="52"/>
    <col min="15634" max="15634" width="12.81640625" style="52" customWidth="1"/>
    <col min="15635" max="15638" width="8.7265625" style="52"/>
    <col min="15639" max="15639" width="12.81640625" style="52" customWidth="1"/>
    <col min="15640" max="15643" width="8.7265625" style="52"/>
    <col min="15644" max="15644" width="12.81640625" style="52" customWidth="1"/>
    <col min="15645" max="15872" width="8.7265625" style="52"/>
    <col min="15873" max="15873" width="2.81640625" style="52" customWidth="1"/>
    <col min="15874" max="15874" width="15" style="52" customWidth="1"/>
    <col min="15875" max="15875" width="12.81640625" style="52" customWidth="1"/>
    <col min="15876" max="15879" width="8.7265625" style="52"/>
    <col min="15880" max="15880" width="12.81640625" style="52" customWidth="1"/>
    <col min="15881" max="15884" width="8.7265625" style="52"/>
    <col min="15885" max="15885" width="12.81640625" style="52" customWidth="1"/>
    <col min="15886" max="15889" width="8.7265625" style="52"/>
    <col min="15890" max="15890" width="12.81640625" style="52" customWidth="1"/>
    <col min="15891" max="15894" width="8.7265625" style="52"/>
    <col min="15895" max="15895" width="12.81640625" style="52" customWidth="1"/>
    <col min="15896" max="15899" width="8.7265625" style="52"/>
    <col min="15900" max="15900" width="12.81640625" style="52" customWidth="1"/>
    <col min="15901" max="16128" width="8.7265625" style="52"/>
    <col min="16129" max="16129" width="2.81640625" style="52" customWidth="1"/>
    <col min="16130" max="16130" width="15" style="52" customWidth="1"/>
    <col min="16131" max="16131" width="12.81640625" style="52" customWidth="1"/>
    <col min="16132" max="16135" width="8.7265625" style="52"/>
    <col min="16136" max="16136" width="12.81640625" style="52" customWidth="1"/>
    <col min="16137" max="16140" width="8.7265625" style="52"/>
    <col min="16141" max="16141" width="12.81640625" style="52" customWidth="1"/>
    <col min="16142" max="16145" width="8.7265625" style="52"/>
    <col min="16146" max="16146" width="12.81640625" style="52" customWidth="1"/>
    <col min="16147" max="16150" width="8.7265625" style="52"/>
    <col min="16151" max="16151" width="12.81640625" style="52" customWidth="1"/>
    <col min="16152" max="16155" width="8.7265625" style="52"/>
    <col min="16156" max="16156" width="12.81640625" style="52" customWidth="1"/>
    <col min="16157" max="16384" width="8.7265625" style="52"/>
  </cols>
  <sheetData>
    <row r="2" spans="2:32" x14ac:dyDescent="0.3">
      <c r="C2" s="500" t="s">
        <v>359</v>
      </c>
      <c r="D2" s="498"/>
      <c r="E2" s="498"/>
      <c r="F2" s="498"/>
      <c r="G2" s="498"/>
      <c r="H2" s="500" t="s">
        <v>360</v>
      </c>
      <c r="I2" s="498"/>
      <c r="J2" s="498"/>
      <c r="K2" s="498"/>
      <c r="L2" s="498"/>
      <c r="M2" s="500" t="s">
        <v>361</v>
      </c>
      <c r="N2" s="498"/>
      <c r="O2" s="498"/>
      <c r="P2" s="498"/>
      <c r="Q2" s="498"/>
      <c r="R2" s="500" t="s">
        <v>362</v>
      </c>
      <c r="S2" s="498"/>
      <c r="T2" s="498"/>
      <c r="U2" s="498"/>
      <c r="V2" s="498"/>
      <c r="W2" s="500" t="s">
        <v>363</v>
      </c>
      <c r="X2" s="498"/>
      <c r="Y2" s="498"/>
      <c r="Z2" s="498"/>
      <c r="AA2" s="498"/>
      <c r="AB2" s="500" t="s">
        <v>364</v>
      </c>
      <c r="AC2" s="498"/>
      <c r="AD2" s="498"/>
      <c r="AE2" s="498"/>
      <c r="AF2" s="498"/>
    </row>
    <row r="3" spans="2:32" ht="39" x14ac:dyDescent="0.3">
      <c r="B3" s="330" t="s">
        <v>433</v>
      </c>
      <c r="C3" s="330" t="s">
        <v>434</v>
      </c>
      <c r="D3" s="330" t="s">
        <v>435</v>
      </c>
      <c r="E3" s="330" t="s">
        <v>436</v>
      </c>
      <c r="F3" s="330" t="s">
        <v>437</v>
      </c>
      <c r="G3" s="330" t="s">
        <v>438</v>
      </c>
      <c r="H3" s="330" t="s">
        <v>434</v>
      </c>
      <c r="I3" s="330" t="s">
        <v>435</v>
      </c>
      <c r="J3" s="330" t="s">
        <v>436</v>
      </c>
      <c r="K3" s="330" t="s">
        <v>437</v>
      </c>
      <c r="L3" s="330" t="s">
        <v>438</v>
      </c>
      <c r="M3" s="330" t="s">
        <v>434</v>
      </c>
      <c r="N3" s="330" t="s">
        <v>435</v>
      </c>
      <c r="O3" s="330" t="s">
        <v>436</v>
      </c>
      <c r="P3" s="330" t="s">
        <v>437</v>
      </c>
      <c r="Q3" s="330" t="s">
        <v>438</v>
      </c>
      <c r="R3" s="330" t="s">
        <v>434</v>
      </c>
      <c r="S3" s="330" t="s">
        <v>435</v>
      </c>
      <c r="T3" s="330" t="s">
        <v>436</v>
      </c>
      <c r="U3" s="330" t="s">
        <v>437</v>
      </c>
      <c r="V3" s="330" t="s">
        <v>438</v>
      </c>
      <c r="W3" s="330" t="s">
        <v>434</v>
      </c>
      <c r="X3" s="330" t="s">
        <v>435</v>
      </c>
      <c r="Y3" s="330" t="s">
        <v>436</v>
      </c>
      <c r="Z3" s="330" t="s">
        <v>437</v>
      </c>
      <c r="AA3" s="330" t="s">
        <v>438</v>
      </c>
      <c r="AB3" s="330" t="s">
        <v>434</v>
      </c>
      <c r="AC3" s="330" t="s">
        <v>435</v>
      </c>
      <c r="AD3" s="330" t="s">
        <v>436</v>
      </c>
      <c r="AE3" s="330" t="s">
        <v>437</v>
      </c>
      <c r="AF3" s="330" t="s">
        <v>438</v>
      </c>
    </row>
    <row r="4" spans="2:32" x14ac:dyDescent="0.3">
      <c r="B4" s="331">
        <v>39451.8125</v>
      </c>
      <c r="C4" s="332">
        <v>232330900</v>
      </c>
      <c r="D4" s="333">
        <v>141.30999755859375</v>
      </c>
      <c r="E4" s="197"/>
      <c r="F4" s="333">
        <v>141.30999755859375</v>
      </c>
      <c r="G4" s="200"/>
      <c r="H4" s="332">
        <v>5626924</v>
      </c>
      <c r="I4" s="333">
        <v>18.990346908569336</v>
      </c>
      <c r="J4" s="197"/>
      <c r="K4" s="333">
        <v>18.990346908569332</v>
      </c>
      <c r="L4" s="200"/>
      <c r="M4" s="332">
        <v>1578193</v>
      </c>
      <c r="N4" s="333">
        <v>106.02236938476563</v>
      </c>
      <c r="O4" s="197"/>
      <c r="P4" s="333">
        <v>106.02236938476563</v>
      </c>
      <c r="Q4" s="200"/>
      <c r="R4" s="332">
        <v>1899400</v>
      </c>
      <c r="S4" s="333">
        <v>71.010002136230469</v>
      </c>
      <c r="T4" s="197"/>
      <c r="U4" s="333">
        <v>71.010002136230469</v>
      </c>
      <c r="V4" s="200"/>
      <c r="W4" s="332">
        <v>185989</v>
      </c>
      <c r="X4" s="333">
        <v>92.034271240234375</v>
      </c>
      <c r="Y4" s="197"/>
      <c r="Z4" s="333">
        <v>92.034271240234375</v>
      </c>
      <c r="AA4" s="200"/>
      <c r="AB4" s="332">
        <v>0</v>
      </c>
      <c r="AC4" s="333">
        <v>111</v>
      </c>
      <c r="AD4" s="197"/>
      <c r="AE4" s="333">
        <v>111.00000000000001</v>
      </c>
      <c r="AF4" s="200"/>
    </row>
    <row r="5" spans="2:32" x14ac:dyDescent="0.3">
      <c r="B5" s="331">
        <v>39458.8125</v>
      </c>
      <c r="C5" s="332">
        <v>267076600</v>
      </c>
      <c r="D5" s="333">
        <v>140.14999389648438</v>
      </c>
      <c r="E5" s="197"/>
      <c r="F5" s="333">
        <v>140.1499938964844</v>
      </c>
      <c r="G5" s="200">
        <f t="shared" ref="G5:G68" si="0">(F5/F4)-1</f>
        <v>-8.2089284703890097E-3</v>
      </c>
      <c r="H5" s="332">
        <v>7122612</v>
      </c>
      <c r="I5" s="333">
        <v>19.218320846557617</v>
      </c>
      <c r="J5" s="197"/>
      <c r="K5" s="333">
        <v>19.218320846557617</v>
      </c>
      <c r="L5" s="200">
        <f t="shared" ref="L5:L68" si="1">(K5/K4)-1</f>
        <v>1.2004727406291549E-2</v>
      </c>
      <c r="M5" s="332">
        <v>1430115</v>
      </c>
      <c r="N5" s="333">
        <v>101.26554107666016</v>
      </c>
      <c r="O5" s="197"/>
      <c r="P5" s="333">
        <v>101.26554107666014</v>
      </c>
      <c r="Q5" s="200">
        <f t="shared" ref="Q5:Q68" si="2">(P5/P4)-1</f>
        <v>-4.486627053996961E-2</v>
      </c>
      <c r="R5" s="332">
        <v>2270400</v>
      </c>
      <c r="S5" s="333">
        <v>68.629997253417969</v>
      </c>
      <c r="T5" s="197"/>
      <c r="U5" s="333">
        <v>68.629997253417955</v>
      </c>
      <c r="V5" s="200">
        <f t="shared" ref="V5:V68" si="3">(U5/U4)-1</f>
        <v>-3.3516473894009358E-2</v>
      </c>
      <c r="W5" s="332">
        <v>111731</v>
      </c>
      <c r="X5" s="333">
        <v>87.487434387207031</v>
      </c>
      <c r="Y5" s="197"/>
      <c r="Z5" s="333">
        <v>87.487434387207031</v>
      </c>
      <c r="AA5" s="200">
        <f t="shared" ref="AA5:AA68" si="4">(Z5/Z4)-1</f>
        <v>-4.9403736149101096E-2</v>
      </c>
      <c r="AB5" s="332">
        <v>200</v>
      </c>
      <c r="AC5" s="333">
        <v>100.25</v>
      </c>
      <c r="AD5" s="197"/>
      <c r="AE5" s="333">
        <v>100.25000000000001</v>
      </c>
      <c r="AF5" s="200">
        <f t="shared" ref="AF5:AF68" si="5">(AE5/AE4)-1</f>
        <v>-9.6846846846846857E-2</v>
      </c>
    </row>
    <row r="6" spans="2:32" x14ac:dyDescent="0.3">
      <c r="B6" s="331">
        <v>39465.8125</v>
      </c>
      <c r="C6" s="332">
        <v>348561500</v>
      </c>
      <c r="D6" s="333">
        <v>132.05999755859375</v>
      </c>
      <c r="E6" s="197"/>
      <c r="F6" s="333">
        <v>132.05999755859375</v>
      </c>
      <c r="G6" s="200">
        <f t="shared" si="0"/>
        <v>-5.7723843668990638E-2</v>
      </c>
      <c r="H6" s="332">
        <v>8140354</v>
      </c>
      <c r="I6" s="333">
        <v>17.462911605834961</v>
      </c>
      <c r="J6" s="197"/>
      <c r="K6" s="333">
        <v>17.462911605834961</v>
      </c>
      <c r="L6" s="200">
        <f t="shared" si="1"/>
        <v>-9.1340406622313464E-2</v>
      </c>
      <c r="M6" s="332">
        <v>2393578</v>
      </c>
      <c r="N6" s="333">
        <v>97.149055480957031</v>
      </c>
      <c r="O6" s="197"/>
      <c r="P6" s="333">
        <v>97.149055480957031</v>
      </c>
      <c r="Q6" s="200">
        <f t="shared" si="2"/>
        <v>-4.0650408341637578E-2</v>
      </c>
      <c r="R6" s="332">
        <v>2621400</v>
      </c>
      <c r="S6" s="333">
        <v>66.05999755859375</v>
      </c>
      <c r="T6" s="197"/>
      <c r="U6" s="333">
        <v>66.059997558593736</v>
      </c>
      <c r="V6" s="200">
        <f t="shared" si="3"/>
        <v>-3.7447177585253733E-2</v>
      </c>
      <c r="W6" s="332">
        <v>198433</v>
      </c>
      <c r="X6" s="333">
        <v>90.936759948730469</v>
      </c>
      <c r="Y6" s="197"/>
      <c r="Z6" s="333">
        <v>90.936759948730483</v>
      </c>
      <c r="AA6" s="200">
        <f t="shared" si="4"/>
        <v>3.9426525485445341E-2</v>
      </c>
      <c r="AB6" s="332">
        <v>0</v>
      </c>
      <c r="AC6" s="333">
        <v>100.5</v>
      </c>
      <c r="AD6" s="197"/>
      <c r="AE6" s="333">
        <v>100.50000000000001</v>
      </c>
      <c r="AF6" s="200">
        <f t="shared" si="5"/>
        <v>2.4937655860348684E-3</v>
      </c>
    </row>
    <row r="7" spans="2:32" x14ac:dyDescent="0.3">
      <c r="B7" s="331">
        <v>39472.8125</v>
      </c>
      <c r="C7" s="332">
        <v>269603900</v>
      </c>
      <c r="D7" s="333">
        <v>133.03999328613281</v>
      </c>
      <c r="E7" s="197"/>
      <c r="F7" s="333">
        <v>133.03999328613284</v>
      </c>
      <c r="G7" s="200">
        <f t="shared" si="0"/>
        <v>7.4208370865997964E-3</v>
      </c>
      <c r="H7" s="332">
        <v>9170992</v>
      </c>
      <c r="I7" s="333">
        <v>18.519197463989258</v>
      </c>
      <c r="J7" s="197"/>
      <c r="K7" s="333">
        <v>18.519197463989258</v>
      </c>
      <c r="L7" s="200">
        <f t="shared" si="1"/>
        <v>6.0487385036144481E-2</v>
      </c>
      <c r="M7" s="332">
        <v>1740080</v>
      </c>
      <c r="N7" s="333">
        <v>98.429740905761719</v>
      </c>
      <c r="O7" s="197"/>
      <c r="P7" s="333">
        <v>98.429740905761705</v>
      </c>
      <c r="Q7" s="200">
        <f t="shared" si="2"/>
        <v>1.3182685291837082E-2</v>
      </c>
      <c r="R7" s="332">
        <v>2065300</v>
      </c>
      <c r="S7" s="333">
        <v>70.44000244140625</v>
      </c>
      <c r="T7" s="197"/>
      <c r="U7" s="333">
        <v>70.440002441406236</v>
      </c>
      <c r="V7" s="200">
        <f t="shared" si="3"/>
        <v>6.6303436946505201E-2</v>
      </c>
      <c r="W7" s="332">
        <v>143180</v>
      </c>
      <c r="X7" s="333">
        <v>96.0738525390625</v>
      </c>
      <c r="Y7" s="197"/>
      <c r="Z7" s="333">
        <v>96.073852539062514</v>
      </c>
      <c r="AA7" s="200">
        <f t="shared" si="4"/>
        <v>5.6490824978020937E-2</v>
      </c>
      <c r="AB7" s="332">
        <v>0</v>
      </c>
      <c r="AC7" s="333">
        <v>93.800003051757813</v>
      </c>
      <c r="AD7" s="197"/>
      <c r="AE7" s="333">
        <v>93.800003051757813</v>
      </c>
      <c r="AF7" s="200">
        <f t="shared" si="5"/>
        <v>-6.6666636300917403E-2</v>
      </c>
    </row>
    <row r="8" spans="2:32" x14ac:dyDescent="0.3">
      <c r="B8" s="331">
        <v>39479.8125</v>
      </c>
      <c r="C8" s="332">
        <v>206843600</v>
      </c>
      <c r="D8" s="333">
        <v>139.58000183105469</v>
      </c>
      <c r="E8" s="197"/>
      <c r="F8" s="333">
        <v>139.58000183105469</v>
      </c>
      <c r="G8" s="200">
        <f t="shared" si="0"/>
        <v>4.9158214634422492E-2</v>
      </c>
      <c r="H8" s="332">
        <v>9097036</v>
      </c>
      <c r="I8" s="333">
        <v>21.10291862487793</v>
      </c>
      <c r="J8" s="197"/>
      <c r="K8" s="333">
        <v>21.10291862487793</v>
      </c>
      <c r="L8" s="200">
        <f t="shared" si="1"/>
        <v>0.13951582761146852</v>
      </c>
      <c r="M8" s="332">
        <v>2224586</v>
      </c>
      <c r="N8" s="333">
        <v>99.070083618164063</v>
      </c>
      <c r="O8" s="197"/>
      <c r="P8" s="333">
        <v>99.070083618164048</v>
      </c>
      <c r="Q8" s="200">
        <f t="shared" si="2"/>
        <v>6.5055816109016451E-3</v>
      </c>
      <c r="R8" s="332">
        <v>3300000</v>
      </c>
      <c r="S8" s="333">
        <v>77.470001220703125</v>
      </c>
      <c r="T8" s="197"/>
      <c r="U8" s="333">
        <v>77.470001220703111</v>
      </c>
      <c r="V8" s="200">
        <f t="shared" si="3"/>
        <v>9.9801228501441352E-2</v>
      </c>
      <c r="W8" s="332">
        <v>144294</v>
      </c>
      <c r="X8" s="333">
        <v>95.760284423828125</v>
      </c>
      <c r="Y8" s="197"/>
      <c r="Z8" s="333">
        <v>95.760284423828139</v>
      </c>
      <c r="AA8" s="200">
        <f t="shared" si="4"/>
        <v>-3.2638236830034861E-3</v>
      </c>
      <c r="AB8" s="332">
        <v>0</v>
      </c>
      <c r="AC8" s="333">
        <v>95.5</v>
      </c>
      <c r="AD8" s="197"/>
      <c r="AE8" s="333">
        <v>95.500000000000014</v>
      </c>
      <c r="AF8" s="200">
        <f t="shared" si="5"/>
        <v>1.8123634253019771E-2</v>
      </c>
    </row>
    <row r="9" spans="2:32" x14ac:dyDescent="0.3">
      <c r="B9" s="331">
        <v>39486.8125</v>
      </c>
      <c r="C9" s="332">
        <v>221643500</v>
      </c>
      <c r="D9" s="333">
        <v>133.07000732421875</v>
      </c>
      <c r="E9" s="197"/>
      <c r="F9" s="333">
        <v>133.07000732421875</v>
      </c>
      <c r="G9" s="200">
        <f t="shared" si="0"/>
        <v>-4.6639879792490069E-2</v>
      </c>
      <c r="H9" s="332">
        <v>5332682</v>
      </c>
      <c r="I9" s="333">
        <v>19.811056137084961</v>
      </c>
      <c r="J9" s="197"/>
      <c r="K9" s="333">
        <v>19.811056137084964</v>
      </c>
      <c r="L9" s="200">
        <f t="shared" si="1"/>
        <v>-6.1217242541513062E-2</v>
      </c>
      <c r="M9" s="332">
        <v>1294219</v>
      </c>
      <c r="N9" s="333">
        <v>93.3070068359375</v>
      </c>
      <c r="O9" s="197"/>
      <c r="P9" s="333">
        <v>93.307006835937486</v>
      </c>
      <c r="Q9" s="200">
        <f t="shared" si="2"/>
        <v>-5.8171716140248853E-2</v>
      </c>
      <c r="R9" s="332">
        <v>1423000</v>
      </c>
      <c r="S9" s="333">
        <v>70.160003662109375</v>
      </c>
      <c r="T9" s="197"/>
      <c r="U9" s="333">
        <v>70.160003662109361</v>
      </c>
      <c r="V9" s="200">
        <f t="shared" si="3"/>
        <v>-9.435907374995911E-2</v>
      </c>
      <c r="W9" s="332">
        <v>90164</v>
      </c>
      <c r="X9" s="333">
        <v>90.752304077148438</v>
      </c>
      <c r="Y9" s="197"/>
      <c r="Z9" s="333">
        <v>90.752304077148438</v>
      </c>
      <c r="AA9" s="200">
        <f t="shared" si="4"/>
        <v>-5.2297049625654179E-2</v>
      </c>
      <c r="AB9" s="332">
        <v>0</v>
      </c>
      <c r="AC9" s="333">
        <v>95</v>
      </c>
      <c r="AD9" s="197"/>
      <c r="AE9" s="333">
        <v>95.000000000000014</v>
      </c>
      <c r="AF9" s="200">
        <f t="shared" si="5"/>
        <v>-5.2356020942407877E-3</v>
      </c>
    </row>
    <row r="10" spans="2:32" x14ac:dyDescent="0.3">
      <c r="B10" s="331">
        <v>39493.8125</v>
      </c>
      <c r="C10" s="332">
        <v>154110300</v>
      </c>
      <c r="D10" s="333">
        <v>135.13999938964844</v>
      </c>
      <c r="E10" s="197"/>
      <c r="F10" s="333">
        <v>135.13999938964844</v>
      </c>
      <c r="G10" s="200">
        <f t="shared" si="0"/>
        <v>1.5555662068810427E-2</v>
      </c>
      <c r="H10" s="332">
        <v>3408921</v>
      </c>
      <c r="I10" s="333">
        <v>19.773061752319336</v>
      </c>
      <c r="J10" s="197"/>
      <c r="K10" s="333">
        <v>19.773061752319339</v>
      </c>
      <c r="L10" s="200">
        <f t="shared" si="1"/>
        <v>-1.9178374187988068E-3</v>
      </c>
      <c r="M10" s="332">
        <v>2639850</v>
      </c>
      <c r="N10" s="333">
        <v>94.86212158203125</v>
      </c>
      <c r="O10" s="197"/>
      <c r="P10" s="333">
        <v>94.862121582031222</v>
      </c>
      <c r="Q10" s="200">
        <f t="shared" si="2"/>
        <v>1.6666644862246116E-2</v>
      </c>
      <c r="R10" s="332">
        <v>2195100</v>
      </c>
      <c r="S10" s="333">
        <v>66.639999389648438</v>
      </c>
      <c r="T10" s="197"/>
      <c r="U10" s="333">
        <v>66.639999389648423</v>
      </c>
      <c r="V10" s="200">
        <f t="shared" si="3"/>
        <v>-5.0171095905485963E-2</v>
      </c>
      <c r="W10" s="332">
        <v>93042</v>
      </c>
      <c r="X10" s="333">
        <v>92.633750915527344</v>
      </c>
      <c r="Y10" s="197"/>
      <c r="Z10" s="333">
        <v>92.633750915527344</v>
      </c>
      <c r="AA10" s="200">
        <f t="shared" si="4"/>
        <v>2.07316702039817E-2</v>
      </c>
      <c r="AB10" s="332">
        <v>100</v>
      </c>
      <c r="AC10" s="333">
        <v>94.5</v>
      </c>
      <c r="AD10" s="197"/>
      <c r="AE10" s="333">
        <v>94.500000000000014</v>
      </c>
      <c r="AF10" s="200">
        <f t="shared" si="5"/>
        <v>-5.2631578947368585E-3</v>
      </c>
    </row>
    <row r="11" spans="2:32" x14ac:dyDescent="0.3">
      <c r="B11" s="331">
        <v>39500.8125</v>
      </c>
      <c r="C11" s="332">
        <v>205491000</v>
      </c>
      <c r="D11" s="333">
        <v>135.6199951171875</v>
      </c>
      <c r="E11" s="197"/>
      <c r="F11" s="333">
        <v>135.6199951171875</v>
      </c>
      <c r="G11" s="200">
        <f t="shared" si="0"/>
        <v>3.5518405335721592E-3</v>
      </c>
      <c r="H11" s="332">
        <v>3595915</v>
      </c>
      <c r="I11" s="333">
        <v>20.958532333374023</v>
      </c>
      <c r="J11" s="197"/>
      <c r="K11" s="333">
        <v>20.958532333374027</v>
      </c>
      <c r="L11" s="200">
        <f t="shared" si="1"/>
        <v>5.9953819793013841E-2</v>
      </c>
      <c r="M11" s="332">
        <v>1441203</v>
      </c>
      <c r="N11" s="333">
        <v>96.142807006835938</v>
      </c>
      <c r="O11" s="197"/>
      <c r="P11" s="333">
        <v>96.142807006835909</v>
      </c>
      <c r="Q11" s="200">
        <f t="shared" si="2"/>
        <v>1.3500493173107309E-2</v>
      </c>
      <c r="R11" s="332">
        <v>2136200</v>
      </c>
      <c r="S11" s="333">
        <v>68.260002136230469</v>
      </c>
      <c r="T11" s="333">
        <v>0.49</v>
      </c>
      <c r="U11" s="333">
        <v>68.750002136230449</v>
      </c>
      <c r="V11" s="200">
        <f t="shared" si="3"/>
        <v>3.1662706571239596E-2</v>
      </c>
      <c r="W11" s="332">
        <v>56176</v>
      </c>
      <c r="X11" s="333">
        <v>96.442764282226563</v>
      </c>
      <c r="Y11" s="197"/>
      <c r="Z11" s="333">
        <v>96.442764282226548</v>
      </c>
      <c r="AA11" s="200">
        <f t="shared" si="4"/>
        <v>4.1119066528706671E-2</v>
      </c>
      <c r="AB11" s="332">
        <v>0</v>
      </c>
      <c r="AC11" s="333">
        <v>94.5</v>
      </c>
      <c r="AD11" s="197"/>
      <c r="AE11" s="333">
        <v>94.500000000000014</v>
      </c>
      <c r="AF11" s="200">
        <f t="shared" si="5"/>
        <v>0</v>
      </c>
    </row>
    <row r="12" spans="2:32" x14ac:dyDescent="0.3">
      <c r="B12" s="331">
        <v>39507.8125</v>
      </c>
      <c r="C12" s="332">
        <v>252715200</v>
      </c>
      <c r="D12" s="333">
        <v>133.82000732421875</v>
      </c>
      <c r="E12" s="197"/>
      <c r="F12" s="333">
        <v>133.82000732421878</v>
      </c>
      <c r="G12" s="200">
        <f t="shared" si="0"/>
        <v>-1.3272289173977492E-2</v>
      </c>
      <c r="H12" s="332">
        <v>11104885</v>
      </c>
      <c r="I12" s="333">
        <v>20.935735702514648</v>
      </c>
      <c r="J12" s="197"/>
      <c r="K12" s="333">
        <v>20.935735702514656</v>
      </c>
      <c r="L12" s="200">
        <f t="shared" si="1"/>
        <v>-1.0877016814326845E-3</v>
      </c>
      <c r="M12" s="332">
        <v>1420129</v>
      </c>
      <c r="N12" s="333">
        <v>97.880874633789063</v>
      </c>
      <c r="O12" s="197"/>
      <c r="P12" s="333">
        <v>97.880874633789048</v>
      </c>
      <c r="Q12" s="200">
        <f t="shared" si="2"/>
        <v>1.8077978801155137E-2</v>
      </c>
      <c r="R12" s="332">
        <v>1531900</v>
      </c>
      <c r="S12" s="333">
        <v>70.099998474121094</v>
      </c>
      <c r="T12" s="197"/>
      <c r="U12" s="333">
        <v>70.603206768544609</v>
      </c>
      <c r="V12" s="200">
        <f t="shared" si="3"/>
        <v>2.6955702905171908E-2</v>
      </c>
      <c r="W12" s="332">
        <v>87781</v>
      </c>
      <c r="X12" s="333">
        <v>97.346603393554688</v>
      </c>
      <c r="Y12" s="197"/>
      <c r="Z12" s="333">
        <v>97.346603393554673</v>
      </c>
      <c r="AA12" s="200">
        <f t="shared" si="4"/>
        <v>9.3717669547832561E-3</v>
      </c>
      <c r="AB12" s="332">
        <v>0</v>
      </c>
      <c r="AC12" s="333">
        <v>104</v>
      </c>
      <c r="AD12" s="197"/>
      <c r="AE12" s="333">
        <v>104.00000000000003</v>
      </c>
      <c r="AF12" s="200">
        <f t="shared" si="5"/>
        <v>0.10052910052910069</v>
      </c>
    </row>
    <row r="13" spans="2:32" x14ac:dyDescent="0.3">
      <c r="B13" s="331">
        <v>39514.8125</v>
      </c>
      <c r="C13" s="332">
        <v>326434600</v>
      </c>
      <c r="D13" s="333">
        <v>129.71000671386719</v>
      </c>
      <c r="E13" s="197"/>
      <c r="F13" s="333">
        <v>129.71000671386722</v>
      </c>
      <c r="G13" s="200">
        <f t="shared" si="0"/>
        <v>-3.0712900802597254E-2</v>
      </c>
      <c r="H13" s="332">
        <v>9309165</v>
      </c>
      <c r="I13" s="333">
        <v>19.111932754516602</v>
      </c>
      <c r="J13" s="197"/>
      <c r="K13" s="333">
        <v>19.111932754516605</v>
      </c>
      <c r="L13" s="200">
        <f t="shared" si="1"/>
        <v>-8.7114347158050331E-2</v>
      </c>
      <c r="M13" s="332">
        <v>1175222</v>
      </c>
      <c r="N13" s="333">
        <v>96.508720397949219</v>
      </c>
      <c r="O13" s="197"/>
      <c r="P13" s="333">
        <v>96.508720397949205</v>
      </c>
      <c r="Q13" s="200">
        <f t="shared" si="2"/>
        <v>-1.4018614371536953E-2</v>
      </c>
      <c r="R13" s="332">
        <v>1924800</v>
      </c>
      <c r="S13" s="333">
        <v>65.470001220703125</v>
      </c>
      <c r="T13" s="197"/>
      <c r="U13" s="333">
        <v>65.939973380008354</v>
      </c>
      <c r="V13" s="200">
        <f t="shared" si="3"/>
        <v>-6.6048464396575191E-2</v>
      </c>
      <c r="W13" s="332">
        <v>73787</v>
      </c>
      <c r="X13" s="333">
        <v>98.647018432617188</v>
      </c>
      <c r="Y13" s="197"/>
      <c r="Z13" s="333">
        <v>98.647018432617173</v>
      </c>
      <c r="AA13" s="200">
        <f t="shared" si="4"/>
        <v>1.3358607221303442E-2</v>
      </c>
      <c r="AB13" s="332">
        <v>0</v>
      </c>
      <c r="AC13" s="333">
        <v>102.75</v>
      </c>
      <c r="AD13" s="197"/>
      <c r="AE13" s="333">
        <v>102.75000000000003</v>
      </c>
      <c r="AF13" s="200">
        <f t="shared" si="5"/>
        <v>-1.2019230769230727E-2</v>
      </c>
    </row>
    <row r="14" spans="2:32" x14ac:dyDescent="0.3">
      <c r="B14" s="331">
        <v>39521.770833333336</v>
      </c>
      <c r="C14" s="332">
        <v>484687800</v>
      </c>
      <c r="D14" s="333">
        <v>129.61000061035156</v>
      </c>
      <c r="E14" s="197"/>
      <c r="F14" s="333">
        <v>129.61000061035159</v>
      </c>
      <c r="G14" s="200">
        <f t="shared" si="0"/>
        <v>-7.7099759724963413E-4</v>
      </c>
      <c r="H14" s="332">
        <v>20793433</v>
      </c>
      <c r="I14" s="333">
        <v>19.818656921386719</v>
      </c>
      <c r="J14" s="197"/>
      <c r="K14" s="333">
        <v>19.818656921386726</v>
      </c>
      <c r="L14" s="200">
        <f t="shared" si="1"/>
        <v>3.6978163116605955E-2</v>
      </c>
      <c r="M14" s="332">
        <v>1959112</v>
      </c>
      <c r="N14" s="333">
        <v>93.581436157226563</v>
      </c>
      <c r="O14" s="197"/>
      <c r="P14" s="333">
        <v>93.581436157226534</v>
      </c>
      <c r="Q14" s="200">
        <f t="shared" si="2"/>
        <v>-3.0331810728109865E-2</v>
      </c>
      <c r="R14" s="332">
        <v>1674300</v>
      </c>
      <c r="S14" s="333">
        <v>65.290000915527344</v>
      </c>
      <c r="T14" s="197"/>
      <c r="U14" s="333">
        <v>65.758680954311401</v>
      </c>
      <c r="V14" s="200">
        <f t="shared" si="3"/>
        <v>-2.7493554577612267E-3</v>
      </c>
      <c r="W14" s="332">
        <v>117515</v>
      </c>
      <c r="X14" s="333">
        <v>98.093650817871094</v>
      </c>
      <c r="Y14" s="197"/>
      <c r="Z14" s="333">
        <v>98.09365081787108</v>
      </c>
      <c r="AA14" s="200">
        <f t="shared" si="4"/>
        <v>-5.6095726311695682E-3</v>
      </c>
      <c r="AB14" s="332">
        <v>0</v>
      </c>
      <c r="AC14" s="333">
        <v>101</v>
      </c>
      <c r="AD14" s="197"/>
      <c r="AE14" s="333">
        <v>101.00000000000003</v>
      </c>
      <c r="AF14" s="200">
        <f t="shared" si="5"/>
        <v>-1.7031630170316281E-2</v>
      </c>
    </row>
    <row r="15" spans="2:32" x14ac:dyDescent="0.3">
      <c r="B15" s="331">
        <v>39527.770833333336</v>
      </c>
      <c r="C15" s="332">
        <v>245320700</v>
      </c>
      <c r="D15" s="333">
        <v>132.08000183105469</v>
      </c>
      <c r="E15" s="333">
        <v>0.64200000000000002</v>
      </c>
      <c r="F15" s="333">
        <v>132.72200183105471</v>
      </c>
      <c r="G15" s="200">
        <f t="shared" si="0"/>
        <v>2.401050232272417E-2</v>
      </c>
      <c r="H15" s="332">
        <v>6136190</v>
      </c>
      <c r="I15" s="333">
        <v>19.172725677490234</v>
      </c>
      <c r="J15" s="197"/>
      <c r="K15" s="333">
        <v>19.172725677490241</v>
      </c>
      <c r="L15" s="200">
        <f t="shared" si="1"/>
        <v>-3.2592079597454804E-2</v>
      </c>
      <c r="M15" s="332">
        <v>2295417</v>
      </c>
      <c r="N15" s="333">
        <v>91.568931579589844</v>
      </c>
      <c r="O15" s="197"/>
      <c r="P15" s="333">
        <v>91.568931579589815</v>
      </c>
      <c r="Q15" s="200">
        <f t="shared" si="2"/>
        <v>-2.1505382480511481E-2</v>
      </c>
      <c r="R15" s="332">
        <v>2848200</v>
      </c>
      <c r="S15" s="333">
        <v>65.849998474121094</v>
      </c>
      <c r="T15" s="197"/>
      <c r="U15" s="333">
        <v>66.322698419074555</v>
      </c>
      <c r="V15" s="200">
        <f t="shared" si="3"/>
        <v>8.5770799623403615E-3</v>
      </c>
      <c r="W15" s="332">
        <v>279825</v>
      </c>
      <c r="X15" s="333">
        <v>101.11872863769531</v>
      </c>
      <c r="Y15" s="197"/>
      <c r="Z15" s="333">
        <v>101.11872863769528</v>
      </c>
      <c r="AA15" s="200">
        <f t="shared" si="4"/>
        <v>3.083867094967041E-2</v>
      </c>
      <c r="AB15" s="332">
        <v>0</v>
      </c>
      <c r="AC15" s="333">
        <v>101.25</v>
      </c>
      <c r="AD15" s="197"/>
      <c r="AE15" s="333">
        <v>101.25000000000003</v>
      </c>
      <c r="AF15" s="200">
        <f t="shared" si="5"/>
        <v>2.4752475247524774E-3</v>
      </c>
    </row>
    <row r="16" spans="2:32" x14ac:dyDescent="0.3">
      <c r="B16" s="331">
        <v>39535.770833333336</v>
      </c>
      <c r="C16" s="332">
        <v>180896100</v>
      </c>
      <c r="D16" s="333">
        <v>131.50999450683594</v>
      </c>
      <c r="E16" s="197"/>
      <c r="F16" s="333">
        <v>132.14922387769394</v>
      </c>
      <c r="G16" s="200">
        <f t="shared" si="0"/>
        <v>-4.3156217165098987E-3</v>
      </c>
      <c r="H16" s="332">
        <v>9399569</v>
      </c>
      <c r="I16" s="333">
        <v>19.66667366027832</v>
      </c>
      <c r="J16" s="197"/>
      <c r="K16" s="333">
        <v>19.666673660278327</v>
      </c>
      <c r="L16" s="200">
        <f t="shared" si="1"/>
        <v>2.5763054825741705E-2</v>
      </c>
      <c r="M16" s="332">
        <v>876324</v>
      </c>
      <c r="N16" s="333">
        <v>94.679168701171875</v>
      </c>
      <c r="O16" s="197"/>
      <c r="P16" s="333">
        <v>94.679168701171847</v>
      </c>
      <c r="Q16" s="200">
        <f t="shared" si="2"/>
        <v>3.3966074168711557E-2</v>
      </c>
      <c r="R16" s="332">
        <v>827900</v>
      </c>
      <c r="S16" s="333">
        <v>66.180000305175781</v>
      </c>
      <c r="T16" s="197"/>
      <c r="U16" s="333">
        <v>66.655069146879256</v>
      </c>
      <c r="V16" s="200">
        <f t="shared" si="3"/>
        <v>5.0114174442141834E-3</v>
      </c>
      <c r="W16" s="332">
        <v>131287</v>
      </c>
      <c r="X16" s="333">
        <v>101.40463256835938</v>
      </c>
      <c r="Y16" s="197"/>
      <c r="Z16" s="333">
        <v>101.40463256835933</v>
      </c>
      <c r="AA16" s="200">
        <f t="shared" si="4"/>
        <v>2.8274082805019862E-3</v>
      </c>
      <c r="AB16" s="332">
        <v>0</v>
      </c>
      <c r="AC16" s="333">
        <v>101.25</v>
      </c>
      <c r="AD16" s="197"/>
      <c r="AE16" s="333">
        <v>101.25000000000003</v>
      </c>
      <c r="AF16" s="200">
        <f t="shared" si="5"/>
        <v>0</v>
      </c>
    </row>
    <row r="17" spans="2:32" x14ac:dyDescent="0.3">
      <c r="B17" s="331">
        <v>39542.770833333336</v>
      </c>
      <c r="C17" s="332">
        <v>204446800</v>
      </c>
      <c r="D17" s="333">
        <v>136.88999938964844</v>
      </c>
      <c r="E17" s="197"/>
      <c r="F17" s="333">
        <v>137.55537929871724</v>
      </c>
      <c r="G17" s="200">
        <f t="shared" si="0"/>
        <v>4.0909475382366001E-2</v>
      </c>
      <c r="H17" s="332">
        <v>8822928</v>
      </c>
      <c r="I17" s="333">
        <v>20.00103759765625</v>
      </c>
      <c r="J17" s="197"/>
      <c r="K17" s="333">
        <v>20.001037597656254</v>
      </c>
      <c r="L17" s="200">
        <f t="shared" si="1"/>
        <v>1.7001550091984008E-2</v>
      </c>
      <c r="M17" s="332">
        <v>801270</v>
      </c>
      <c r="N17" s="333">
        <v>98.704177856445313</v>
      </c>
      <c r="O17" s="197"/>
      <c r="P17" s="333">
        <v>98.704177856445284</v>
      </c>
      <c r="Q17" s="200">
        <f t="shared" si="2"/>
        <v>4.251208803889317E-2</v>
      </c>
      <c r="R17" s="332">
        <v>1471600</v>
      </c>
      <c r="S17" s="333">
        <v>70.639999389648438</v>
      </c>
      <c r="T17" s="197"/>
      <c r="U17" s="333">
        <v>71.147084045635509</v>
      </c>
      <c r="V17" s="200">
        <f t="shared" si="3"/>
        <v>6.739194717295649E-2</v>
      </c>
      <c r="W17" s="332">
        <v>155414</v>
      </c>
      <c r="X17" s="333">
        <v>100.98960876464844</v>
      </c>
      <c r="Y17" s="197"/>
      <c r="Z17" s="333">
        <v>100.98960876464841</v>
      </c>
      <c r="AA17" s="200">
        <f t="shared" si="4"/>
        <v>-4.0927499385311483E-3</v>
      </c>
      <c r="AB17" s="332">
        <v>0</v>
      </c>
      <c r="AC17" s="333">
        <v>104.88999938964844</v>
      </c>
      <c r="AD17" s="197"/>
      <c r="AE17" s="333">
        <v>104.88999938964847</v>
      </c>
      <c r="AF17" s="200">
        <f t="shared" si="5"/>
        <v>3.5950611255787024E-2</v>
      </c>
    </row>
    <row r="18" spans="2:32" x14ac:dyDescent="0.3">
      <c r="B18" s="331">
        <v>39549.770833333336</v>
      </c>
      <c r="C18" s="332">
        <v>222973300</v>
      </c>
      <c r="D18" s="333">
        <v>133.3800048828125</v>
      </c>
      <c r="E18" s="197"/>
      <c r="F18" s="333">
        <v>134.02832379519634</v>
      </c>
      <c r="G18" s="200">
        <f t="shared" si="0"/>
        <v>-2.5640985627043311E-2</v>
      </c>
      <c r="H18" s="332">
        <v>4210587</v>
      </c>
      <c r="I18" s="333">
        <v>19.788259506225586</v>
      </c>
      <c r="J18" s="197"/>
      <c r="K18" s="333">
        <v>19.788259506225589</v>
      </c>
      <c r="L18" s="200">
        <f t="shared" si="1"/>
        <v>-1.0638352655044092E-2</v>
      </c>
      <c r="M18" s="332">
        <v>1325096</v>
      </c>
      <c r="N18" s="333">
        <v>94.953598022460938</v>
      </c>
      <c r="O18" s="197"/>
      <c r="P18" s="333">
        <v>94.953598022460909</v>
      </c>
      <c r="Q18" s="200">
        <f t="shared" si="2"/>
        <v>-3.7998187264567385E-2</v>
      </c>
      <c r="R18" s="332">
        <v>2022500</v>
      </c>
      <c r="S18" s="333">
        <v>70.769996643066406</v>
      </c>
      <c r="T18" s="197"/>
      <c r="U18" s="333">
        <v>71.27801447590933</v>
      </c>
      <c r="V18" s="200">
        <f t="shared" si="3"/>
        <v>1.8402782352939795E-3</v>
      </c>
      <c r="W18" s="332">
        <v>54164</v>
      </c>
      <c r="X18" s="333">
        <v>100.08576965332031</v>
      </c>
      <c r="Y18" s="197"/>
      <c r="Z18" s="333">
        <v>100.08576965332028</v>
      </c>
      <c r="AA18" s="200">
        <f t="shared" si="4"/>
        <v>-8.9498228816241587E-3</v>
      </c>
      <c r="AB18" s="332">
        <v>0</v>
      </c>
      <c r="AC18" s="333">
        <v>104.5</v>
      </c>
      <c r="AD18" s="197"/>
      <c r="AE18" s="333">
        <v>104.50000000000003</v>
      </c>
      <c r="AF18" s="200">
        <f t="shared" si="5"/>
        <v>-3.718175154140857E-3</v>
      </c>
    </row>
    <row r="19" spans="2:32" x14ac:dyDescent="0.3">
      <c r="B19" s="331">
        <v>39556.770833333336</v>
      </c>
      <c r="C19" s="332">
        <v>218530600</v>
      </c>
      <c r="D19" s="333">
        <v>138.47999572753906</v>
      </c>
      <c r="E19" s="197"/>
      <c r="F19" s="333">
        <v>139.15310411658041</v>
      </c>
      <c r="G19" s="200">
        <f t="shared" si="0"/>
        <v>3.823654714368474E-2</v>
      </c>
      <c r="H19" s="332">
        <v>5840237</v>
      </c>
      <c r="I19" s="333">
        <v>20.312602996826172</v>
      </c>
      <c r="J19" s="197"/>
      <c r="K19" s="333">
        <v>20.312602996826175</v>
      </c>
      <c r="L19" s="200">
        <f t="shared" si="1"/>
        <v>2.6497706401900745E-2</v>
      </c>
      <c r="M19" s="332">
        <v>1161510</v>
      </c>
      <c r="N19" s="333">
        <v>98.246788024902344</v>
      </c>
      <c r="O19" s="197"/>
      <c r="P19" s="333">
        <v>98.246788024902301</v>
      </c>
      <c r="Q19" s="200">
        <f t="shared" si="2"/>
        <v>3.4682098109251269E-2</v>
      </c>
      <c r="R19" s="332">
        <v>1526900</v>
      </c>
      <c r="S19" s="333">
        <v>72.279998779296875</v>
      </c>
      <c r="T19" s="197"/>
      <c r="U19" s="333">
        <v>72.798856064580448</v>
      </c>
      <c r="V19" s="200">
        <f t="shared" si="3"/>
        <v>2.1336755798453622E-2</v>
      </c>
      <c r="W19" s="332">
        <v>87331</v>
      </c>
      <c r="X19" s="333">
        <v>100.52846527099609</v>
      </c>
      <c r="Y19" s="197"/>
      <c r="Z19" s="333">
        <v>100.52846527099605</v>
      </c>
      <c r="AA19" s="200">
        <f t="shared" si="4"/>
        <v>4.4231624456623209E-3</v>
      </c>
      <c r="AB19" s="332">
        <v>0</v>
      </c>
      <c r="AC19" s="333">
        <v>105.25</v>
      </c>
      <c r="AD19" s="197"/>
      <c r="AE19" s="333">
        <v>105.25000000000003</v>
      </c>
      <c r="AF19" s="200">
        <f t="shared" si="5"/>
        <v>7.1770334928229484E-3</v>
      </c>
    </row>
    <row r="20" spans="2:32" x14ac:dyDescent="0.3">
      <c r="B20" s="331">
        <v>39563.770833333336</v>
      </c>
      <c r="C20" s="332">
        <v>190788100</v>
      </c>
      <c r="D20" s="333">
        <v>139.60000610351563</v>
      </c>
      <c r="E20" s="197"/>
      <c r="F20" s="333">
        <v>140.27855851626543</v>
      </c>
      <c r="G20" s="200">
        <f t="shared" si="0"/>
        <v>8.0878856913040309E-3</v>
      </c>
      <c r="H20" s="332">
        <v>4377842</v>
      </c>
      <c r="I20" s="333">
        <v>21.300495147705078</v>
      </c>
      <c r="J20" s="197"/>
      <c r="K20" s="333">
        <v>21.300495147705082</v>
      </c>
      <c r="L20" s="200">
        <f t="shared" si="1"/>
        <v>4.8634443898365243E-2</v>
      </c>
      <c r="M20" s="332">
        <v>1624261</v>
      </c>
      <c r="N20" s="333">
        <v>97.057579040527344</v>
      </c>
      <c r="O20" s="197"/>
      <c r="P20" s="333">
        <v>97.057579040527315</v>
      </c>
      <c r="Q20" s="200">
        <f t="shared" si="2"/>
        <v>-1.2104303950105311E-2</v>
      </c>
      <c r="R20" s="332">
        <v>1063100</v>
      </c>
      <c r="S20" s="333">
        <v>67.360000610351563</v>
      </c>
      <c r="T20" s="197"/>
      <c r="U20" s="333">
        <v>67.843540007745645</v>
      </c>
      <c r="V20" s="200">
        <f t="shared" si="3"/>
        <v>-6.8068597842236733E-2</v>
      </c>
      <c r="W20" s="332">
        <v>86228</v>
      </c>
      <c r="X20" s="333">
        <v>99.28338623046875</v>
      </c>
      <c r="Y20" s="197"/>
      <c r="Z20" s="333">
        <v>99.283386230468707</v>
      </c>
      <c r="AA20" s="200">
        <f t="shared" si="4"/>
        <v>-1.2385338194221607E-2</v>
      </c>
      <c r="AB20" s="332">
        <v>600</v>
      </c>
      <c r="AC20" s="333">
        <v>102.5</v>
      </c>
      <c r="AD20" s="197"/>
      <c r="AE20" s="333">
        <v>102.50000000000003</v>
      </c>
      <c r="AF20" s="200">
        <f t="shared" si="5"/>
        <v>-2.6128266033254133E-2</v>
      </c>
    </row>
    <row r="21" spans="2:32" x14ac:dyDescent="0.3">
      <c r="B21" s="331">
        <v>39570.770833333336</v>
      </c>
      <c r="C21" s="332">
        <v>181585500</v>
      </c>
      <c r="D21" s="333">
        <v>141.50999450683594</v>
      </c>
      <c r="E21" s="197"/>
      <c r="F21" s="333">
        <v>142.19783078192623</v>
      </c>
      <c r="G21" s="200">
        <f t="shared" si="0"/>
        <v>1.3681864755106243E-2</v>
      </c>
      <c r="H21" s="332">
        <v>5197273</v>
      </c>
      <c r="I21" s="333">
        <v>21.277698516845703</v>
      </c>
      <c r="J21" s="197"/>
      <c r="K21" s="333">
        <v>21.277698516845707</v>
      </c>
      <c r="L21" s="200">
        <f t="shared" si="1"/>
        <v>-1.0702394804109616E-3</v>
      </c>
      <c r="M21" s="332">
        <v>3752276</v>
      </c>
      <c r="N21" s="333">
        <v>93.124053955078125</v>
      </c>
      <c r="O21" s="197"/>
      <c r="P21" s="333">
        <v>93.124053955078082</v>
      </c>
      <c r="Q21" s="200">
        <f t="shared" si="2"/>
        <v>-4.0527747800166658E-2</v>
      </c>
      <c r="R21" s="332">
        <v>1887000</v>
      </c>
      <c r="S21" s="333">
        <v>68.75</v>
      </c>
      <c r="T21" s="197"/>
      <c r="U21" s="333">
        <v>69.243517417898218</v>
      </c>
      <c r="V21" s="200">
        <f t="shared" si="3"/>
        <v>2.0635382675973757E-2</v>
      </c>
      <c r="W21" s="332">
        <v>94568</v>
      </c>
      <c r="X21" s="333">
        <v>101.61675262451172</v>
      </c>
      <c r="Y21" s="197"/>
      <c r="Z21" s="333">
        <v>101.61675262451168</v>
      </c>
      <c r="AA21" s="200">
        <f t="shared" si="4"/>
        <v>2.3502083104080196E-2</v>
      </c>
      <c r="AB21" s="332">
        <v>7100</v>
      </c>
      <c r="AC21" s="333">
        <v>96.75</v>
      </c>
      <c r="AD21" s="197"/>
      <c r="AE21" s="333">
        <v>96.750000000000028</v>
      </c>
      <c r="AF21" s="200">
        <f t="shared" si="5"/>
        <v>-5.6097560975609695E-2</v>
      </c>
    </row>
    <row r="22" spans="2:32" x14ac:dyDescent="0.3">
      <c r="B22" s="331">
        <v>39577.770833333336</v>
      </c>
      <c r="C22" s="332">
        <v>152588200</v>
      </c>
      <c r="D22" s="333">
        <v>138.89999389648438</v>
      </c>
      <c r="E22" s="197"/>
      <c r="F22" s="333">
        <v>139.5751437666033</v>
      </c>
      <c r="G22" s="200">
        <f t="shared" si="0"/>
        <v>-1.8443931253389279E-2</v>
      </c>
      <c r="H22" s="332">
        <v>4023988</v>
      </c>
      <c r="I22" s="333">
        <v>21.665256500244141</v>
      </c>
      <c r="J22" s="333">
        <v>0.63453099999999996</v>
      </c>
      <c r="K22" s="333">
        <v>22.299787500244143</v>
      </c>
      <c r="L22" s="200">
        <f t="shared" si="1"/>
        <v>4.8035692515769002E-2</v>
      </c>
      <c r="M22" s="332">
        <v>1945374</v>
      </c>
      <c r="N22" s="333">
        <v>93.855873107910156</v>
      </c>
      <c r="O22" s="197"/>
      <c r="P22" s="333">
        <v>93.855873107910099</v>
      </c>
      <c r="Q22" s="200">
        <f t="shared" si="2"/>
        <v>7.8585405354565374E-3</v>
      </c>
      <c r="R22" s="332">
        <v>1725600</v>
      </c>
      <c r="S22" s="333">
        <v>66.300003051757813</v>
      </c>
      <c r="T22" s="197"/>
      <c r="U22" s="333">
        <v>66.775933325397773</v>
      </c>
      <c r="V22" s="200">
        <f t="shared" si="3"/>
        <v>-3.5636319247159154E-2</v>
      </c>
      <c r="W22" s="332">
        <v>79880</v>
      </c>
      <c r="X22" s="333">
        <v>101.41385650634766</v>
      </c>
      <c r="Y22" s="333">
        <v>1.198963</v>
      </c>
      <c r="Z22" s="333">
        <v>102.61281950634762</v>
      </c>
      <c r="AA22" s="200">
        <f t="shared" si="4"/>
        <v>9.8021916279547039E-3</v>
      </c>
      <c r="AB22" s="332">
        <v>0</v>
      </c>
      <c r="AC22" s="333">
        <v>97.099998474121094</v>
      </c>
      <c r="AD22" s="197"/>
      <c r="AE22" s="333">
        <v>97.099998474121122</v>
      </c>
      <c r="AF22" s="200">
        <f t="shared" si="5"/>
        <v>3.617555288073282E-3</v>
      </c>
    </row>
    <row r="23" spans="2:32" x14ac:dyDescent="0.3">
      <c r="B23" s="331">
        <v>39584.770833333336</v>
      </c>
      <c r="C23" s="332">
        <v>204236800</v>
      </c>
      <c r="D23" s="333">
        <v>142.66000366210938</v>
      </c>
      <c r="E23" s="197"/>
      <c r="F23" s="333">
        <v>143.35342977568732</v>
      </c>
      <c r="G23" s="200">
        <f t="shared" si="0"/>
        <v>2.706990590962266E-2</v>
      </c>
      <c r="H23" s="332">
        <v>8758316</v>
      </c>
      <c r="I23" s="333">
        <v>23.390270233154297</v>
      </c>
      <c r="J23" s="197"/>
      <c r="K23" s="333">
        <v>24.075323353164499</v>
      </c>
      <c r="L23" s="200">
        <f t="shared" si="1"/>
        <v>7.9621200556324379E-2</v>
      </c>
      <c r="M23" s="332">
        <v>1947958</v>
      </c>
      <c r="N23" s="333">
        <v>93.67291259765625</v>
      </c>
      <c r="O23" s="333">
        <v>3.0187560000000002</v>
      </c>
      <c r="P23" s="333">
        <v>96.691668597656204</v>
      </c>
      <c r="Q23" s="200">
        <f t="shared" si="2"/>
        <v>3.0214363745630246E-2</v>
      </c>
      <c r="R23" s="332">
        <v>2530000</v>
      </c>
      <c r="S23" s="333">
        <v>77.470001220703125</v>
      </c>
      <c r="T23" s="197"/>
      <c r="U23" s="333">
        <v>78.026114602041503</v>
      </c>
      <c r="V23" s="200">
        <f t="shared" si="3"/>
        <v>0.16847658604518223</v>
      </c>
      <c r="W23" s="332">
        <v>143367</v>
      </c>
      <c r="X23" s="333">
        <v>101.63520050048828</v>
      </c>
      <c r="Y23" s="197"/>
      <c r="Z23" s="333">
        <v>102.83678033479856</v>
      </c>
      <c r="AA23" s="200">
        <f t="shared" si="4"/>
        <v>2.1825813726625842E-3</v>
      </c>
      <c r="AB23" s="332">
        <v>400</v>
      </c>
      <c r="AC23" s="333">
        <v>98.75</v>
      </c>
      <c r="AD23" s="197"/>
      <c r="AE23" s="333">
        <v>98.750000000000043</v>
      </c>
      <c r="AF23" s="200">
        <f t="shared" si="5"/>
        <v>1.6992806918721737E-2</v>
      </c>
    </row>
    <row r="24" spans="2:32" x14ac:dyDescent="0.3">
      <c r="B24" s="331">
        <v>39591.770833333336</v>
      </c>
      <c r="C24" s="332">
        <v>181376400</v>
      </c>
      <c r="D24" s="333">
        <v>137.63999938964844</v>
      </c>
      <c r="E24" s="197"/>
      <c r="F24" s="333">
        <v>138.30902481653467</v>
      </c>
      <c r="G24" s="200">
        <f t="shared" si="0"/>
        <v>-3.5188589258351777E-2</v>
      </c>
      <c r="H24" s="332">
        <v>4189532</v>
      </c>
      <c r="I24" s="333">
        <v>23.413068771362305</v>
      </c>
      <c r="J24" s="197"/>
      <c r="K24" s="333">
        <v>24.098789613873162</v>
      </c>
      <c r="L24" s="200">
        <f t="shared" si="1"/>
        <v>9.7470178757030901E-4</v>
      </c>
      <c r="M24" s="332">
        <v>1627743</v>
      </c>
      <c r="N24" s="333">
        <v>90.105293273925781</v>
      </c>
      <c r="O24" s="197"/>
      <c r="P24" s="333">
        <v>93.009077165761596</v>
      </c>
      <c r="Q24" s="200">
        <f t="shared" si="2"/>
        <v>-3.8085922864959931E-2</v>
      </c>
      <c r="R24" s="332">
        <v>2465800</v>
      </c>
      <c r="S24" s="333">
        <v>74.349998474121094</v>
      </c>
      <c r="T24" s="333">
        <v>0.49</v>
      </c>
      <c r="U24" s="333">
        <v>75.377232551247715</v>
      </c>
      <c r="V24" s="200">
        <f t="shared" si="3"/>
        <v>-3.3948660192859137E-2</v>
      </c>
      <c r="W24" s="332">
        <v>83303</v>
      </c>
      <c r="X24" s="333">
        <v>98.490226745605469</v>
      </c>
      <c r="Y24" s="197"/>
      <c r="Z24" s="333">
        <v>99.654625199599735</v>
      </c>
      <c r="AA24" s="200">
        <f t="shared" si="4"/>
        <v>-3.0943745271282408E-2</v>
      </c>
      <c r="AB24" s="332">
        <v>0</v>
      </c>
      <c r="AC24" s="333">
        <v>97.849998474121094</v>
      </c>
      <c r="AD24" s="197"/>
      <c r="AE24" s="333">
        <v>97.849998474121136</v>
      </c>
      <c r="AF24" s="200">
        <f t="shared" si="5"/>
        <v>-9.1139395025712222E-3</v>
      </c>
    </row>
    <row r="25" spans="2:32" x14ac:dyDescent="0.3">
      <c r="B25" s="331">
        <v>39598.770833333336</v>
      </c>
      <c r="C25" s="332">
        <v>117362000</v>
      </c>
      <c r="D25" s="333">
        <v>140.35000610351563</v>
      </c>
      <c r="E25" s="197"/>
      <c r="F25" s="333">
        <v>141.03220403408284</v>
      </c>
      <c r="G25" s="200">
        <f t="shared" si="0"/>
        <v>1.9689092748361281E-2</v>
      </c>
      <c r="H25" s="332">
        <v>6071051</v>
      </c>
      <c r="I25" s="333">
        <v>21.612062454223633</v>
      </c>
      <c r="J25" s="197"/>
      <c r="K25" s="333">
        <v>22.245035509538553</v>
      </c>
      <c r="L25" s="200">
        <f t="shared" si="1"/>
        <v>-7.6923120788914723E-2</v>
      </c>
      <c r="M25" s="332">
        <v>1413814</v>
      </c>
      <c r="N25" s="333">
        <v>89.190521240234375</v>
      </c>
      <c r="O25" s="197"/>
      <c r="P25" s="333">
        <v>92.064825173683516</v>
      </c>
      <c r="Q25" s="200">
        <f t="shared" si="2"/>
        <v>-1.0152256326500519E-2</v>
      </c>
      <c r="R25" s="332">
        <v>1998900</v>
      </c>
      <c r="S25" s="333">
        <v>76.930000305175781</v>
      </c>
      <c r="T25" s="197"/>
      <c r="U25" s="333">
        <v>77.992880190699182</v>
      </c>
      <c r="V25" s="200">
        <f t="shared" si="3"/>
        <v>3.4700765084113794E-2</v>
      </c>
      <c r="W25" s="332">
        <v>539421</v>
      </c>
      <c r="X25" s="333">
        <v>101.58908843994141</v>
      </c>
      <c r="Y25" s="197"/>
      <c r="Z25" s="333">
        <v>102.7901231154701</v>
      </c>
      <c r="AA25" s="200">
        <f t="shared" si="4"/>
        <v>3.1463646665573552E-2</v>
      </c>
      <c r="AB25" s="332">
        <v>500</v>
      </c>
      <c r="AC25" s="333">
        <v>93.199996948242188</v>
      </c>
      <c r="AD25" s="197"/>
      <c r="AE25" s="333">
        <v>93.199996948242216</v>
      </c>
      <c r="AF25" s="200">
        <f t="shared" si="5"/>
        <v>-4.7521733248761633E-2</v>
      </c>
    </row>
    <row r="26" spans="2:32" x14ac:dyDescent="0.3">
      <c r="B26" s="331">
        <v>39605.770833333336</v>
      </c>
      <c r="C26" s="332">
        <v>384276300</v>
      </c>
      <c r="D26" s="333">
        <v>136.28999328613281</v>
      </c>
      <c r="E26" s="197"/>
      <c r="F26" s="333">
        <v>136.95245675128041</v>
      </c>
      <c r="G26" s="200">
        <f t="shared" si="0"/>
        <v>-2.8927770864422442E-2</v>
      </c>
      <c r="H26" s="332">
        <v>7822293</v>
      </c>
      <c r="I26" s="333">
        <v>21.292896270751953</v>
      </c>
      <c r="J26" s="197"/>
      <c r="K26" s="333">
        <v>21.916521602094058</v>
      </c>
      <c r="L26" s="200">
        <f t="shared" si="1"/>
        <v>-1.4767965072639666E-2</v>
      </c>
      <c r="M26" s="332">
        <v>2337890</v>
      </c>
      <c r="N26" s="333">
        <v>86.446197509765625</v>
      </c>
      <c r="O26" s="197"/>
      <c r="P26" s="333">
        <v>89.232061322185558</v>
      </c>
      <c r="Q26" s="200">
        <f t="shared" si="2"/>
        <v>-3.0769230769230771E-2</v>
      </c>
      <c r="R26" s="332">
        <v>2356500</v>
      </c>
      <c r="S26" s="333">
        <v>70.949996948242188</v>
      </c>
      <c r="T26" s="197"/>
      <c r="U26" s="333">
        <v>71.930255941288877</v>
      </c>
      <c r="V26" s="200">
        <f t="shared" si="3"/>
        <v>-7.773304735748543E-2</v>
      </c>
      <c r="W26" s="332">
        <v>112317</v>
      </c>
      <c r="X26" s="333">
        <v>93.519142150878906</v>
      </c>
      <c r="Y26" s="197"/>
      <c r="Z26" s="333">
        <v>94.624770070902073</v>
      </c>
      <c r="AA26" s="200">
        <f t="shared" si="4"/>
        <v>-7.9437136536896769E-2</v>
      </c>
      <c r="AB26" s="332">
        <v>900</v>
      </c>
      <c r="AC26" s="333">
        <v>93</v>
      </c>
      <c r="AD26" s="197"/>
      <c r="AE26" s="333">
        <v>93.000000000000028</v>
      </c>
      <c r="AF26" s="200">
        <f t="shared" si="5"/>
        <v>-2.1458900728640318E-3</v>
      </c>
    </row>
    <row r="27" spans="2:32" x14ac:dyDescent="0.3">
      <c r="B27" s="331">
        <v>39612.770833333336</v>
      </c>
      <c r="C27" s="332">
        <v>244726900</v>
      </c>
      <c r="D27" s="333">
        <v>136.14999389648438</v>
      </c>
      <c r="E27" s="197"/>
      <c r="F27" s="333">
        <v>136.81177686793944</v>
      </c>
      <c r="G27" s="200">
        <f t="shared" si="0"/>
        <v>-1.0272169384770713E-3</v>
      </c>
      <c r="H27" s="332">
        <v>7064975</v>
      </c>
      <c r="I27" s="333">
        <v>19.56788444519043</v>
      </c>
      <c r="J27" s="197"/>
      <c r="K27" s="333">
        <v>20.140987712384668</v>
      </c>
      <c r="L27" s="200">
        <f t="shared" si="1"/>
        <v>-8.1013489364103464E-2</v>
      </c>
      <c r="M27" s="332">
        <v>2017217</v>
      </c>
      <c r="N27" s="333">
        <v>83.107269287109375</v>
      </c>
      <c r="O27" s="197"/>
      <c r="P27" s="333">
        <v>85.785530919494548</v>
      </c>
      <c r="Q27" s="200">
        <f t="shared" si="2"/>
        <v>-3.8624350391803675E-2</v>
      </c>
      <c r="R27" s="332">
        <v>1563600</v>
      </c>
      <c r="S27" s="333">
        <v>69.370002746582031</v>
      </c>
      <c r="T27" s="197"/>
      <c r="U27" s="333">
        <v>70.328432231640605</v>
      </c>
      <c r="V27" s="200">
        <f t="shared" si="3"/>
        <v>-2.2269122898098903E-2</v>
      </c>
      <c r="W27" s="332">
        <v>70077</v>
      </c>
      <c r="X27" s="333">
        <v>88.501937866210938</v>
      </c>
      <c r="Y27" s="197"/>
      <c r="Z27" s="333">
        <v>89.548250003283059</v>
      </c>
      <c r="AA27" s="200">
        <f t="shared" si="4"/>
        <v>-5.364895538256198E-2</v>
      </c>
      <c r="AB27" s="332">
        <v>0</v>
      </c>
      <c r="AC27" s="333">
        <v>88.5</v>
      </c>
      <c r="AD27" s="197"/>
      <c r="AE27" s="333">
        <v>88.500000000000028</v>
      </c>
      <c r="AF27" s="200">
        <f t="shared" si="5"/>
        <v>-4.8387096774193505E-2</v>
      </c>
    </row>
    <row r="28" spans="2:32" x14ac:dyDescent="0.3">
      <c r="B28" s="331">
        <v>39619.770833333336</v>
      </c>
      <c r="C28" s="332">
        <v>289275700</v>
      </c>
      <c r="D28" s="333">
        <v>131.58000183105469</v>
      </c>
      <c r="E28" s="333">
        <v>0.66900000000000004</v>
      </c>
      <c r="F28" s="333">
        <v>132.89182328773623</v>
      </c>
      <c r="G28" s="200">
        <f t="shared" si="0"/>
        <v>-2.8652164820482051E-2</v>
      </c>
      <c r="H28" s="332">
        <v>10087670</v>
      </c>
      <c r="I28" s="333">
        <v>18.177234649658203</v>
      </c>
      <c r="J28" s="197"/>
      <c r="K28" s="333">
        <v>18.709608631907258</v>
      </c>
      <c r="L28" s="200">
        <f t="shared" si="1"/>
        <v>-7.1067968508677248E-2</v>
      </c>
      <c r="M28" s="332">
        <v>3354434</v>
      </c>
      <c r="N28" s="333">
        <v>78.624870300292969</v>
      </c>
      <c r="O28" s="197"/>
      <c r="P28" s="333">
        <v>81.15867962025817</v>
      </c>
      <c r="Q28" s="200">
        <f t="shared" si="2"/>
        <v>-5.3935101288566378E-2</v>
      </c>
      <c r="R28" s="332">
        <v>2407900</v>
      </c>
      <c r="S28" s="333">
        <v>63.919998168945313</v>
      </c>
      <c r="T28" s="197"/>
      <c r="U28" s="333">
        <v>64.803129328011408</v>
      </c>
      <c r="V28" s="200">
        <f t="shared" si="3"/>
        <v>-7.8564283722840855E-2</v>
      </c>
      <c r="W28" s="332">
        <v>209192</v>
      </c>
      <c r="X28" s="333">
        <v>86.205467224121094</v>
      </c>
      <c r="Y28" s="197"/>
      <c r="Z28" s="333">
        <v>87.224629389529525</v>
      </c>
      <c r="AA28" s="200">
        <f t="shared" si="4"/>
        <v>-2.5948252631049162E-2</v>
      </c>
      <c r="AB28" s="332">
        <v>800</v>
      </c>
      <c r="AC28" s="333">
        <v>82.199996948242188</v>
      </c>
      <c r="AD28" s="197"/>
      <c r="AE28" s="333">
        <v>82.199996948242216</v>
      </c>
      <c r="AF28" s="200">
        <f t="shared" si="5"/>
        <v>-7.1186475161105212E-2</v>
      </c>
    </row>
    <row r="29" spans="2:32" x14ac:dyDescent="0.3">
      <c r="B29" s="331">
        <v>39626.770833333336</v>
      </c>
      <c r="C29" s="332">
        <v>303423400</v>
      </c>
      <c r="D29" s="333">
        <v>127.52999877929688</v>
      </c>
      <c r="E29" s="197"/>
      <c r="F29" s="333">
        <v>128.8014426646987</v>
      </c>
      <c r="G29" s="200">
        <f t="shared" si="0"/>
        <v>-3.0779776526815184E-2</v>
      </c>
      <c r="H29" s="332">
        <v>12905211</v>
      </c>
      <c r="I29" s="333">
        <v>18.686378479003906</v>
      </c>
      <c r="J29" s="197"/>
      <c r="K29" s="333">
        <v>19.233664241465437</v>
      </c>
      <c r="L29" s="200">
        <f t="shared" si="1"/>
        <v>2.8009971767365416E-2</v>
      </c>
      <c r="M29" s="332">
        <v>2139222</v>
      </c>
      <c r="N29" s="333">
        <v>76.703849792480469</v>
      </c>
      <c r="O29" s="197"/>
      <c r="P29" s="333">
        <v>79.175751224420551</v>
      </c>
      <c r="Q29" s="200">
        <f t="shared" si="2"/>
        <v>-2.443273356732456E-2</v>
      </c>
      <c r="R29" s="332">
        <v>2496600</v>
      </c>
      <c r="S29" s="333">
        <v>60.520000457763672</v>
      </c>
      <c r="T29" s="197"/>
      <c r="U29" s="333">
        <v>61.356156585454414</v>
      </c>
      <c r="V29" s="200">
        <f t="shared" si="3"/>
        <v>-5.3191455077880478E-2</v>
      </c>
      <c r="W29" s="332">
        <v>75301</v>
      </c>
      <c r="X29" s="333">
        <v>84.342460632324219</v>
      </c>
      <c r="Y29" s="197"/>
      <c r="Z29" s="333">
        <v>85.339597444893613</v>
      </c>
      <c r="AA29" s="200">
        <f t="shared" si="4"/>
        <v>-2.1611234783442845E-2</v>
      </c>
      <c r="AB29" s="332">
        <v>1400</v>
      </c>
      <c r="AC29" s="333">
        <v>81.5</v>
      </c>
      <c r="AD29" s="197"/>
      <c r="AE29" s="333">
        <v>81.500000000000028</v>
      </c>
      <c r="AF29" s="200">
        <f t="shared" si="5"/>
        <v>-8.5157782753075839E-3</v>
      </c>
    </row>
    <row r="30" spans="2:32" x14ac:dyDescent="0.3">
      <c r="B30" s="331">
        <v>39632.770833333336</v>
      </c>
      <c r="C30" s="332">
        <v>239352500</v>
      </c>
      <c r="D30" s="333">
        <v>126.30999755859375</v>
      </c>
      <c r="E30" s="197"/>
      <c r="F30" s="333">
        <v>127.56927832075324</v>
      </c>
      <c r="G30" s="200">
        <f t="shared" si="0"/>
        <v>-9.5663862023119828E-3</v>
      </c>
      <c r="H30" s="332">
        <v>4809336</v>
      </c>
      <c r="I30" s="333">
        <v>17.728883743286133</v>
      </c>
      <c r="J30" s="197"/>
      <c r="K30" s="333">
        <v>18.248126445553901</v>
      </c>
      <c r="L30" s="200">
        <f t="shared" si="1"/>
        <v>-5.1240251651416324E-2</v>
      </c>
      <c r="M30" s="332">
        <v>2038803</v>
      </c>
      <c r="N30" s="333">
        <v>70.666336059570313</v>
      </c>
      <c r="O30" s="197"/>
      <c r="P30" s="333">
        <v>72.943669176072319</v>
      </c>
      <c r="Q30" s="200">
        <f t="shared" si="2"/>
        <v>-7.8712004016023074E-2</v>
      </c>
      <c r="R30" s="332">
        <v>913100</v>
      </c>
      <c r="S30" s="333">
        <v>56.490001678466797</v>
      </c>
      <c r="T30" s="197"/>
      <c r="U30" s="333">
        <v>57.270478557175267</v>
      </c>
      <c r="V30" s="200">
        <f t="shared" si="3"/>
        <v>-6.6589536497267066E-2</v>
      </c>
      <c r="W30" s="332">
        <v>78317</v>
      </c>
      <c r="X30" s="333">
        <v>78.024848937988281</v>
      </c>
      <c r="Y30" s="197"/>
      <c r="Z30" s="333">
        <v>78.947295930736047</v>
      </c>
      <c r="AA30" s="200">
        <f t="shared" si="4"/>
        <v>-7.4904284828449907E-2</v>
      </c>
      <c r="AB30" s="332">
        <v>0</v>
      </c>
      <c r="AC30" s="333">
        <v>78</v>
      </c>
      <c r="AD30" s="197"/>
      <c r="AE30" s="333">
        <v>78.000000000000028</v>
      </c>
      <c r="AF30" s="200">
        <f t="shared" si="5"/>
        <v>-4.2944785276073594E-2</v>
      </c>
    </row>
    <row r="31" spans="2:32" x14ac:dyDescent="0.3">
      <c r="B31" s="331">
        <v>39640.770833333336</v>
      </c>
      <c r="C31" s="332">
        <v>481124600</v>
      </c>
      <c r="D31" s="333">
        <v>123.83999633789063</v>
      </c>
      <c r="E31" s="197"/>
      <c r="F31" s="333">
        <v>125.07465177284037</v>
      </c>
      <c r="G31" s="200">
        <f t="shared" si="0"/>
        <v>-1.9555072982701316E-2</v>
      </c>
      <c r="H31" s="332">
        <v>11571515</v>
      </c>
      <c r="I31" s="333">
        <v>16.892972946166992</v>
      </c>
      <c r="J31" s="197"/>
      <c r="K31" s="333">
        <v>17.387733532841029</v>
      </c>
      <c r="L31" s="200">
        <f t="shared" si="1"/>
        <v>-4.7149657543199663E-2</v>
      </c>
      <c r="M31" s="332">
        <v>3643963</v>
      </c>
      <c r="N31" s="333">
        <v>66.412635803222656</v>
      </c>
      <c r="O31" s="197"/>
      <c r="P31" s="333">
        <v>68.552886781303229</v>
      </c>
      <c r="Q31" s="200">
        <f t="shared" si="2"/>
        <v>-6.0194153164554454E-2</v>
      </c>
      <c r="R31" s="332">
        <v>2804200</v>
      </c>
      <c r="S31" s="333">
        <v>50.340000152587891</v>
      </c>
      <c r="T31" s="197"/>
      <c r="U31" s="333">
        <v>51.035507410967952</v>
      </c>
      <c r="V31" s="200">
        <f t="shared" si="3"/>
        <v>-0.10886885011765191</v>
      </c>
      <c r="W31" s="332">
        <v>245959</v>
      </c>
      <c r="X31" s="333">
        <v>71.707229614257813</v>
      </c>
      <c r="Y31" s="197"/>
      <c r="Z31" s="333">
        <v>72.554986696985608</v>
      </c>
      <c r="AA31" s="200">
        <f t="shared" si="4"/>
        <v>-8.096932464107065E-2</v>
      </c>
      <c r="AB31" s="332">
        <v>500</v>
      </c>
      <c r="AC31" s="333">
        <v>71</v>
      </c>
      <c r="AD31" s="197"/>
      <c r="AE31" s="333">
        <v>71.000000000000028</v>
      </c>
      <c r="AF31" s="200">
        <f t="shared" si="5"/>
        <v>-8.9743589743589758E-2</v>
      </c>
    </row>
    <row r="32" spans="2:32" x14ac:dyDescent="0.3">
      <c r="B32" s="331">
        <v>39647.770833333336</v>
      </c>
      <c r="C32" s="332">
        <v>267030100</v>
      </c>
      <c r="D32" s="333">
        <v>125.98000335693359</v>
      </c>
      <c r="E32" s="197"/>
      <c r="F32" s="333">
        <v>127.23599415505375</v>
      </c>
      <c r="G32" s="200">
        <f t="shared" si="0"/>
        <v>1.7280418946428844E-2</v>
      </c>
      <c r="H32" s="332">
        <v>6661773</v>
      </c>
      <c r="I32" s="333">
        <v>17.174142837524414</v>
      </c>
      <c r="J32" s="197"/>
      <c r="K32" s="333">
        <v>17.677138314578396</v>
      </c>
      <c r="L32" s="200">
        <f t="shared" si="1"/>
        <v>1.6644192366460864E-2</v>
      </c>
      <c r="M32" s="332">
        <v>2298095</v>
      </c>
      <c r="N32" s="333">
        <v>69.614341735839844</v>
      </c>
      <c r="O32" s="197"/>
      <c r="P32" s="333">
        <v>71.857772691208382</v>
      </c>
      <c r="Q32" s="200">
        <f t="shared" si="2"/>
        <v>4.8209288697766528E-2</v>
      </c>
      <c r="R32" s="332">
        <v>1750500</v>
      </c>
      <c r="S32" s="333">
        <v>62.930000305175781</v>
      </c>
      <c r="T32" s="197"/>
      <c r="U32" s="333">
        <v>63.799453460706999</v>
      </c>
      <c r="V32" s="200">
        <f t="shared" si="3"/>
        <v>0.25009932686582781</v>
      </c>
      <c r="W32" s="332">
        <v>196425</v>
      </c>
      <c r="X32" s="333">
        <v>73.090652465820313</v>
      </c>
      <c r="Y32" s="197"/>
      <c r="Z32" s="333">
        <v>73.954765033582561</v>
      </c>
      <c r="AA32" s="200">
        <f t="shared" si="4"/>
        <v>1.9292655134000691E-2</v>
      </c>
      <c r="AB32" s="332">
        <v>0</v>
      </c>
      <c r="AC32" s="333">
        <v>71</v>
      </c>
      <c r="AD32" s="197"/>
      <c r="AE32" s="333">
        <v>71.000000000000028</v>
      </c>
      <c r="AF32" s="200">
        <f t="shared" si="5"/>
        <v>0</v>
      </c>
    </row>
    <row r="33" spans="2:32" x14ac:dyDescent="0.3">
      <c r="B33" s="331">
        <v>39654.770833333336</v>
      </c>
      <c r="C33" s="332">
        <v>219131000</v>
      </c>
      <c r="D33" s="333">
        <v>125.48000335693359</v>
      </c>
      <c r="E33" s="197"/>
      <c r="F33" s="333">
        <v>126.73100927346678</v>
      </c>
      <c r="G33" s="200">
        <f t="shared" si="0"/>
        <v>-3.968883844076232E-3</v>
      </c>
      <c r="H33" s="332">
        <v>5531914</v>
      </c>
      <c r="I33" s="333">
        <v>16.832180023193359</v>
      </c>
      <c r="J33" s="197"/>
      <c r="K33" s="333">
        <v>17.325160109636208</v>
      </c>
      <c r="L33" s="200">
        <f t="shared" si="1"/>
        <v>-1.9911492385162322E-2</v>
      </c>
      <c r="M33" s="332">
        <v>1779041</v>
      </c>
      <c r="N33" s="333">
        <v>69.980255126953125</v>
      </c>
      <c r="O33" s="197"/>
      <c r="P33" s="333">
        <v>72.235478213197837</v>
      </c>
      <c r="Q33" s="200">
        <f t="shared" si="2"/>
        <v>5.2562932003550333E-3</v>
      </c>
      <c r="R33" s="332">
        <v>1579300</v>
      </c>
      <c r="S33" s="333">
        <v>61.639999389648438</v>
      </c>
      <c r="T33" s="197"/>
      <c r="U33" s="333">
        <v>62.491629640981266</v>
      </c>
      <c r="V33" s="200">
        <f t="shared" si="3"/>
        <v>-2.0498981555244877E-2</v>
      </c>
      <c r="W33" s="332">
        <v>99710</v>
      </c>
      <c r="X33" s="333">
        <v>70.176246643066406</v>
      </c>
      <c r="Y33" s="197"/>
      <c r="Z33" s="333">
        <v>71.005903714618952</v>
      </c>
      <c r="AA33" s="200">
        <f t="shared" si="4"/>
        <v>-3.9873851504017899E-2</v>
      </c>
      <c r="AB33" s="332">
        <v>0</v>
      </c>
      <c r="AC33" s="333">
        <v>73.5</v>
      </c>
      <c r="AD33" s="197"/>
      <c r="AE33" s="333">
        <v>73.500000000000028</v>
      </c>
      <c r="AF33" s="200">
        <f t="shared" si="5"/>
        <v>3.5211267605633756E-2</v>
      </c>
    </row>
    <row r="34" spans="2:32" x14ac:dyDescent="0.3">
      <c r="B34" s="331">
        <v>39661.770833333336</v>
      </c>
      <c r="C34" s="332">
        <v>248690900</v>
      </c>
      <c r="D34" s="333">
        <v>126.16000366210938</v>
      </c>
      <c r="E34" s="197"/>
      <c r="F34" s="333">
        <v>127.41778902064335</v>
      </c>
      <c r="G34" s="200">
        <f t="shared" si="0"/>
        <v>5.4191925963014143E-3</v>
      </c>
      <c r="H34" s="332">
        <v>16933937</v>
      </c>
      <c r="I34" s="333">
        <v>15.456727981567383</v>
      </c>
      <c r="J34" s="197"/>
      <c r="K34" s="333">
        <v>15.909423894157264</v>
      </c>
      <c r="L34" s="200">
        <f t="shared" si="1"/>
        <v>-8.1715620895850494E-2</v>
      </c>
      <c r="M34" s="332">
        <v>1867630</v>
      </c>
      <c r="N34" s="333">
        <v>68.379402160644531</v>
      </c>
      <c r="O34" s="197"/>
      <c r="P34" s="333">
        <v>70.58303525824526</v>
      </c>
      <c r="Q34" s="200">
        <f t="shared" si="2"/>
        <v>-2.28757806527633E-2</v>
      </c>
      <c r="R34" s="332">
        <v>1420400</v>
      </c>
      <c r="S34" s="333">
        <v>64.120002746582031</v>
      </c>
      <c r="T34" s="197"/>
      <c r="U34" s="333">
        <v>65.005897207893526</v>
      </c>
      <c r="V34" s="200">
        <f t="shared" si="3"/>
        <v>4.0233669394715843E-2</v>
      </c>
      <c r="W34" s="332">
        <v>122420</v>
      </c>
      <c r="X34" s="333">
        <v>67.6953125</v>
      </c>
      <c r="Y34" s="197"/>
      <c r="Z34" s="333">
        <v>68.495638784365809</v>
      </c>
      <c r="AA34" s="200">
        <f t="shared" si="4"/>
        <v>-3.5352904461890877E-2</v>
      </c>
      <c r="AB34" s="332">
        <v>500</v>
      </c>
      <c r="AC34" s="333">
        <v>71.5</v>
      </c>
      <c r="AD34" s="197"/>
      <c r="AE34" s="333">
        <v>71.500000000000028</v>
      </c>
      <c r="AF34" s="200">
        <f t="shared" si="5"/>
        <v>-2.7210884353741527E-2</v>
      </c>
    </row>
    <row r="35" spans="2:32" x14ac:dyDescent="0.3">
      <c r="B35" s="331">
        <v>39668.770833333336</v>
      </c>
      <c r="C35" s="332">
        <v>260811700</v>
      </c>
      <c r="D35" s="333">
        <v>129.3699951171875</v>
      </c>
      <c r="E35" s="197"/>
      <c r="F35" s="333">
        <v>130.65978333031899</v>
      </c>
      <c r="G35" s="200">
        <f t="shared" si="0"/>
        <v>2.5443812316900072E-2</v>
      </c>
      <c r="H35" s="332">
        <v>10378491</v>
      </c>
      <c r="I35" s="333">
        <v>16.209047317504883</v>
      </c>
      <c r="J35" s="197"/>
      <c r="K35" s="333">
        <v>16.683777122956656</v>
      </c>
      <c r="L35" s="200">
        <f t="shared" si="1"/>
        <v>4.8672612782903579E-2</v>
      </c>
      <c r="M35" s="332">
        <v>2080326</v>
      </c>
      <c r="N35" s="333">
        <v>71.215202331542969</v>
      </c>
      <c r="O35" s="197"/>
      <c r="P35" s="333">
        <v>73.510223521424663</v>
      </c>
      <c r="Q35" s="200">
        <f t="shared" si="2"/>
        <v>4.1471555487371248E-2</v>
      </c>
      <c r="R35" s="332">
        <v>1419200</v>
      </c>
      <c r="S35" s="333">
        <v>68.330001831054688</v>
      </c>
      <c r="T35" s="197"/>
      <c r="U35" s="333">
        <v>69.274062460664723</v>
      </c>
      <c r="V35" s="200">
        <f t="shared" si="3"/>
        <v>6.5658123894841491E-2</v>
      </c>
      <c r="W35" s="332">
        <v>218511</v>
      </c>
      <c r="X35" s="333">
        <v>71.430549621582031</v>
      </c>
      <c r="Y35" s="197"/>
      <c r="Z35" s="333">
        <v>72.27503566142191</v>
      </c>
      <c r="AA35" s="200">
        <f t="shared" si="4"/>
        <v>5.5177190024523926E-2</v>
      </c>
      <c r="AB35" s="332">
        <v>0</v>
      </c>
      <c r="AC35" s="333">
        <v>69.349998474121094</v>
      </c>
      <c r="AD35" s="197"/>
      <c r="AE35" s="333">
        <v>69.349998474121122</v>
      </c>
      <c r="AF35" s="200">
        <f t="shared" si="5"/>
        <v>-3.0069951410893747E-2</v>
      </c>
    </row>
    <row r="36" spans="2:32" x14ac:dyDescent="0.3">
      <c r="B36" s="331">
        <v>39675.770833333336</v>
      </c>
      <c r="C36" s="332">
        <v>181000800</v>
      </c>
      <c r="D36" s="333">
        <v>130.16999816894531</v>
      </c>
      <c r="E36" s="197"/>
      <c r="F36" s="333">
        <v>131.46776222304123</v>
      </c>
      <c r="G36" s="200">
        <f t="shared" si="0"/>
        <v>6.1838376899769898E-3</v>
      </c>
      <c r="H36" s="332">
        <v>6101318</v>
      </c>
      <c r="I36" s="333">
        <v>16.520612716674805</v>
      </c>
      <c r="J36" s="197"/>
      <c r="K36" s="333">
        <v>17.004467634690947</v>
      </c>
      <c r="L36" s="200">
        <f t="shared" si="1"/>
        <v>1.9221697183488873E-2</v>
      </c>
      <c r="M36" s="332">
        <v>1341952</v>
      </c>
      <c r="N36" s="333">
        <v>72.084236145019531</v>
      </c>
      <c r="O36" s="197"/>
      <c r="P36" s="333">
        <v>74.407263307662021</v>
      </c>
      <c r="Q36" s="200">
        <f t="shared" si="2"/>
        <v>1.2202925569610334E-2</v>
      </c>
      <c r="R36" s="332">
        <v>2910700</v>
      </c>
      <c r="S36" s="333">
        <v>74.699996948242188</v>
      </c>
      <c r="T36" s="197"/>
      <c r="U36" s="333">
        <v>75.732066672536774</v>
      </c>
      <c r="V36" s="200">
        <f t="shared" si="3"/>
        <v>9.3223985752806771E-2</v>
      </c>
      <c r="W36" s="332">
        <v>55943</v>
      </c>
      <c r="X36" s="333">
        <v>70.222358703613281</v>
      </c>
      <c r="Y36" s="197"/>
      <c r="Z36" s="333">
        <v>71.052560933947404</v>
      </c>
      <c r="AA36" s="200">
        <f t="shared" si="4"/>
        <v>-1.6914204417709078E-2</v>
      </c>
      <c r="AB36" s="332">
        <v>0</v>
      </c>
      <c r="AC36" s="333">
        <v>72</v>
      </c>
      <c r="AD36" s="197"/>
      <c r="AE36" s="333">
        <v>72.000000000000028</v>
      </c>
      <c r="AF36" s="200">
        <f t="shared" si="5"/>
        <v>3.8211991120198574E-2</v>
      </c>
    </row>
    <row r="37" spans="2:32" x14ac:dyDescent="0.3">
      <c r="B37" s="331">
        <v>39682.770833333336</v>
      </c>
      <c r="C37" s="332">
        <v>167715300</v>
      </c>
      <c r="D37" s="333">
        <v>129.64999389648438</v>
      </c>
      <c r="E37" s="197"/>
      <c r="F37" s="333">
        <v>130.94257363113445</v>
      </c>
      <c r="G37" s="200">
        <f t="shared" si="0"/>
        <v>-3.9948089404289178E-3</v>
      </c>
      <c r="H37" s="332">
        <v>4961458</v>
      </c>
      <c r="I37" s="333">
        <v>15.66950511932373</v>
      </c>
      <c r="J37" s="197"/>
      <c r="K37" s="333">
        <v>16.128432838585098</v>
      </c>
      <c r="L37" s="200">
        <f t="shared" si="1"/>
        <v>-5.1517919580066351E-2</v>
      </c>
      <c r="M37" s="332">
        <v>1371438</v>
      </c>
      <c r="N37" s="333">
        <v>70.574859619140625</v>
      </c>
      <c r="O37" s="197"/>
      <c r="P37" s="333">
        <v>72.849244764390889</v>
      </c>
      <c r="Q37" s="200">
        <f t="shared" si="2"/>
        <v>-2.0939065274165225E-2</v>
      </c>
      <c r="R37" s="332">
        <v>809900</v>
      </c>
      <c r="S37" s="333">
        <v>74.790000915527344</v>
      </c>
      <c r="T37" s="197"/>
      <c r="U37" s="333">
        <v>75.823314152184665</v>
      </c>
      <c r="V37" s="200">
        <f t="shared" si="3"/>
        <v>1.2048724359055019E-3</v>
      </c>
      <c r="W37" s="332">
        <v>87756</v>
      </c>
      <c r="X37" s="333">
        <v>70.019462585449219</v>
      </c>
      <c r="Y37" s="197"/>
      <c r="Z37" s="333">
        <v>70.847266081065015</v>
      </c>
      <c r="AA37" s="200">
        <f t="shared" si="4"/>
        <v>-2.8893378392544911E-3</v>
      </c>
      <c r="AB37" s="332">
        <v>1800</v>
      </c>
      <c r="AC37" s="333">
        <v>70.099998474121094</v>
      </c>
      <c r="AD37" s="197"/>
      <c r="AE37" s="333">
        <v>70.099998474121122</v>
      </c>
      <c r="AF37" s="200">
        <f t="shared" si="5"/>
        <v>-2.6388910081651451E-2</v>
      </c>
    </row>
    <row r="38" spans="2:32" x14ac:dyDescent="0.3">
      <c r="B38" s="331">
        <v>39689.770833333336</v>
      </c>
      <c r="C38" s="332">
        <v>189195800</v>
      </c>
      <c r="D38" s="333">
        <v>128.78999328613281</v>
      </c>
      <c r="E38" s="197"/>
      <c r="F38" s="333">
        <v>130.07399901836823</v>
      </c>
      <c r="G38" s="200">
        <f t="shared" si="0"/>
        <v>-6.6332483674331755E-3</v>
      </c>
      <c r="H38" s="332">
        <v>3227323</v>
      </c>
      <c r="I38" s="333">
        <v>15.23635196685791</v>
      </c>
      <c r="J38" s="197"/>
      <c r="K38" s="333">
        <v>15.682593517230199</v>
      </c>
      <c r="L38" s="200">
        <f t="shared" si="1"/>
        <v>-2.7643065251094279E-2</v>
      </c>
      <c r="M38" s="332">
        <v>1699379</v>
      </c>
      <c r="N38" s="333">
        <v>72.587364196777344</v>
      </c>
      <c r="O38" s="197"/>
      <c r="P38" s="333">
        <v>74.926605447173642</v>
      </c>
      <c r="Q38" s="200">
        <f t="shared" si="2"/>
        <v>2.851588495531221E-2</v>
      </c>
      <c r="R38" s="332">
        <v>612500</v>
      </c>
      <c r="S38" s="333">
        <v>74.839996337890625</v>
      </c>
      <c r="T38" s="333">
        <v>0.49</v>
      </c>
      <c r="U38" s="333">
        <v>76.370770256602128</v>
      </c>
      <c r="V38" s="200">
        <f t="shared" si="3"/>
        <v>7.2201553115796013E-3</v>
      </c>
      <c r="W38" s="332">
        <v>87451</v>
      </c>
      <c r="X38" s="333">
        <v>71.015518188476563</v>
      </c>
      <c r="Y38" s="197"/>
      <c r="Z38" s="333">
        <v>71.855097528687097</v>
      </c>
      <c r="AA38" s="200">
        <f t="shared" si="4"/>
        <v>1.4225410567980212E-2</v>
      </c>
      <c r="AB38" s="332">
        <v>0</v>
      </c>
      <c r="AC38" s="333">
        <v>71.400001525878906</v>
      </c>
      <c r="AD38" s="197"/>
      <c r="AE38" s="333">
        <v>71.400001525878935</v>
      </c>
      <c r="AF38" s="200">
        <f t="shared" si="5"/>
        <v>1.8544979744011592E-2</v>
      </c>
    </row>
    <row r="39" spans="2:32" x14ac:dyDescent="0.3">
      <c r="B39" s="331">
        <v>39696.770833333336</v>
      </c>
      <c r="C39" s="332">
        <v>289503400</v>
      </c>
      <c r="D39" s="333">
        <v>124.41999816894531</v>
      </c>
      <c r="E39" s="197"/>
      <c r="F39" s="333">
        <v>125.6604360847911</v>
      </c>
      <c r="G39" s="200">
        <f t="shared" si="0"/>
        <v>-3.3931169694827901E-2</v>
      </c>
      <c r="H39" s="332">
        <v>7110901</v>
      </c>
      <c r="I39" s="333">
        <v>15.426332473754883</v>
      </c>
      <c r="J39" s="197"/>
      <c r="K39" s="333">
        <v>15.878138164160342</v>
      </c>
      <c r="L39" s="200">
        <f t="shared" si="1"/>
        <v>1.2468897234076959E-2</v>
      </c>
      <c r="M39" s="332">
        <v>2907226</v>
      </c>
      <c r="N39" s="333">
        <v>71.535369873046875</v>
      </c>
      <c r="O39" s="197"/>
      <c r="P39" s="333">
        <v>73.840708962309691</v>
      </c>
      <c r="Q39" s="200">
        <f t="shared" si="2"/>
        <v>-1.4492802368172852E-2</v>
      </c>
      <c r="R39" s="332">
        <v>891900</v>
      </c>
      <c r="S39" s="333">
        <v>75.209999084472656</v>
      </c>
      <c r="T39" s="197"/>
      <c r="U39" s="333">
        <v>76.748341022719615</v>
      </c>
      <c r="V39" s="200">
        <f t="shared" si="3"/>
        <v>4.9439172192302649E-3</v>
      </c>
      <c r="W39" s="332">
        <v>139172</v>
      </c>
      <c r="X39" s="333">
        <v>68.147232055664063</v>
      </c>
      <c r="Y39" s="197"/>
      <c r="Z39" s="333">
        <v>68.952901148644827</v>
      </c>
      <c r="AA39" s="200">
        <f t="shared" si="4"/>
        <v>-4.0389568448969237E-2</v>
      </c>
      <c r="AB39" s="332">
        <v>0</v>
      </c>
      <c r="AC39" s="333">
        <v>73.699996948242188</v>
      </c>
      <c r="AD39" s="197"/>
      <c r="AE39" s="333">
        <v>73.699996948242216</v>
      </c>
      <c r="AF39" s="200">
        <f t="shared" si="5"/>
        <v>3.2212820353087146E-2</v>
      </c>
    </row>
    <row r="40" spans="2:32" x14ac:dyDescent="0.3">
      <c r="B40" s="331">
        <v>39703.770833333336</v>
      </c>
      <c r="C40" s="332">
        <v>297851200</v>
      </c>
      <c r="D40" s="333">
        <v>126.08999633789063</v>
      </c>
      <c r="E40" s="197"/>
      <c r="F40" s="333">
        <v>127.34708373998171</v>
      </c>
      <c r="G40" s="200">
        <f t="shared" si="0"/>
        <v>1.342226485711473E-2</v>
      </c>
      <c r="H40" s="332">
        <v>24617925</v>
      </c>
      <c r="I40" s="333">
        <v>14.21046257019043</v>
      </c>
      <c r="J40" s="197"/>
      <c r="K40" s="333">
        <v>14.626657920798159</v>
      </c>
      <c r="L40" s="200">
        <f t="shared" si="1"/>
        <v>-7.8817820478913947E-2</v>
      </c>
      <c r="M40" s="332">
        <v>1522002</v>
      </c>
      <c r="N40" s="333">
        <v>74.462646484375</v>
      </c>
      <c r="O40" s="197"/>
      <c r="P40" s="333">
        <v>76.862321637170524</v>
      </c>
      <c r="Q40" s="200">
        <f t="shared" si="2"/>
        <v>4.0920688835790475E-2</v>
      </c>
      <c r="R40" s="332">
        <v>1250000</v>
      </c>
      <c r="S40" s="333">
        <v>75.160003662109375</v>
      </c>
      <c r="T40" s="197"/>
      <c r="U40" s="333">
        <v>76.697322996236153</v>
      </c>
      <c r="V40" s="200">
        <f t="shared" si="3"/>
        <v>-6.6474435542984711E-4</v>
      </c>
      <c r="W40" s="332">
        <v>249124</v>
      </c>
      <c r="X40" s="333">
        <v>68.811271667480469</v>
      </c>
      <c r="Y40" s="197"/>
      <c r="Z40" s="333">
        <v>69.62479135359051</v>
      </c>
      <c r="AA40" s="200">
        <f t="shared" si="4"/>
        <v>9.7441905090731584E-3</v>
      </c>
      <c r="AB40" s="332">
        <v>0</v>
      </c>
      <c r="AC40" s="333">
        <v>72.430000305175781</v>
      </c>
      <c r="AD40" s="197"/>
      <c r="AE40" s="333">
        <v>72.43000030517581</v>
      </c>
      <c r="AF40" s="200">
        <f t="shared" si="5"/>
        <v>-1.7231976874548471E-2</v>
      </c>
    </row>
    <row r="41" spans="2:32" x14ac:dyDescent="0.3">
      <c r="B41" s="331">
        <v>39710.770833333336</v>
      </c>
      <c r="C41" s="332">
        <v>501087800</v>
      </c>
      <c r="D41" s="333">
        <v>124.12000274658203</v>
      </c>
      <c r="E41" s="333">
        <v>0.69099999999999995</v>
      </c>
      <c r="F41" s="333">
        <v>126.05533888546681</v>
      </c>
      <c r="G41" s="200">
        <f t="shared" si="0"/>
        <v>-1.0143497727457929E-2</v>
      </c>
      <c r="H41" s="332">
        <v>17997341</v>
      </c>
      <c r="I41" s="333">
        <v>14.96278190612793</v>
      </c>
      <c r="J41" s="197"/>
      <c r="K41" s="333">
        <v>15.401011149597549</v>
      </c>
      <c r="L41" s="200">
        <f t="shared" si="1"/>
        <v>5.294122779054744E-2</v>
      </c>
      <c r="M41" s="332">
        <v>5169584</v>
      </c>
      <c r="N41" s="333">
        <v>100.62519836425781</v>
      </c>
      <c r="O41" s="197"/>
      <c r="P41" s="333">
        <v>103.86800263808253</v>
      </c>
      <c r="Q41" s="200">
        <f t="shared" si="2"/>
        <v>0.35135135688969465</v>
      </c>
      <c r="R41" s="332">
        <v>3924400</v>
      </c>
      <c r="S41" s="333">
        <v>83</v>
      </c>
      <c r="T41" s="197"/>
      <c r="U41" s="333">
        <v>84.697678266570506</v>
      </c>
      <c r="V41" s="200">
        <f t="shared" si="3"/>
        <v>0.10431074981231037</v>
      </c>
      <c r="W41" s="332">
        <v>567980</v>
      </c>
      <c r="X41" s="333">
        <v>74.234275817871094</v>
      </c>
      <c r="Y41" s="197"/>
      <c r="Z41" s="333">
        <v>75.111908846567175</v>
      </c>
      <c r="AA41" s="200">
        <f t="shared" si="4"/>
        <v>7.8809823143458413E-2</v>
      </c>
      <c r="AB41" s="332">
        <v>0</v>
      </c>
      <c r="AC41" s="333">
        <v>81.550003051757813</v>
      </c>
      <c r="AD41" s="197"/>
      <c r="AE41" s="333">
        <v>81.550003051757841</v>
      </c>
      <c r="AF41" s="200">
        <f t="shared" si="5"/>
        <v>0.12591471362910278</v>
      </c>
    </row>
    <row r="42" spans="2:32" x14ac:dyDescent="0.3">
      <c r="B42" s="331">
        <v>39717.770833333336</v>
      </c>
      <c r="C42" s="332">
        <v>285917400</v>
      </c>
      <c r="D42" s="333">
        <v>120.84999847412109</v>
      </c>
      <c r="E42" s="197"/>
      <c r="F42" s="333">
        <v>122.7343472032189</v>
      </c>
      <c r="G42" s="200">
        <f t="shared" si="0"/>
        <v>-2.6345505962784621E-2</v>
      </c>
      <c r="H42" s="332">
        <v>5152926</v>
      </c>
      <c r="I42" s="333">
        <v>13.708916664123535</v>
      </c>
      <c r="J42" s="197"/>
      <c r="K42" s="333">
        <v>14.110422762133727</v>
      </c>
      <c r="L42" s="200">
        <f t="shared" si="1"/>
        <v>-8.3798938584467408E-2</v>
      </c>
      <c r="M42" s="332">
        <v>1096972</v>
      </c>
      <c r="N42" s="333">
        <v>76.749588012695313</v>
      </c>
      <c r="O42" s="197"/>
      <c r="P42" s="333">
        <v>79.222963430261274</v>
      </c>
      <c r="Q42" s="200">
        <f t="shared" si="2"/>
        <v>-0.23727267861012391</v>
      </c>
      <c r="R42" s="332">
        <v>1318600</v>
      </c>
      <c r="S42" s="333">
        <v>78.620002746582031</v>
      </c>
      <c r="T42" s="197"/>
      <c r="U42" s="333">
        <v>80.228092746348125</v>
      </c>
      <c r="V42" s="200">
        <f t="shared" si="3"/>
        <v>-5.2771051245999678E-2</v>
      </c>
      <c r="W42" s="332">
        <v>137228</v>
      </c>
      <c r="X42" s="333">
        <v>70.600494384765625</v>
      </c>
      <c r="Y42" s="197"/>
      <c r="Z42" s="333">
        <v>71.435167115545141</v>
      </c>
      <c r="AA42" s="200">
        <f t="shared" si="4"/>
        <v>-4.8950183632432975E-2</v>
      </c>
      <c r="AB42" s="332">
        <v>0</v>
      </c>
      <c r="AC42" s="333">
        <v>81.550003051757813</v>
      </c>
      <c r="AD42" s="197"/>
      <c r="AE42" s="333">
        <v>81.550003051757841</v>
      </c>
      <c r="AF42" s="200">
        <f t="shared" si="5"/>
        <v>0</v>
      </c>
    </row>
    <row r="43" spans="2:32" x14ac:dyDescent="0.3">
      <c r="B43" s="331">
        <v>39724.770833333336</v>
      </c>
      <c r="C43" s="332">
        <v>461798000</v>
      </c>
      <c r="D43" s="333">
        <v>110.33999633789063</v>
      </c>
      <c r="E43" s="197"/>
      <c r="F43" s="333">
        <v>112.06046828239367</v>
      </c>
      <c r="G43" s="200">
        <f t="shared" si="0"/>
        <v>-8.6967333627903098E-2</v>
      </c>
      <c r="H43" s="332">
        <v>10859727</v>
      </c>
      <c r="I43" s="333">
        <v>10.334881782531738</v>
      </c>
      <c r="J43" s="197"/>
      <c r="K43" s="333">
        <v>10.637569307707253</v>
      </c>
      <c r="L43" s="200">
        <f t="shared" si="1"/>
        <v>-0.24611973099389417</v>
      </c>
      <c r="M43" s="332">
        <v>1820797</v>
      </c>
      <c r="N43" s="333">
        <v>72.450141906738281</v>
      </c>
      <c r="O43" s="197"/>
      <c r="P43" s="333">
        <v>74.78496095438777</v>
      </c>
      <c r="Q43" s="200">
        <f t="shared" si="2"/>
        <v>-5.6019142477297112E-2</v>
      </c>
      <c r="R43" s="332">
        <v>1916500</v>
      </c>
      <c r="S43" s="333">
        <v>64.400001525878906</v>
      </c>
      <c r="T43" s="197"/>
      <c r="U43" s="333">
        <v>65.717236260307729</v>
      </c>
      <c r="V43" s="200">
        <f t="shared" si="3"/>
        <v>-0.18087001683959281</v>
      </c>
      <c r="W43" s="332">
        <v>450076</v>
      </c>
      <c r="X43" s="333">
        <v>67.556976318359375</v>
      </c>
      <c r="Y43" s="197"/>
      <c r="Z43" s="333">
        <v>68.355667126380396</v>
      </c>
      <c r="AA43" s="200">
        <f t="shared" si="4"/>
        <v>-4.3109019177959063E-2</v>
      </c>
      <c r="AB43" s="332">
        <v>0</v>
      </c>
      <c r="AC43" s="333">
        <v>71.75</v>
      </c>
      <c r="AD43" s="197"/>
      <c r="AE43" s="333">
        <v>71.750000000000028</v>
      </c>
      <c r="AF43" s="200">
        <f t="shared" si="5"/>
        <v>-0.12017170674460897</v>
      </c>
    </row>
    <row r="44" spans="2:32" x14ac:dyDescent="0.3">
      <c r="B44" s="331">
        <v>39731.770833333336</v>
      </c>
      <c r="C44" s="332">
        <v>871026300</v>
      </c>
      <c r="D44" s="333">
        <v>88.5</v>
      </c>
      <c r="E44" s="197"/>
      <c r="F44" s="333">
        <v>89.879932682091564</v>
      </c>
      <c r="G44" s="200">
        <f t="shared" si="0"/>
        <v>-0.19793363297757161</v>
      </c>
      <c r="H44" s="332">
        <v>50023699</v>
      </c>
      <c r="I44" s="333">
        <v>5.3954157829284668</v>
      </c>
      <c r="J44" s="197"/>
      <c r="K44" s="333">
        <v>5.5534364632799216</v>
      </c>
      <c r="L44" s="200">
        <f t="shared" si="1"/>
        <v>-0.47794121921666044</v>
      </c>
      <c r="M44" s="332">
        <v>4795722</v>
      </c>
      <c r="N44" s="333">
        <v>61.655807495117188</v>
      </c>
      <c r="O44" s="197"/>
      <c r="P44" s="333">
        <v>63.642762247022532</v>
      </c>
      <c r="Q44" s="200">
        <f t="shared" si="2"/>
        <v>-0.14898983117957365</v>
      </c>
      <c r="R44" s="332">
        <v>2072000</v>
      </c>
      <c r="S44" s="333">
        <v>54.5</v>
      </c>
      <c r="T44" s="197"/>
      <c r="U44" s="333">
        <v>55.614740548531238</v>
      </c>
      <c r="V44" s="200">
        <f t="shared" si="3"/>
        <v>-0.15372672812594002</v>
      </c>
      <c r="W44" s="332">
        <v>373731</v>
      </c>
      <c r="X44" s="333">
        <v>67.003608703613281</v>
      </c>
      <c r="Y44" s="197"/>
      <c r="Z44" s="333">
        <v>67.795757335660198</v>
      </c>
      <c r="AA44" s="200">
        <f t="shared" si="4"/>
        <v>-8.191124661032112E-3</v>
      </c>
      <c r="AB44" s="332">
        <v>1000</v>
      </c>
      <c r="AC44" s="333">
        <v>60.5</v>
      </c>
      <c r="AD44" s="197"/>
      <c r="AE44" s="333">
        <v>60.500000000000021</v>
      </c>
      <c r="AF44" s="200">
        <f t="shared" si="5"/>
        <v>-0.15679442508710806</v>
      </c>
    </row>
    <row r="45" spans="2:32" x14ac:dyDescent="0.3">
      <c r="B45" s="331">
        <v>39738.770833333336</v>
      </c>
      <c r="C45" s="332">
        <v>476649000</v>
      </c>
      <c r="D45" s="333">
        <v>93.209999084472656</v>
      </c>
      <c r="E45" s="197"/>
      <c r="F45" s="333">
        <v>94.663372237403607</v>
      </c>
      <c r="G45" s="200">
        <f t="shared" si="0"/>
        <v>5.3220328638109216E-2</v>
      </c>
      <c r="H45" s="332">
        <v>9060848</v>
      </c>
      <c r="I45" s="333">
        <v>5.6765861511230469</v>
      </c>
      <c r="J45" s="197"/>
      <c r="K45" s="333">
        <v>5.8428417358200315</v>
      </c>
      <c r="L45" s="200">
        <f t="shared" si="1"/>
        <v>5.2112826797190648E-2</v>
      </c>
      <c r="M45" s="332">
        <v>3371167</v>
      </c>
      <c r="N45" s="333">
        <v>59.597564697265625</v>
      </c>
      <c r="O45" s="197"/>
      <c r="P45" s="333">
        <v>61.51818935839907</v>
      </c>
      <c r="Q45" s="200">
        <f t="shared" si="2"/>
        <v>-3.3382788766728289E-2</v>
      </c>
      <c r="R45" s="332">
        <v>1999600</v>
      </c>
      <c r="S45" s="333">
        <v>55.700000762939453</v>
      </c>
      <c r="T45" s="197"/>
      <c r="U45" s="333">
        <v>56.839286073098521</v>
      </c>
      <c r="V45" s="200">
        <f t="shared" si="3"/>
        <v>2.2018362622742149E-2</v>
      </c>
      <c r="W45" s="332">
        <v>590947</v>
      </c>
      <c r="X45" s="333">
        <v>62.502880096435547</v>
      </c>
      <c r="Y45" s="197"/>
      <c r="Z45" s="333">
        <v>63.24181896742077</v>
      </c>
      <c r="AA45" s="200">
        <f t="shared" si="4"/>
        <v>-6.7171435901108856E-2</v>
      </c>
      <c r="AB45" s="332">
        <v>0</v>
      </c>
      <c r="AC45" s="333">
        <v>56.75</v>
      </c>
      <c r="AD45" s="197"/>
      <c r="AE45" s="333">
        <v>56.750000000000021</v>
      </c>
      <c r="AF45" s="200">
        <f t="shared" si="5"/>
        <v>-6.1983471074380181E-2</v>
      </c>
    </row>
    <row r="46" spans="2:32" x14ac:dyDescent="0.3">
      <c r="B46" s="331">
        <v>39745.770833333336</v>
      </c>
      <c r="C46" s="332">
        <v>545812600</v>
      </c>
      <c r="D46" s="333">
        <v>87.040000915527344</v>
      </c>
      <c r="E46" s="197"/>
      <c r="F46" s="333">
        <v>88.397168620754655</v>
      </c>
      <c r="G46" s="200">
        <f t="shared" si="0"/>
        <v>-6.6194595317543903E-2</v>
      </c>
      <c r="H46" s="332">
        <v>8151803</v>
      </c>
      <c r="I46" s="333">
        <v>4.5899038314819336</v>
      </c>
      <c r="J46" s="197"/>
      <c r="K46" s="333">
        <v>4.7243327161831701</v>
      </c>
      <c r="L46" s="200">
        <f t="shared" si="1"/>
        <v>-0.19143236633978089</v>
      </c>
      <c r="M46" s="332">
        <v>3369124</v>
      </c>
      <c r="N46" s="333">
        <v>54.154655456542969</v>
      </c>
      <c r="O46" s="197"/>
      <c r="P46" s="333">
        <v>55.899873861243883</v>
      </c>
      <c r="Q46" s="200">
        <f t="shared" si="2"/>
        <v>-9.1327712270974359E-2</v>
      </c>
      <c r="R46" s="332">
        <v>1247900</v>
      </c>
      <c r="S46" s="333">
        <v>48.479999542236328</v>
      </c>
      <c r="T46" s="197"/>
      <c r="U46" s="333">
        <v>49.471607272190575</v>
      </c>
      <c r="V46" s="200">
        <f t="shared" si="3"/>
        <v>-0.12962300039153718</v>
      </c>
      <c r="W46" s="332">
        <v>623982</v>
      </c>
      <c r="X46" s="333">
        <v>53.685890197753906</v>
      </c>
      <c r="Y46" s="197"/>
      <c r="Z46" s="333">
        <v>54.320590407237965</v>
      </c>
      <c r="AA46" s="200">
        <f t="shared" si="4"/>
        <v>-0.14106533787047781</v>
      </c>
      <c r="AB46" s="332">
        <v>0</v>
      </c>
      <c r="AC46" s="333">
        <v>52.049999237060547</v>
      </c>
      <c r="AD46" s="197"/>
      <c r="AE46" s="333">
        <v>52.049999237060568</v>
      </c>
      <c r="AF46" s="200">
        <f t="shared" si="5"/>
        <v>-8.2819396703778914E-2</v>
      </c>
    </row>
    <row r="47" spans="2:32" x14ac:dyDescent="0.3">
      <c r="B47" s="331">
        <v>39752.770833333336</v>
      </c>
      <c r="C47" s="332">
        <v>411394000</v>
      </c>
      <c r="D47" s="333">
        <v>96.830001831054688</v>
      </c>
      <c r="E47" s="197"/>
      <c r="F47" s="333">
        <v>98.339819730870033</v>
      </c>
      <c r="G47" s="200">
        <f t="shared" si="0"/>
        <v>0.11247703139420406</v>
      </c>
      <c r="H47" s="332">
        <v>6765600</v>
      </c>
      <c r="I47" s="333">
        <v>5.7449789047241211</v>
      </c>
      <c r="J47" s="197"/>
      <c r="K47" s="333">
        <v>5.9132375731295657</v>
      </c>
      <c r="L47" s="200">
        <f t="shared" si="1"/>
        <v>0.25165561537903747</v>
      </c>
      <c r="M47" s="332">
        <v>2054167</v>
      </c>
      <c r="N47" s="333">
        <v>60.146427154541016</v>
      </c>
      <c r="O47" s="197"/>
      <c r="P47" s="333">
        <v>62.084739766119561</v>
      </c>
      <c r="Q47" s="200">
        <f t="shared" si="2"/>
        <v>0.11064185798035808</v>
      </c>
      <c r="R47" s="332">
        <v>1583400</v>
      </c>
      <c r="S47" s="333">
        <v>54.279998779296875</v>
      </c>
      <c r="T47" s="197"/>
      <c r="U47" s="333">
        <v>55.390239432755742</v>
      </c>
      <c r="V47" s="200">
        <f t="shared" si="3"/>
        <v>0.11963694908882005</v>
      </c>
      <c r="W47" s="332">
        <v>599207</v>
      </c>
      <c r="X47" s="333">
        <v>53.722782135009766</v>
      </c>
      <c r="Y47" s="197"/>
      <c r="Z47" s="333">
        <v>54.357918498578599</v>
      </c>
      <c r="AA47" s="200">
        <f t="shared" si="4"/>
        <v>6.8718125227995586E-4</v>
      </c>
      <c r="AB47" s="332">
        <v>0</v>
      </c>
      <c r="AC47" s="333">
        <v>57</v>
      </c>
      <c r="AD47" s="197"/>
      <c r="AE47" s="333">
        <v>57.000000000000028</v>
      </c>
      <c r="AF47" s="200">
        <f t="shared" si="5"/>
        <v>9.5100880605104132E-2</v>
      </c>
    </row>
    <row r="48" spans="2:32" x14ac:dyDescent="0.3">
      <c r="B48" s="331">
        <v>39759.8125</v>
      </c>
      <c r="C48" s="332">
        <v>380391000</v>
      </c>
      <c r="D48" s="333">
        <v>93.860000610351563</v>
      </c>
      <c r="E48" s="197"/>
      <c r="F48" s="333">
        <v>95.323508885869728</v>
      </c>
      <c r="G48" s="200">
        <f t="shared" si="0"/>
        <v>-3.0672324326556089E-2</v>
      </c>
      <c r="H48" s="332">
        <v>6501493</v>
      </c>
      <c r="I48" s="333">
        <v>5.319425106048584</v>
      </c>
      <c r="J48" s="197"/>
      <c r="K48" s="333">
        <v>5.4752201750766405</v>
      </c>
      <c r="L48" s="200">
        <f t="shared" si="1"/>
        <v>-7.4074040258982121E-2</v>
      </c>
      <c r="M48" s="332">
        <v>2586028</v>
      </c>
      <c r="N48" s="333">
        <v>53.971698760986328</v>
      </c>
      <c r="O48" s="197"/>
      <c r="P48" s="333">
        <v>55.71102110024917</v>
      </c>
      <c r="Q48" s="200">
        <f t="shared" si="2"/>
        <v>-0.10266159912856088</v>
      </c>
      <c r="R48" s="332">
        <v>1141300</v>
      </c>
      <c r="S48" s="333">
        <v>57.5</v>
      </c>
      <c r="T48" s="197"/>
      <c r="U48" s="333">
        <v>58.676102413588005</v>
      </c>
      <c r="V48" s="200">
        <f t="shared" si="3"/>
        <v>5.9322057721402865E-2</v>
      </c>
      <c r="W48" s="332">
        <v>210190</v>
      </c>
      <c r="X48" s="333">
        <v>52.016563415527344</v>
      </c>
      <c r="Y48" s="197"/>
      <c r="Z48" s="333">
        <v>52.63152804729306</v>
      </c>
      <c r="AA48" s="200">
        <f t="shared" si="4"/>
        <v>-3.1759686517994323E-2</v>
      </c>
      <c r="AB48" s="332">
        <v>0</v>
      </c>
      <c r="AC48" s="333">
        <v>53.290000915527344</v>
      </c>
      <c r="AD48" s="197"/>
      <c r="AE48" s="333">
        <v>53.290000915527372</v>
      </c>
      <c r="AF48" s="200">
        <f t="shared" si="5"/>
        <v>-6.5087703236362371E-2</v>
      </c>
    </row>
    <row r="49" spans="2:32" x14ac:dyDescent="0.3">
      <c r="B49" s="331">
        <v>39766.8125</v>
      </c>
      <c r="C49" s="332">
        <v>540352300</v>
      </c>
      <c r="D49" s="333">
        <v>86.620002746582031</v>
      </c>
      <c r="E49" s="197"/>
      <c r="F49" s="333">
        <v>87.970621647292418</v>
      </c>
      <c r="G49" s="200">
        <f t="shared" si="0"/>
        <v>-7.7136136977299929E-2</v>
      </c>
      <c r="H49" s="332">
        <v>11350175</v>
      </c>
      <c r="I49" s="333">
        <v>3.9059779644012451</v>
      </c>
      <c r="J49" s="197"/>
      <c r="K49" s="333">
        <v>4.0203760608974273</v>
      </c>
      <c r="L49" s="200">
        <f t="shared" si="1"/>
        <v>-0.26571426676167387</v>
      </c>
      <c r="M49" s="332">
        <v>1350106</v>
      </c>
      <c r="N49" s="333">
        <v>47.751232147216797</v>
      </c>
      <c r="O49" s="197"/>
      <c r="P49" s="333">
        <v>49.290090228538048</v>
      </c>
      <c r="Q49" s="200">
        <f t="shared" si="2"/>
        <v>-0.11525423057956485</v>
      </c>
      <c r="R49" s="332">
        <v>993700</v>
      </c>
      <c r="S49" s="333">
        <v>53.25</v>
      </c>
      <c r="T49" s="197"/>
      <c r="U49" s="333">
        <v>54.339173104757585</v>
      </c>
      <c r="V49" s="200">
        <f t="shared" si="3"/>
        <v>-7.3913043478260887E-2</v>
      </c>
      <c r="W49" s="332">
        <v>199745</v>
      </c>
      <c r="X49" s="333">
        <v>47.137706756591797</v>
      </c>
      <c r="Y49" s="197"/>
      <c r="Z49" s="333">
        <v>47.694991217048759</v>
      </c>
      <c r="AA49" s="200">
        <f t="shared" si="4"/>
        <v>-9.3794290483234288E-2</v>
      </c>
      <c r="AB49" s="332">
        <v>0</v>
      </c>
      <c r="AC49" s="333">
        <v>42.650001525878906</v>
      </c>
      <c r="AD49" s="197"/>
      <c r="AE49" s="333">
        <v>42.65000152587892</v>
      </c>
      <c r="AF49" s="200">
        <f t="shared" si="5"/>
        <v>-0.19966221067465251</v>
      </c>
    </row>
    <row r="50" spans="2:32" x14ac:dyDescent="0.3">
      <c r="B50" s="331">
        <v>39773.8125</v>
      </c>
      <c r="C50" s="332">
        <v>718536500</v>
      </c>
      <c r="D50" s="333">
        <v>79.519996643066406</v>
      </c>
      <c r="E50" s="197"/>
      <c r="F50" s="333">
        <v>80.759908984846945</v>
      </c>
      <c r="G50" s="200">
        <f t="shared" si="0"/>
        <v>-8.1967280978824442E-2</v>
      </c>
      <c r="H50" s="332">
        <v>7612271</v>
      </c>
      <c r="I50" s="333">
        <v>3.1156630516052246</v>
      </c>
      <c r="J50" s="197"/>
      <c r="K50" s="333">
        <v>3.2069144425950258</v>
      </c>
      <c r="L50" s="200">
        <f t="shared" si="1"/>
        <v>-0.2023347084901358</v>
      </c>
      <c r="M50" s="332">
        <v>2628455</v>
      </c>
      <c r="N50" s="333">
        <v>39.518260955810547</v>
      </c>
      <c r="O50" s="197"/>
      <c r="P50" s="333">
        <v>40.79179867404418</v>
      </c>
      <c r="Q50" s="200">
        <f t="shared" si="2"/>
        <v>-0.17241379585816852</v>
      </c>
      <c r="R50" s="332">
        <v>3115500</v>
      </c>
      <c r="S50" s="333">
        <v>40.560001373291016</v>
      </c>
      <c r="T50" s="197"/>
      <c r="U50" s="333">
        <v>41.389613816947715</v>
      </c>
      <c r="V50" s="200">
        <f t="shared" si="3"/>
        <v>-0.23830983336542699</v>
      </c>
      <c r="W50" s="332">
        <v>217314</v>
      </c>
      <c r="X50" s="333">
        <v>30.8963623046875</v>
      </c>
      <c r="Y50" s="197"/>
      <c r="Z50" s="333">
        <v>31.261633841675092</v>
      </c>
      <c r="AA50" s="200">
        <f t="shared" si="4"/>
        <v>-0.34455100957224838</v>
      </c>
      <c r="AB50" s="332">
        <v>600</v>
      </c>
      <c r="AC50" s="333">
        <v>34.400001525878906</v>
      </c>
      <c r="AD50" s="197"/>
      <c r="AE50" s="333">
        <v>34.40000152587892</v>
      </c>
      <c r="AF50" s="200">
        <f t="shared" si="5"/>
        <v>-0.1934349286012127</v>
      </c>
    </row>
    <row r="51" spans="2:32" x14ac:dyDescent="0.3">
      <c r="B51" s="331">
        <v>39780.8125</v>
      </c>
      <c r="C51" s="332">
        <v>118308100</v>
      </c>
      <c r="D51" s="333">
        <v>90.089996337890625</v>
      </c>
      <c r="E51" s="197"/>
      <c r="F51" s="333">
        <v>91.494720973779479</v>
      </c>
      <c r="G51" s="200">
        <f t="shared" si="0"/>
        <v>0.13292253698486367</v>
      </c>
      <c r="H51" s="332">
        <v>5503885</v>
      </c>
      <c r="I51" s="333">
        <v>5.2814288139343262</v>
      </c>
      <c r="J51" s="197"/>
      <c r="K51" s="333">
        <v>5.4361110493695168</v>
      </c>
      <c r="L51" s="200">
        <f t="shared" si="1"/>
        <v>0.69512194562029905</v>
      </c>
      <c r="M51" s="332">
        <v>1120151</v>
      </c>
      <c r="N51" s="333">
        <v>49.260608673095703</v>
      </c>
      <c r="O51" s="197"/>
      <c r="P51" s="333">
        <v>50.84810877180918</v>
      </c>
      <c r="Q51" s="200">
        <f t="shared" si="2"/>
        <v>0.24652774392524712</v>
      </c>
      <c r="R51" s="332">
        <v>711600</v>
      </c>
      <c r="S51" s="333">
        <v>59.979999542236328</v>
      </c>
      <c r="T51" s="333">
        <v>0.49</v>
      </c>
      <c r="U51" s="333">
        <v>61.706850192867456</v>
      </c>
      <c r="V51" s="200">
        <f t="shared" si="3"/>
        <v>0.49087765026694896</v>
      </c>
      <c r="W51" s="332">
        <v>130051</v>
      </c>
      <c r="X51" s="333">
        <v>34.465583801269531</v>
      </c>
      <c r="Y51" s="197"/>
      <c r="Z51" s="333">
        <v>34.873052377800121</v>
      </c>
      <c r="AA51" s="200">
        <f t="shared" si="4"/>
        <v>0.11552238614319066</v>
      </c>
      <c r="AB51" s="332">
        <v>0</v>
      </c>
      <c r="AC51" s="333">
        <v>34.400001525878906</v>
      </c>
      <c r="AD51" s="197"/>
      <c r="AE51" s="333">
        <v>34.40000152587892</v>
      </c>
      <c r="AF51" s="200">
        <f t="shared" si="5"/>
        <v>0</v>
      </c>
    </row>
    <row r="52" spans="2:32" x14ac:dyDescent="0.3">
      <c r="B52" s="331">
        <v>39787.8125</v>
      </c>
      <c r="C52" s="332">
        <v>471905300</v>
      </c>
      <c r="D52" s="333">
        <v>87.930000305175781</v>
      </c>
      <c r="E52" s="197"/>
      <c r="F52" s="333">
        <v>89.301045290005518</v>
      </c>
      <c r="G52" s="200">
        <f t="shared" si="0"/>
        <v>-2.3975980913725325E-2</v>
      </c>
      <c r="H52" s="332">
        <v>7513839</v>
      </c>
      <c r="I52" s="333">
        <v>5.5701980590820313</v>
      </c>
      <c r="J52" s="197"/>
      <c r="K52" s="333">
        <v>5.7333377544088577</v>
      </c>
      <c r="L52" s="200">
        <f t="shared" si="1"/>
        <v>5.4676349018626835E-2</v>
      </c>
      <c r="M52" s="332">
        <v>1476454</v>
      </c>
      <c r="N52" s="333">
        <v>47.568275451660156</v>
      </c>
      <c r="O52" s="197"/>
      <c r="P52" s="333">
        <v>49.101237467543328</v>
      </c>
      <c r="Q52" s="200">
        <f t="shared" si="2"/>
        <v>-3.4354695709633565E-2</v>
      </c>
      <c r="R52" s="332">
        <v>2076500</v>
      </c>
      <c r="S52" s="333">
        <v>66.75</v>
      </c>
      <c r="T52" s="197"/>
      <c r="U52" s="333">
        <v>68.671761950805944</v>
      </c>
      <c r="V52" s="200">
        <f t="shared" si="3"/>
        <v>0.11287096547902475</v>
      </c>
      <c r="W52" s="332">
        <v>213877</v>
      </c>
      <c r="X52" s="333">
        <v>24.901546478271484</v>
      </c>
      <c r="Y52" s="197"/>
      <c r="Z52" s="333">
        <v>25.195944442206102</v>
      </c>
      <c r="AA52" s="200">
        <f t="shared" si="4"/>
        <v>-0.27749529438250098</v>
      </c>
      <c r="AB52" s="332">
        <v>0</v>
      </c>
      <c r="AC52" s="333">
        <v>34.400001525878906</v>
      </c>
      <c r="AD52" s="197"/>
      <c r="AE52" s="333">
        <v>34.40000152587892</v>
      </c>
      <c r="AF52" s="200">
        <f t="shared" si="5"/>
        <v>0</v>
      </c>
    </row>
    <row r="53" spans="2:32" x14ac:dyDescent="0.3">
      <c r="B53" s="331">
        <v>39794.8125</v>
      </c>
      <c r="C53" s="332">
        <v>415060400</v>
      </c>
      <c r="D53" s="333">
        <v>88.989997863769531</v>
      </c>
      <c r="E53" s="197"/>
      <c r="F53" s="333">
        <v>90.377570817797462</v>
      </c>
      <c r="G53" s="200">
        <f t="shared" si="0"/>
        <v>1.2055015977650907E-2</v>
      </c>
      <c r="H53" s="332">
        <v>14919113</v>
      </c>
      <c r="I53" s="333">
        <v>6.2009291648864746</v>
      </c>
      <c r="J53" s="197"/>
      <c r="K53" s="333">
        <v>6.3825416827849004</v>
      </c>
      <c r="L53" s="200">
        <f t="shared" si="1"/>
        <v>0.11323315600529793</v>
      </c>
      <c r="M53" s="332">
        <v>1758298</v>
      </c>
      <c r="N53" s="333">
        <v>56.395851135253906</v>
      </c>
      <c r="O53" s="197"/>
      <c r="P53" s="333">
        <v>58.213295573230234</v>
      </c>
      <c r="Q53" s="200">
        <f t="shared" si="2"/>
        <v>0.18557695438348398</v>
      </c>
      <c r="R53" s="332">
        <v>1138500</v>
      </c>
      <c r="S53" s="333">
        <v>67.849998474121094</v>
      </c>
      <c r="T53" s="197"/>
      <c r="U53" s="333">
        <v>69.803429866327946</v>
      </c>
      <c r="V53" s="200">
        <f t="shared" si="3"/>
        <v>1.6479377889454527E-2</v>
      </c>
      <c r="W53" s="332">
        <v>134832</v>
      </c>
      <c r="X53" s="333">
        <v>29.024135589599609</v>
      </c>
      <c r="Y53" s="197"/>
      <c r="Z53" s="333">
        <v>29.367272769051343</v>
      </c>
      <c r="AA53" s="200">
        <f t="shared" si="4"/>
        <v>0.16555554551302265</v>
      </c>
      <c r="AB53" s="332">
        <v>0</v>
      </c>
      <c r="AC53" s="333">
        <v>51.5</v>
      </c>
      <c r="AD53" s="197"/>
      <c r="AE53" s="333">
        <v>51.500000000000021</v>
      </c>
      <c r="AF53" s="200">
        <f t="shared" si="5"/>
        <v>0.49709295684934407</v>
      </c>
    </row>
    <row r="54" spans="2:32" x14ac:dyDescent="0.3">
      <c r="B54" s="331">
        <v>39801.8125</v>
      </c>
      <c r="C54" s="332">
        <v>301451300</v>
      </c>
      <c r="D54" s="333">
        <v>88.19000244140625</v>
      </c>
      <c r="E54" s="333">
        <v>0.71899999999999997</v>
      </c>
      <c r="F54" s="333">
        <v>90.295312477576331</v>
      </c>
      <c r="G54" s="200">
        <f t="shared" si="0"/>
        <v>-9.1016321280601442E-4</v>
      </c>
      <c r="H54" s="332">
        <v>11493875</v>
      </c>
      <c r="I54" s="333">
        <v>7.0292401313781738</v>
      </c>
      <c r="J54" s="197"/>
      <c r="K54" s="333">
        <v>7.2351121813930552</v>
      </c>
      <c r="L54" s="200">
        <f t="shared" si="1"/>
        <v>0.1335785241963594</v>
      </c>
      <c r="M54" s="332">
        <v>2287581</v>
      </c>
      <c r="N54" s="333">
        <v>54.337608337402344</v>
      </c>
      <c r="O54" s="197"/>
      <c r="P54" s="333">
        <v>56.088722684606765</v>
      </c>
      <c r="Q54" s="200">
        <f t="shared" si="2"/>
        <v>-3.6496351352430012E-2</v>
      </c>
      <c r="R54" s="332">
        <v>2417800</v>
      </c>
      <c r="S54" s="333">
        <v>67.169998168945313</v>
      </c>
      <c r="T54" s="197"/>
      <c r="U54" s="333">
        <v>69.10385205234283</v>
      </c>
      <c r="V54" s="200">
        <f t="shared" si="3"/>
        <v>-1.0022112313460729E-2</v>
      </c>
      <c r="W54" s="332">
        <v>394535</v>
      </c>
      <c r="X54" s="333">
        <v>24.726312637329102</v>
      </c>
      <c r="Y54" s="197"/>
      <c r="Z54" s="333">
        <v>25.018638903185412</v>
      </c>
      <c r="AA54" s="200">
        <f t="shared" si="4"/>
        <v>-0.14807755218076402</v>
      </c>
      <c r="AB54" s="332">
        <v>0</v>
      </c>
      <c r="AC54" s="333">
        <v>54.25</v>
      </c>
      <c r="AD54" s="197"/>
      <c r="AE54" s="333">
        <v>54.250000000000021</v>
      </c>
      <c r="AF54" s="200">
        <f t="shared" si="5"/>
        <v>5.3398058252427161E-2</v>
      </c>
    </row>
    <row r="55" spans="2:32" x14ac:dyDescent="0.3">
      <c r="B55" s="331">
        <v>39808.8125</v>
      </c>
      <c r="C55" s="332">
        <v>74767700</v>
      </c>
      <c r="D55" s="333">
        <v>87.160003662109375</v>
      </c>
      <c r="E55" s="197"/>
      <c r="F55" s="333">
        <v>89.240725120126982</v>
      </c>
      <c r="G55" s="200">
        <f t="shared" si="0"/>
        <v>-1.1679314557012543E-2</v>
      </c>
      <c r="H55" s="332">
        <v>3974904</v>
      </c>
      <c r="I55" s="333">
        <v>6.8088641166687012</v>
      </c>
      <c r="J55" s="197"/>
      <c r="K55" s="333">
        <v>7.0082818044659909</v>
      </c>
      <c r="L55" s="200">
        <f t="shared" si="1"/>
        <v>-3.1351328250364463E-2</v>
      </c>
      <c r="M55" s="332">
        <v>0</v>
      </c>
      <c r="N55" s="333">
        <v>53.743003845214844</v>
      </c>
      <c r="O55" s="197"/>
      <c r="P55" s="333">
        <v>55.47495613341372</v>
      </c>
      <c r="Q55" s="200">
        <f t="shared" si="2"/>
        <v>-1.0942779971017003E-2</v>
      </c>
      <c r="R55" s="332">
        <v>280100</v>
      </c>
      <c r="S55" s="333">
        <v>67.650001525878906</v>
      </c>
      <c r="T55" s="197"/>
      <c r="U55" s="333">
        <v>69.597674917705092</v>
      </c>
      <c r="V55" s="200">
        <f t="shared" si="3"/>
        <v>7.1460975140462679E-3</v>
      </c>
      <c r="W55" s="332">
        <v>131953</v>
      </c>
      <c r="X55" s="333">
        <v>28.267866134643555</v>
      </c>
      <c r="Y55" s="197"/>
      <c r="Z55" s="333">
        <v>28.602062335754077</v>
      </c>
      <c r="AA55" s="200">
        <f t="shared" si="4"/>
        <v>0.1432301511858991</v>
      </c>
      <c r="AB55" s="332">
        <v>0</v>
      </c>
      <c r="AC55" s="333">
        <v>55.5</v>
      </c>
      <c r="AD55" s="197"/>
      <c r="AE55" s="333">
        <v>55.500000000000021</v>
      </c>
      <c r="AF55" s="200">
        <f t="shared" si="5"/>
        <v>2.3041474654377891E-2</v>
      </c>
    </row>
    <row r="56" spans="2:32" x14ac:dyDescent="0.3">
      <c r="B56" s="331">
        <v>39815.8125</v>
      </c>
      <c r="C56" s="332">
        <v>227566300</v>
      </c>
      <c r="D56" s="333">
        <v>92.959999084472656</v>
      </c>
      <c r="E56" s="197"/>
      <c r="F56" s="333">
        <v>95.179180551951703</v>
      </c>
      <c r="G56" s="200">
        <f t="shared" si="0"/>
        <v>6.6544231054050273E-2</v>
      </c>
      <c r="H56" s="332">
        <v>9021370</v>
      </c>
      <c r="I56" s="333">
        <v>7.5915789604187012</v>
      </c>
      <c r="J56" s="197"/>
      <c r="K56" s="333">
        <v>7.8139207632623062</v>
      </c>
      <c r="L56" s="200">
        <f t="shared" si="1"/>
        <v>0.11495527452719245</v>
      </c>
      <c r="M56" s="332">
        <v>0</v>
      </c>
      <c r="N56" s="333">
        <v>55.160907745361328</v>
      </c>
      <c r="O56" s="197"/>
      <c r="P56" s="333">
        <v>56.938554202635267</v>
      </c>
      <c r="Q56" s="200">
        <f t="shared" si="2"/>
        <v>2.6383041488156955E-2</v>
      </c>
      <c r="R56" s="332">
        <v>1375700</v>
      </c>
      <c r="S56" s="333">
        <v>69.739997863769531</v>
      </c>
      <c r="T56" s="197"/>
      <c r="U56" s="333">
        <v>71.747843172292079</v>
      </c>
      <c r="V56" s="200">
        <f t="shared" si="3"/>
        <v>3.0894254113078112E-2</v>
      </c>
      <c r="W56" s="332">
        <v>61264</v>
      </c>
      <c r="X56" s="333">
        <v>30.564342498779297</v>
      </c>
      <c r="Y56" s="197"/>
      <c r="Z56" s="333">
        <v>30.925688739202254</v>
      </c>
      <c r="AA56" s="200">
        <f t="shared" si="4"/>
        <v>8.1239820267908547E-2</v>
      </c>
      <c r="AB56" s="332">
        <v>0</v>
      </c>
      <c r="AC56" s="333">
        <v>56.599998474121094</v>
      </c>
      <c r="AD56" s="197"/>
      <c r="AE56" s="333">
        <v>56.599998474121115</v>
      </c>
      <c r="AF56" s="200">
        <f t="shared" si="5"/>
        <v>1.9819792326506214E-2</v>
      </c>
    </row>
    <row r="57" spans="2:32" x14ac:dyDescent="0.3">
      <c r="B57" s="331">
        <v>39822.8125</v>
      </c>
      <c r="C57" s="332">
        <v>330953600</v>
      </c>
      <c r="D57" s="333">
        <v>89.089996337890625</v>
      </c>
      <c r="E57" s="197"/>
      <c r="F57" s="333">
        <v>91.21679141919401</v>
      </c>
      <c r="G57" s="200">
        <f t="shared" si="0"/>
        <v>-4.1630838905940104E-2</v>
      </c>
      <c r="H57" s="332">
        <v>11510850</v>
      </c>
      <c r="I57" s="333">
        <v>7.9031448364257813</v>
      </c>
      <c r="J57" s="197"/>
      <c r="K57" s="333">
        <v>8.13461176579934</v>
      </c>
      <c r="L57" s="200">
        <f t="shared" si="1"/>
        <v>4.1040984705755568E-2</v>
      </c>
      <c r="M57" s="332">
        <v>992833</v>
      </c>
      <c r="N57" s="333">
        <v>57.310626983642578</v>
      </c>
      <c r="O57" s="197"/>
      <c r="P57" s="333">
        <v>59.157551502940166</v>
      </c>
      <c r="Q57" s="200">
        <f t="shared" si="2"/>
        <v>3.8971788647949257E-2</v>
      </c>
      <c r="R57" s="332">
        <v>1343600</v>
      </c>
      <c r="S57" s="333">
        <v>61.189998626708984</v>
      </c>
      <c r="T57" s="197"/>
      <c r="U57" s="333">
        <v>62.951685684846481</v>
      </c>
      <c r="V57" s="200">
        <f t="shared" si="3"/>
        <v>-0.12259821478288757</v>
      </c>
      <c r="W57" s="332">
        <v>296280</v>
      </c>
      <c r="X57" s="333">
        <v>31.449731826782227</v>
      </c>
      <c r="Y57" s="197"/>
      <c r="Z57" s="333">
        <v>31.821545562293529</v>
      </c>
      <c r="AA57" s="200">
        <f t="shared" si="4"/>
        <v>2.8968047588077139E-2</v>
      </c>
      <c r="AB57" s="332">
        <v>800</v>
      </c>
      <c r="AC57" s="333">
        <v>55.25</v>
      </c>
      <c r="AD57" s="197"/>
      <c r="AE57" s="333">
        <v>55.250000000000021</v>
      </c>
      <c r="AF57" s="200">
        <f t="shared" si="5"/>
        <v>-2.3851563790029839E-2</v>
      </c>
    </row>
    <row r="58" spans="2:32" x14ac:dyDescent="0.3">
      <c r="B58" s="331">
        <v>39829.8125</v>
      </c>
      <c r="C58" s="332">
        <v>399237200</v>
      </c>
      <c r="D58" s="333">
        <v>85.05999755859375</v>
      </c>
      <c r="E58" s="197"/>
      <c r="F58" s="333">
        <v>87.090586758947723</v>
      </c>
      <c r="G58" s="200">
        <f t="shared" si="0"/>
        <v>-4.5235143618283846E-2</v>
      </c>
      <c r="H58" s="332">
        <v>7365665</v>
      </c>
      <c r="I58" s="333">
        <v>7.4015998840332031</v>
      </c>
      <c r="J58" s="197"/>
      <c r="K58" s="333">
        <v>7.6183775887403922</v>
      </c>
      <c r="L58" s="200">
        <f t="shared" si="1"/>
        <v>-6.3461440068888209E-2</v>
      </c>
      <c r="M58" s="332">
        <v>1575333</v>
      </c>
      <c r="N58" s="333">
        <v>48.391574859619141</v>
      </c>
      <c r="O58" s="197"/>
      <c r="P58" s="333">
        <v>49.951068985571816</v>
      </c>
      <c r="Q58" s="200">
        <f t="shared" si="2"/>
        <v>-0.1556264970992044</v>
      </c>
      <c r="R58" s="332">
        <v>2088200</v>
      </c>
      <c r="S58" s="333">
        <v>58.669998168945313</v>
      </c>
      <c r="T58" s="197"/>
      <c r="U58" s="333">
        <v>60.359133302052939</v>
      </c>
      <c r="V58" s="200">
        <f t="shared" si="3"/>
        <v>-4.1183208274558014E-2</v>
      </c>
      <c r="W58" s="332">
        <v>196202</v>
      </c>
      <c r="X58" s="333">
        <v>29.051803588867188</v>
      </c>
      <c r="Y58" s="197"/>
      <c r="Z58" s="333">
        <v>29.395267872607711</v>
      </c>
      <c r="AA58" s="200">
        <f t="shared" si="4"/>
        <v>-7.6246381085926851E-2</v>
      </c>
      <c r="AB58" s="332">
        <v>0</v>
      </c>
      <c r="AC58" s="333">
        <v>51</v>
      </c>
      <c r="AD58" s="197"/>
      <c r="AE58" s="333">
        <v>51.000000000000021</v>
      </c>
      <c r="AF58" s="200">
        <f t="shared" si="5"/>
        <v>-7.6923076923076872E-2</v>
      </c>
    </row>
    <row r="59" spans="2:32" x14ac:dyDescent="0.3">
      <c r="B59" s="331">
        <v>39836.8125</v>
      </c>
      <c r="C59" s="332">
        <v>386800600</v>
      </c>
      <c r="D59" s="333">
        <v>83.110000610351563</v>
      </c>
      <c r="E59" s="197"/>
      <c r="F59" s="333">
        <v>85.094038636740407</v>
      </c>
      <c r="G59" s="200">
        <f t="shared" si="0"/>
        <v>-2.292495890208468E-2</v>
      </c>
      <c r="H59" s="332">
        <v>8285238</v>
      </c>
      <c r="I59" s="333">
        <v>6.4593009948730469</v>
      </c>
      <c r="J59" s="197"/>
      <c r="K59" s="333">
        <v>6.6484806946163468</v>
      </c>
      <c r="L59" s="200">
        <f t="shared" si="1"/>
        <v>-0.12731016319767452</v>
      </c>
      <c r="M59" s="332">
        <v>2219859</v>
      </c>
      <c r="N59" s="333">
        <v>41.951560974121094</v>
      </c>
      <c r="O59" s="197"/>
      <c r="P59" s="333">
        <v>43.303515588193399</v>
      </c>
      <c r="Q59" s="200">
        <f t="shared" si="2"/>
        <v>-0.13308130401170271</v>
      </c>
      <c r="R59" s="332">
        <v>1490700</v>
      </c>
      <c r="S59" s="333">
        <v>53.180000305175781</v>
      </c>
      <c r="T59" s="197"/>
      <c r="U59" s="333">
        <v>54.711075977540354</v>
      </c>
      <c r="V59" s="200">
        <f t="shared" si="3"/>
        <v>-9.357419524644639E-2</v>
      </c>
      <c r="W59" s="332">
        <v>130413</v>
      </c>
      <c r="X59" s="333">
        <v>25.906831741333008</v>
      </c>
      <c r="Y59" s="197"/>
      <c r="Z59" s="333">
        <v>26.213114667307114</v>
      </c>
      <c r="AA59" s="200">
        <f t="shared" si="4"/>
        <v>-0.10825392777814824</v>
      </c>
      <c r="AB59" s="332">
        <v>200</v>
      </c>
      <c r="AC59" s="333">
        <v>39.25</v>
      </c>
      <c r="AD59" s="197"/>
      <c r="AE59" s="333">
        <v>39.250000000000014</v>
      </c>
      <c r="AF59" s="200">
        <f t="shared" si="5"/>
        <v>-0.23039215686274517</v>
      </c>
    </row>
    <row r="60" spans="2:32" x14ac:dyDescent="0.3">
      <c r="B60" s="331">
        <v>39843.8125</v>
      </c>
      <c r="C60" s="332">
        <v>383383600</v>
      </c>
      <c r="D60" s="333">
        <v>82.830001831054688</v>
      </c>
      <c r="E60" s="197"/>
      <c r="F60" s="333">
        <v>84.80735560499032</v>
      </c>
      <c r="G60" s="200">
        <f t="shared" si="0"/>
        <v>-3.3690142851712235E-3</v>
      </c>
      <c r="H60" s="332">
        <v>20124808</v>
      </c>
      <c r="I60" s="333">
        <v>5.9197602272033691</v>
      </c>
      <c r="J60" s="197"/>
      <c r="K60" s="333">
        <v>6.093137882653016</v>
      </c>
      <c r="L60" s="200">
        <f t="shared" si="1"/>
        <v>-8.3529280969864783E-2</v>
      </c>
      <c r="M60" s="332">
        <v>1013540</v>
      </c>
      <c r="N60" s="333">
        <v>42.939517974853516</v>
      </c>
      <c r="O60" s="197"/>
      <c r="P60" s="333">
        <v>44.323311047248481</v>
      </c>
      <c r="Q60" s="200">
        <f t="shared" si="2"/>
        <v>2.3549946123384125E-2</v>
      </c>
      <c r="R60" s="332">
        <v>1792200</v>
      </c>
      <c r="S60" s="333">
        <v>49.459999084472656</v>
      </c>
      <c r="T60" s="197"/>
      <c r="U60" s="333">
        <v>50.88397428038931</v>
      </c>
      <c r="V60" s="200">
        <f t="shared" si="3"/>
        <v>-6.9951131992397997E-2</v>
      </c>
      <c r="W60" s="332">
        <v>154868</v>
      </c>
      <c r="X60" s="333">
        <v>27.991182327270508</v>
      </c>
      <c r="Y60" s="197"/>
      <c r="Z60" s="333">
        <v>28.322107440393967</v>
      </c>
      <c r="AA60" s="200">
        <f t="shared" si="4"/>
        <v>8.0455634511727103E-2</v>
      </c>
      <c r="AB60" s="332">
        <v>0</v>
      </c>
      <c r="AC60" s="333">
        <v>41.75</v>
      </c>
      <c r="AD60" s="197"/>
      <c r="AE60" s="333">
        <v>41.750000000000014</v>
      </c>
      <c r="AF60" s="200">
        <f t="shared" si="5"/>
        <v>6.3694267515923553E-2</v>
      </c>
    </row>
    <row r="61" spans="2:32" x14ac:dyDescent="0.3">
      <c r="B61" s="331">
        <v>39850.8125</v>
      </c>
      <c r="C61" s="332">
        <v>366101700</v>
      </c>
      <c r="D61" s="333">
        <v>86.980003356933594</v>
      </c>
      <c r="E61" s="197"/>
      <c r="F61" s="333">
        <v>89.056427769498114</v>
      </c>
      <c r="G61" s="200">
        <f t="shared" si="0"/>
        <v>5.0102637137972028E-2</v>
      </c>
      <c r="H61" s="332">
        <v>12952322</v>
      </c>
      <c r="I61" s="333">
        <v>6.5504918098449707</v>
      </c>
      <c r="J61" s="197"/>
      <c r="K61" s="333">
        <v>6.7423423018318012</v>
      </c>
      <c r="L61" s="200">
        <f t="shared" si="1"/>
        <v>0.10654681244405295</v>
      </c>
      <c r="M61" s="332">
        <v>1919365</v>
      </c>
      <c r="N61" s="333">
        <v>47.522537231445313</v>
      </c>
      <c r="O61" s="197"/>
      <c r="P61" s="333">
        <v>49.054025261702606</v>
      </c>
      <c r="Q61" s="200">
        <f t="shared" si="2"/>
        <v>0.10673196795724937</v>
      </c>
      <c r="R61" s="332">
        <v>1588500</v>
      </c>
      <c r="S61" s="333">
        <v>51.470001220703125</v>
      </c>
      <c r="T61" s="197"/>
      <c r="U61" s="333">
        <v>52.951845264956056</v>
      </c>
      <c r="V61" s="200">
        <f t="shared" si="3"/>
        <v>4.0638944064628646E-2</v>
      </c>
      <c r="W61" s="332">
        <v>237124</v>
      </c>
      <c r="X61" s="333">
        <v>28.682891845703125</v>
      </c>
      <c r="Y61" s="197"/>
      <c r="Z61" s="333">
        <v>29.021994678794236</v>
      </c>
      <c r="AA61" s="200">
        <f t="shared" si="4"/>
        <v>2.4711693502089682E-2</v>
      </c>
      <c r="AB61" s="332">
        <v>0</v>
      </c>
      <c r="AC61" s="333">
        <v>41.75</v>
      </c>
      <c r="AD61" s="197"/>
      <c r="AE61" s="333">
        <v>41.750000000000014</v>
      </c>
      <c r="AF61" s="200">
        <f t="shared" si="5"/>
        <v>0</v>
      </c>
    </row>
    <row r="62" spans="2:32" x14ac:dyDescent="0.3">
      <c r="B62" s="331">
        <v>39857.8125</v>
      </c>
      <c r="C62" s="332">
        <v>293998400</v>
      </c>
      <c r="D62" s="333">
        <v>82.760002136230469</v>
      </c>
      <c r="E62" s="197"/>
      <c r="F62" s="333">
        <v>84.735684847052781</v>
      </c>
      <c r="G62" s="200">
        <f t="shared" si="0"/>
        <v>-4.8516912598701722E-2</v>
      </c>
      <c r="H62" s="332">
        <v>8934782</v>
      </c>
      <c r="I62" s="333">
        <v>6.1477351188659668</v>
      </c>
      <c r="J62" s="197"/>
      <c r="K62" s="333">
        <v>6.3277896920793122</v>
      </c>
      <c r="L62" s="200">
        <f t="shared" si="1"/>
        <v>-6.148495451497038E-2</v>
      </c>
      <c r="M62" s="332">
        <v>1294328</v>
      </c>
      <c r="N62" s="333">
        <v>45.784465789794922</v>
      </c>
      <c r="O62" s="197"/>
      <c r="P62" s="333">
        <v>47.259941751596024</v>
      </c>
      <c r="Q62" s="200">
        <f t="shared" si="2"/>
        <v>-3.6573624703277074E-2</v>
      </c>
      <c r="R62" s="332">
        <v>1162900</v>
      </c>
      <c r="S62" s="333">
        <v>45.729999542236328</v>
      </c>
      <c r="T62" s="197"/>
      <c r="U62" s="333">
        <v>47.046586405616758</v>
      </c>
      <c r="V62" s="200">
        <f t="shared" si="3"/>
        <v>-0.11152130449450914</v>
      </c>
      <c r="W62" s="332">
        <v>88615</v>
      </c>
      <c r="X62" s="333">
        <v>26.598539352416992</v>
      </c>
      <c r="Y62" s="197"/>
      <c r="Z62" s="333">
        <v>26.912999975809164</v>
      </c>
      <c r="AA62" s="200">
        <f t="shared" si="4"/>
        <v>-7.2668840523427924E-2</v>
      </c>
      <c r="AB62" s="332">
        <v>0</v>
      </c>
      <c r="AC62" s="333">
        <v>41.75</v>
      </c>
      <c r="AD62" s="197"/>
      <c r="AE62" s="333">
        <v>41.750000000000014</v>
      </c>
      <c r="AF62" s="200">
        <f t="shared" si="5"/>
        <v>0</v>
      </c>
    </row>
    <row r="63" spans="2:32" x14ac:dyDescent="0.3">
      <c r="B63" s="331">
        <v>39864.8125</v>
      </c>
      <c r="C63" s="332">
        <v>477176600</v>
      </c>
      <c r="D63" s="333">
        <v>77.419998168945313</v>
      </c>
      <c r="E63" s="197"/>
      <c r="F63" s="333">
        <v>79.268201986080285</v>
      </c>
      <c r="G63" s="200">
        <f t="shared" si="0"/>
        <v>-6.4523970872971126E-2</v>
      </c>
      <c r="H63" s="332">
        <v>27654306</v>
      </c>
      <c r="I63" s="333">
        <v>4.559506893157959</v>
      </c>
      <c r="J63" s="197"/>
      <c r="K63" s="333">
        <v>4.6930455137780198</v>
      </c>
      <c r="L63" s="200">
        <f t="shared" si="1"/>
        <v>-0.25834363306156516</v>
      </c>
      <c r="M63" s="332">
        <v>2827988</v>
      </c>
      <c r="N63" s="333">
        <v>37.615528106689453</v>
      </c>
      <c r="O63" s="197"/>
      <c r="P63" s="333">
        <v>38.827747285279166</v>
      </c>
      <c r="Q63" s="200">
        <f t="shared" si="2"/>
        <v>-0.17842160091177206</v>
      </c>
      <c r="R63" s="332">
        <v>2833300</v>
      </c>
      <c r="S63" s="333">
        <v>40.450000762939453</v>
      </c>
      <c r="T63" s="197"/>
      <c r="U63" s="333">
        <v>41.614574131872615</v>
      </c>
      <c r="V63" s="200">
        <f t="shared" si="3"/>
        <v>-0.11546028498032812</v>
      </c>
      <c r="W63" s="332">
        <v>151058</v>
      </c>
      <c r="X63" s="333">
        <v>22.457504272460938</v>
      </c>
      <c r="Y63" s="197"/>
      <c r="Z63" s="333">
        <v>22.723007603293606</v>
      </c>
      <c r="AA63" s="200">
        <f t="shared" si="4"/>
        <v>-0.15568655951702692</v>
      </c>
      <c r="AB63" s="332">
        <v>0</v>
      </c>
      <c r="AC63" s="333">
        <v>41.75</v>
      </c>
      <c r="AD63" s="197"/>
      <c r="AE63" s="333">
        <v>41.750000000000014</v>
      </c>
      <c r="AF63" s="200">
        <f t="shared" si="5"/>
        <v>0</v>
      </c>
    </row>
    <row r="64" spans="2:32" x14ac:dyDescent="0.3">
      <c r="B64" s="331">
        <v>39871.8125</v>
      </c>
      <c r="C64" s="332">
        <v>470510900</v>
      </c>
      <c r="D64" s="333">
        <v>73.930000305175781</v>
      </c>
      <c r="E64" s="197"/>
      <c r="F64" s="333">
        <v>75.694889377720656</v>
      </c>
      <c r="G64" s="200">
        <f t="shared" si="0"/>
        <v>-4.507876448348247E-2</v>
      </c>
      <c r="H64" s="332">
        <v>18878226</v>
      </c>
      <c r="I64" s="333">
        <v>4.0959568023681641</v>
      </c>
      <c r="J64" s="197"/>
      <c r="K64" s="333">
        <v>4.2159189900179701</v>
      </c>
      <c r="L64" s="200">
        <f t="shared" si="1"/>
        <v>-0.10166671564537011</v>
      </c>
      <c r="M64" s="332">
        <v>1693406</v>
      </c>
      <c r="N64" s="333">
        <v>35.67620849609375</v>
      </c>
      <c r="O64" s="197"/>
      <c r="P64" s="333">
        <v>36.825930069473415</v>
      </c>
      <c r="Q64" s="200">
        <f t="shared" si="2"/>
        <v>-5.1556357393020891E-2</v>
      </c>
      <c r="R64" s="332">
        <v>2111300</v>
      </c>
      <c r="S64" s="333">
        <v>41.409999847412109</v>
      </c>
      <c r="T64" s="333">
        <v>0.49</v>
      </c>
      <c r="U64" s="333">
        <v>43.106319329742178</v>
      </c>
      <c r="V64" s="200">
        <f t="shared" si="3"/>
        <v>3.5846701041379436E-2</v>
      </c>
      <c r="W64" s="332">
        <v>95878</v>
      </c>
      <c r="X64" s="333">
        <v>19.367868423461914</v>
      </c>
      <c r="Y64" s="197"/>
      <c r="Z64" s="333">
        <v>19.596844605105741</v>
      </c>
      <c r="AA64" s="200">
        <f t="shared" si="4"/>
        <v>-0.13757699036877236</v>
      </c>
      <c r="AB64" s="332">
        <v>0</v>
      </c>
      <c r="AC64" s="333">
        <v>34.349998474121094</v>
      </c>
      <c r="AD64" s="197"/>
      <c r="AE64" s="333">
        <v>34.349998474121108</v>
      </c>
      <c r="AF64" s="200">
        <f t="shared" si="5"/>
        <v>-0.17724554553003358</v>
      </c>
    </row>
    <row r="65" spans="2:32" x14ac:dyDescent="0.3">
      <c r="B65" s="331">
        <v>39878.8125</v>
      </c>
      <c r="C65" s="332">
        <v>490470000</v>
      </c>
      <c r="D65" s="333">
        <v>68.919998168945313</v>
      </c>
      <c r="E65" s="197"/>
      <c r="F65" s="333">
        <v>70.565286294822272</v>
      </c>
      <c r="G65" s="200">
        <f t="shared" si="0"/>
        <v>-6.7766835054100527E-2</v>
      </c>
      <c r="H65" s="332">
        <v>23478328</v>
      </c>
      <c r="I65" s="333">
        <v>3.2828450202941895</v>
      </c>
      <c r="J65" s="197"/>
      <c r="K65" s="333">
        <v>3.3789928288165032</v>
      </c>
      <c r="L65" s="200">
        <f t="shared" si="1"/>
        <v>-0.19851571227603204</v>
      </c>
      <c r="M65" s="332">
        <v>2433518</v>
      </c>
      <c r="N65" s="333">
        <v>30.004604339599609</v>
      </c>
      <c r="O65" s="197"/>
      <c r="P65" s="333">
        <v>30.971549605482782</v>
      </c>
      <c r="Q65" s="200">
        <f t="shared" si="2"/>
        <v>-0.15897440887293646</v>
      </c>
      <c r="R65" s="332">
        <v>1611000</v>
      </c>
      <c r="S65" s="333">
        <v>35.819999694824219</v>
      </c>
      <c r="T65" s="197"/>
      <c r="U65" s="333">
        <v>37.287330377347388</v>
      </c>
      <c r="V65" s="200">
        <f t="shared" si="3"/>
        <v>-0.13499155211750702</v>
      </c>
      <c r="W65" s="332">
        <v>84707</v>
      </c>
      <c r="X65" s="333">
        <v>19.294086456298828</v>
      </c>
      <c r="Y65" s="197"/>
      <c r="Z65" s="333">
        <v>19.522190352322689</v>
      </c>
      <c r="AA65" s="200">
        <f t="shared" si="4"/>
        <v>-3.8095037383518715E-3</v>
      </c>
      <c r="AB65" s="332">
        <v>2100</v>
      </c>
      <c r="AC65" s="333">
        <v>28.600000381469727</v>
      </c>
      <c r="AD65" s="197"/>
      <c r="AE65" s="333">
        <v>28.600000381469741</v>
      </c>
      <c r="AF65" s="200">
        <f t="shared" si="5"/>
        <v>-0.16739442061353649</v>
      </c>
    </row>
    <row r="66" spans="2:32" x14ac:dyDescent="0.3">
      <c r="B66" s="331">
        <v>39885.770833333336</v>
      </c>
      <c r="C66" s="332">
        <v>337474700</v>
      </c>
      <c r="D66" s="333">
        <v>76.089996337890625</v>
      </c>
      <c r="E66" s="197"/>
      <c r="F66" s="333">
        <v>77.906449773740562</v>
      </c>
      <c r="G66" s="200">
        <f t="shared" si="0"/>
        <v>0.10403363841318325</v>
      </c>
      <c r="H66" s="332">
        <v>17162909</v>
      </c>
      <c r="I66" s="333">
        <v>4.551908016204834</v>
      </c>
      <c r="J66" s="197"/>
      <c r="K66" s="333">
        <v>4.685224081278788</v>
      </c>
      <c r="L66" s="200">
        <f t="shared" si="1"/>
        <v>0.3865741416562265</v>
      </c>
      <c r="M66" s="332">
        <v>2970260</v>
      </c>
      <c r="N66" s="333">
        <v>34.230865478515625</v>
      </c>
      <c r="O66" s="197"/>
      <c r="P66" s="333">
        <v>35.334008614379286</v>
      </c>
      <c r="Q66" s="200">
        <f t="shared" si="2"/>
        <v>0.14085375334672423</v>
      </c>
      <c r="R66" s="332">
        <v>2098500</v>
      </c>
      <c r="S66" s="333">
        <v>39.619998931884766</v>
      </c>
      <c r="T66" s="197"/>
      <c r="U66" s="333">
        <v>41.242992805965962</v>
      </c>
      <c r="V66" s="200">
        <f t="shared" si="3"/>
        <v>0.10608596508753276</v>
      </c>
      <c r="W66" s="332">
        <v>105238</v>
      </c>
      <c r="X66" s="333">
        <v>19.358646392822266</v>
      </c>
      <c r="Y66" s="197"/>
      <c r="Z66" s="333">
        <v>19.587513547219693</v>
      </c>
      <c r="AA66" s="200">
        <f t="shared" si="4"/>
        <v>3.3460996803174048E-3</v>
      </c>
      <c r="AB66" s="332">
        <v>0</v>
      </c>
      <c r="AC66" s="333">
        <v>31.120000839233398</v>
      </c>
      <c r="AD66" s="197"/>
      <c r="AE66" s="333">
        <v>31.120000839233413</v>
      </c>
      <c r="AF66" s="200">
        <f t="shared" si="5"/>
        <v>8.8111902942365372E-2</v>
      </c>
    </row>
    <row r="67" spans="2:32" x14ac:dyDescent="0.3">
      <c r="B67" s="331">
        <v>39892.770833333336</v>
      </c>
      <c r="C67" s="332">
        <v>371078200</v>
      </c>
      <c r="D67" s="333">
        <v>76.709999084472656</v>
      </c>
      <c r="E67" s="333">
        <v>0.56100000000000005</v>
      </c>
      <c r="F67" s="333">
        <v>79.115645930757935</v>
      </c>
      <c r="G67" s="200">
        <f t="shared" si="0"/>
        <v>1.552113028547919E-2</v>
      </c>
      <c r="H67" s="332">
        <v>29307380</v>
      </c>
      <c r="I67" s="333">
        <v>3.8299860954284668</v>
      </c>
      <c r="J67" s="197"/>
      <c r="K67" s="333">
        <v>3.9421585456872914</v>
      </c>
      <c r="L67" s="200">
        <f t="shared" si="1"/>
        <v>-0.15859765140383297</v>
      </c>
      <c r="M67" s="332">
        <v>2558450</v>
      </c>
      <c r="N67" s="333">
        <v>34.322341918945313</v>
      </c>
      <c r="O67" s="197"/>
      <c r="P67" s="333">
        <v>35.428433026060723</v>
      </c>
      <c r="Q67" s="200">
        <f t="shared" si="2"/>
        <v>2.67233793685695E-3</v>
      </c>
      <c r="R67" s="332">
        <v>1888600</v>
      </c>
      <c r="S67" s="333">
        <v>38.700000762939453</v>
      </c>
      <c r="T67" s="197"/>
      <c r="U67" s="333">
        <v>40.285307826505303</v>
      </c>
      <c r="V67" s="200">
        <f t="shared" si="3"/>
        <v>-2.3220550069347201E-2</v>
      </c>
      <c r="W67" s="332">
        <v>194873</v>
      </c>
      <c r="X67" s="333">
        <v>20.373153686523438</v>
      </c>
      <c r="Y67" s="197"/>
      <c r="Z67" s="333">
        <v>20.614014830206756</v>
      </c>
      <c r="AA67" s="200">
        <f t="shared" si="4"/>
        <v>5.2405900346282897E-2</v>
      </c>
      <c r="AB67" s="332">
        <v>0</v>
      </c>
      <c r="AC67" s="333">
        <v>33.900001525878906</v>
      </c>
      <c r="AD67" s="197"/>
      <c r="AE67" s="333">
        <v>33.90000152587892</v>
      </c>
      <c r="AF67" s="200">
        <f t="shared" si="5"/>
        <v>8.9331639192654633E-2</v>
      </c>
    </row>
    <row r="68" spans="2:32" x14ac:dyDescent="0.3">
      <c r="B68" s="331">
        <v>39899.770833333336</v>
      </c>
      <c r="C68" s="332">
        <v>322332300</v>
      </c>
      <c r="D68" s="333">
        <v>81.610000610351563</v>
      </c>
      <c r="E68" s="197"/>
      <c r="F68" s="333">
        <v>84.169312863470466</v>
      </c>
      <c r="G68" s="200">
        <f t="shared" si="0"/>
        <v>6.3876959775257314E-2</v>
      </c>
      <c r="H68" s="332">
        <v>10071352</v>
      </c>
      <c r="I68" s="333">
        <v>4.8862719535827637</v>
      </c>
      <c r="J68" s="197"/>
      <c r="K68" s="333">
        <v>5.0293808537217428</v>
      </c>
      <c r="L68" s="200">
        <f t="shared" si="1"/>
        <v>0.27579365351093488</v>
      </c>
      <c r="M68" s="332">
        <v>1815311</v>
      </c>
      <c r="N68" s="333">
        <v>38.877918243408203</v>
      </c>
      <c r="O68" s="197"/>
      <c r="P68" s="333">
        <v>40.130819917010413</v>
      </c>
      <c r="Q68" s="200">
        <f t="shared" si="2"/>
        <v>0.13272918075407603</v>
      </c>
      <c r="R68" s="332">
        <v>1393300</v>
      </c>
      <c r="S68" s="333">
        <v>44.389999389648438</v>
      </c>
      <c r="T68" s="197"/>
      <c r="U68" s="333">
        <v>46.208391591115365</v>
      </c>
      <c r="V68" s="200">
        <f t="shared" si="3"/>
        <v>0.14702838538850704</v>
      </c>
      <c r="W68" s="332">
        <v>76926</v>
      </c>
      <c r="X68" s="333">
        <v>21.442998886108398</v>
      </c>
      <c r="Y68" s="197"/>
      <c r="Z68" s="333">
        <v>21.696508250204772</v>
      </c>
      <c r="AA68" s="200">
        <f t="shared" si="4"/>
        <v>5.2512498361638071E-2</v>
      </c>
      <c r="AB68" s="332">
        <v>0</v>
      </c>
      <c r="AC68" s="333">
        <v>37.799999237060547</v>
      </c>
      <c r="AD68" s="197"/>
      <c r="AE68" s="333">
        <v>37.799999237060561</v>
      </c>
      <c r="AF68" s="200">
        <f t="shared" si="5"/>
        <v>0.11504417509257103</v>
      </c>
    </row>
    <row r="69" spans="2:32" x14ac:dyDescent="0.3">
      <c r="B69" s="331">
        <v>39906.770833333336</v>
      </c>
      <c r="C69" s="332">
        <v>284646300</v>
      </c>
      <c r="D69" s="333">
        <v>84.260002136230469</v>
      </c>
      <c r="E69" s="197"/>
      <c r="F69" s="333">
        <v>86.902419172160819</v>
      </c>
      <c r="G69" s="200">
        <f t="shared" ref="G69:G132" si="6">(F69/F68)-1</f>
        <v>3.2471529298613522E-2</v>
      </c>
      <c r="H69" s="332">
        <v>11701529</v>
      </c>
      <c r="I69" s="333">
        <v>5.6765861511230469</v>
      </c>
      <c r="J69" s="197"/>
      <c r="K69" s="333">
        <v>5.8428417358200324</v>
      </c>
      <c r="L69" s="200">
        <f t="shared" ref="L69:L132" si="7">(K69/K68)-1</f>
        <v>0.16174175425516402</v>
      </c>
      <c r="M69" s="332">
        <v>2696229</v>
      </c>
      <c r="N69" s="333">
        <v>44.092132568359375</v>
      </c>
      <c r="O69" s="197"/>
      <c r="P69" s="333">
        <v>45.513070447330158</v>
      </c>
      <c r="Q69" s="200">
        <f t="shared" ref="Q69:Q132" si="8">(P69/P68)-1</f>
        <v>0.13411763182138103</v>
      </c>
      <c r="R69" s="332">
        <v>845700</v>
      </c>
      <c r="S69" s="333">
        <v>48.299999237060547</v>
      </c>
      <c r="T69" s="197"/>
      <c r="U69" s="333">
        <v>50.278560695748261</v>
      </c>
      <c r="V69" s="200">
        <f t="shared" ref="V69:V132" si="9">(U69/U68)-1</f>
        <v>8.8082899328083997E-2</v>
      </c>
      <c r="W69" s="332">
        <v>166153</v>
      </c>
      <c r="X69" s="333">
        <v>25.501028060913086</v>
      </c>
      <c r="Y69" s="197"/>
      <c r="Z69" s="333">
        <v>25.802513382153016</v>
      </c>
      <c r="AA69" s="200">
        <f t="shared" ref="AA69:AA132" si="10">(Z69/Z68)-1</f>
        <v>0.1892472781609682</v>
      </c>
      <c r="AB69" s="332">
        <v>0</v>
      </c>
      <c r="AC69" s="333">
        <v>35.599998474121094</v>
      </c>
      <c r="AD69" s="197"/>
      <c r="AE69" s="333">
        <v>35.599998474121108</v>
      </c>
      <c r="AF69" s="200">
        <f t="shared" ref="AF69:AF132" si="11">(AE69/AE68)-1</f>
        <v>-5.8201079559347946E-2</v>
      </c>
    </row>
    <row r="70" spans="2:32" x14ac:dyDescent="0.3">
      <c r="B70" s="331">
        <v>39912.770833333336</v>
      </c>
      <c r="C70" s="332">
        <v>269653500</v>
      </c>
      <c r="D70" s="333">
        <v>85.80999755859375</v>
      </c>
      <c r="E70" s="197"/>
      <c r="F70" s="333">
        <v>88.501022880850101</v>
      </c>
      <c r="G70" s="200">
        <f t="shared" si="6"/>
        <v>1.839538788353301E-2</v>
      </c>
      <c r="H70" s="332">
        <v>12163026</v>
      </c>
      <c r="I70" s="333">
        <v>6.1857309341430664</v>
      </c>
      <c r="J70" s="197"/>
      <c r="K70" s="333">
        <v>6.3668983269836952</v>
      </c>
      <c r="L70" s="200">
        <f t="shared" si="7"/>
        <v>8.9692073627613444E-2</v>
      </c>
      <c r="M70" s="332">
        <v>1671140</v>
      </c>
      <c r="N70" s="333">
        <v>43.671337127685547</v>
      </c>
      <c r="O70" s="197"/>
      <c r="P70" s="333">
        <v>45.078714215963693</v>
      </c>
      <c r="Q70" s="200">
        <f t="shared" si="8"/>
        <v>-9.5435492946828182E-3</v>
      </c>
      <c r="R70" s="332">
        <v>1378200</v>
      </c>
      <c r="S70" s="333">
        <v>47.060001373291016</v>
      </c>
      <c r="T70" s="197"/>
      <c r="U70" s="333">
        <v>48.987767552043678</v>
      </c>
      <c r="V70" s="200">
        <f t="shared" si="9"/>
        <v>-2.5672834023940938E-2</v>
      </c>
      <c r="W70" s="332">
        <v>270658</v>
      </c>
      <c r="X70" s="333">
        <v>28.129524230957031</v>
      </c>
      <c r="Y70" s="197"/>
      <c r="Z70" s="333">
        <v>28.462084888074038</v>
      </c>
      <c r="AA70" s="200">
        <f t="shared" si="10"/>
        <v>0.10307412562997009</v>
      </c>
      <c r="AB70" s="332">
        <v>2000</v>
      </c>
      <c r="AC70" s="333">
        <v>41.75</v>
      </c>
      <c r="AD70" s="197"/>
      <c r="AE70" s="333">
        <v>41.750000000000014</v>
      </c>
      <c r="AF70" s="200">
        <f t="shared" si="11"/>
        <v>0.17275285925502382</v>
      </c>
    </row>
    <row r="71" spans="2:32" x14ac:dyDescent="0.3">
      <c r="B71" s="331">
        <v>39920.770833333336</v>
      </c>
      <c r="C71" s="332">
        <v>262649000</v>
      </c>
      <c r="D71" s="333">
        <v>87.080001831054688</v>
      </c>
      <c r="E71" s="197"/>
      <c r="F71" s="333">
        <v>89.810854839522449</v>
      </c>
      <c r="G71" s="200">
        <f t="shared" si="6"/>
        <v>1.4800190054704565E-2</v>
      </c>
      <c r="H71" s="332">
        <v>13274330</v>
      </c>
      <c r="I71" s="333">
        <v>6.4517021179199219</v>
      </c>
      <c r="J71" s="197"/>
      <c r="K71" s="333">
        <v>6.6406592621171159</v>
      </c>
      <c r="L71" s="200">
        <f t="shared" si="7"/>
        <v>4.2997535232059292E-2</v>
      </c>
      <c r="M71" s="332">
        <v>2133802</v>
      </c>
      <c r="N71" s="333">
        <v>49.855213165283203</v>
      </c>
      <c r="O71" s="197"/>
      <c r="P71" s="333">
        <v>51.461875323002232</v>
      </c>
      <c r="Q71" s="200">
        <f t="shared" si="8"/>
        <v>0.1416003366124865</v>
      </c>
      <c r="R71" s="332">
        <v>1413600</v>
      </c>
      <c r="S71" s="333">
        <v>52.330001831054688</v>
      </c>
      <c r="T71" s="197"/>
      <c r="U71" s="333">
        <v>54.473648340194551</v>
      </c>
      <c r="V71" s="200">
        <f t="shared" si="9"/>
        <v>0.11198470684182071</v>
      </c>
      <c r="W71" s="332">
        <v>183331</v>
      </c>
      <c r="X71" s="333">
        <v>32.925376892089844</v>
      </c>
      <c r="Y71" s="197"/>
      <c r="Z71" s="333">
        <v>33.314636407649239</v>
      </c>
      <c r="AA71" s="200">
        <f t="shared" si="10"/>
        <v>0.17049178015797706</v>
      </c>
      <c r="AB71" s="332">
        <v>0</v>
      </c>
      <c r="AC71" s="333">
        <v>46.700000762939453</v>
      </c>
      <c r="AD71" s="197"/>
      <c r="AE71" s="333">
        <v>46.700000762939467</v>
      </c>
      <c r="AF71" s="200">
        <f t="shared" si="11"/>
        <v>0.11856289252549579</v>
      </c>
    </row>
    <row r="72" spans="2:32" x14ac:dyDescent="0.3">
      <c r="B72" s="331">
        <v>39927.770833333336</v>
      </c>
      <c r="C72" s="332">
        <v>287703000</v>
      </c>
      <c r="D72" s="333">
        <v>86.660003662109375</v>
      </c>
      <c r="E72" s="197"/>
      <c r="F72" s="333">
        <v>89.377685411515387</v>
      </c>
      <c r="G72" s="200">
        <f t="shared" si="6"/>
        <v>-4.8231299967144148E-3</v>
      </c>
      <c r="H72" s="332">
        <v>16161485</v>
      </c>
      <c r="I72" s="333">
        <v>6.1781320571899414</v>
      </c>
      <c r="J72" s="197"/>
      <c r="K72" s="333">
        <v>6.3590768944844633</v>
      </c>
      <c r="L72" s="200">
        <f t="shared" si="7"/>
        <v>-4.2402773055830734E-2</v>
      </c>
      <c r="M72" s="332">
        <v>990825</v>
      </c>
      <c r="N72" s="333">
        <v>51.364593505859375</v>
      </c>
      <c r="O72" s="197"/>
      <c r="P72" s="333">
        <v>53.019897803905216</v>
      </c>
      <c r="Q72" s="200">
        <f t="shared" si="8"/>
        <v>3.0275276039281485E-2</v>
      </c>
      <c r="R72" s="332">
        <v>1191000</v>
      </c>
      <c r="S72" s="333">
        <v>51.490001678466797</v>
      </c>
      <c r="T72" s="197"/>
      <c r="U72" s="333">
        <v>53.599238416313597</v>
      </c>
      <c r="V72" s="200">
        <f t="shared" si="9"/>
        <v>-1.605198018719356E-2</v>
      </c>
      <c r="W72" s="332">
        <v>50225</v>
      </c>
      <c r="X72" s="333">
        <v>29.863410949707031</v>
      </c>
      <c r="Y72" s="197"/>
      <c r="Z72" s="333">
        <v>30.216470442915952</v>
      </c>
      <c r="AA72" s="200">
        <f t="shared" si="10"/>
        <v>-9.299714176144902E-2</v>
      </c>
      <c r="AB72" s="332">
        <v>0</v>
      </c>
      <c r="AC72" s="333">
        <v>48</v>
      </c>
      <c r="AD72" s="197"/>
      <c r="AE72" s="333">
        <v>48.000000000000021</v>
      </c>
      <c r="AF72" s="200">
        <f t="shared" si="11"/>
        <v>2.7837242308831334E-2</v>
      </c>
    </row>
    <row r="73" spans="2:32" x14ac:dyDescent="0.3">
      <c r="B73" s="331">
        <v>39934.770833333336</v>
      </c>
      <c r="C73" s="332">
        <v>236110300</v>
      </c>
      <c r="D73" s="333">
        <v>87.889999389648438</v>
      </c>
      <c r="E73" s="197"/>
      <c r="F73" s="333">
        <v>90.646254146201017</v>
      </c>
      <c r="G73" s="200">
        <f t="shared" si="6"/>
        <v>1.4193349591062443E-2</v>
      </c>
      <c r="H73" s="332">
        <v>7407906</v>
      </c>
      <c r="I73" s="333">
        <v>5.8665661811828613</v>
      </c>
      <c r="J73" s="197"/>
      <c r="K73" s="333">
        <v>6.0383858919474287</v>
      </c>
      <c r="L73" s="200">
        <f t="shared" si="7"/>
        <v>-5.0430433199382341E-2</v>
      </c>
      <c r="M73" s="332">
        <v>2582295</v>
      </c>
      <c r="N73" s="333">
        <v>53.468574523925781</v>
      </c>
      <c r="O73" s="197"/>
      <c r="P73" s="333">
        <v>55.191682898369407</v>
      </c>
      <c r="Q73" s="200">
        <f t="shared" si="8"/>
        <v>4.0961698992641793E-2</v>
      </c>
      <c r="R73" s="332">
        <v>1813000</v>
      </c>
      <c r="S73" s="333">
        <v>45.259998321533203</v>
      </c>
      <c r="T73" s="197"/>
      <c r="U73" s="333">
        <v>47.114029164468391</v>
      </c>
      <c r="V73" s="200">
        <f t="shared" si="9"/>
        <v>-0.12099442909008484</v>
      </c>
      <c r="W73" s="332">
        <v>160123</v>
      </c>
      <c r="X73" s="333">
        <v>29.42071533203125</v>
      </c>
      <c r="Y73" s="197"/>
      <c r="Z73" s="333">
        <v>29.768541066421207</v>
      </c>
      <c r="AA73" s="200">
        <f t="shared" si="10"/>
        <v>-1.4824013854992102E-2</v>
      </c>
      <c r="AB73" s="332">
        <v>0</v>
      </c>
      <c r="AC73" s="333">
        <v>49</v>
      </c>
      <c r="AD73" s="197"/>
      <c r="AE73" s="333">
        <v>49.000000000000021</v>
      </c>
      <c r="AF73" s="200">
        <f t="shared" si="11"/>
        <v>2.0833333333333259E-2</v>
      </c>
    </row>
    <row r="74" spans="2:32" x14ac:dyDescent="0.3">
      <c r="B74" s="331">
        <v>39941.770833333336</v>
      </c>
      <c r="C74" s="332">
        <v>299081700</v>
      </c>
      <c r="D74" s="333">
        <v>92.980003356933594</v>
      </c>
      <c r="E74" s="197"/>
      <c r="F74" s="333">
        <v>95.895882049578191</v>
      </c>
      <c r="G74" s="200">
        <f t="shared" si="6"/>
        <v>5.7913346258193776E-2</v>
      </c>
      <c r="H74" s="332">
        <v>11685737</v>
      </c>
      <c r="I74" s="333">
        <v>7.6599721908569336</v>
      </c>
      <c r="J74" s="197"/>
      <c r="K74" s="333">
        <v>7.8843170913745828</v>
      </c>
      <c r="L74" s="200">
        <f t="shared" si="7"/>
        <v>0.30569944227791424</v>
      </c>
      <c r="M74" s="332">
        <v>2096470</v>
      </c>
      <c r="N74" s="333">
        <v>52.462322235107422</v>
      </c>
      <c r="O74" s="197"/>
      <c r="P74" s="333">
        <v>54.153002556978031</v>
      </c>
      <c r="Q74" s="200">
        <f t="shared" si="8"/>
        <v>-1.8819508426731857E-2</v>
      </c>
      <c r="R74" s="332">
        <v>1224100</v>
      </c>
      <c r="S74" s="333">
        <v>47.650001525878906</v>
      </c>
      <c r="T74" s="197"/>
      <c r="U74" s="333">
        <v>49.601936474423894</v>
      </c>
      <c r="V74" s="200">
        <f t="shared" si="9"/>
        <v>5.2806082478545235E-2</v>
      </c>
      <c r="W74" s="332">
        <v>152298</v>
      </c>
      <c r="X74" s="333">
        <v>37.398433685302734</v>
      </c>
      <c r="Y74" s="333">
        <v>0.11067399999999999</v>
      </c>
      <c r="Z74" s="333">
        <v>37.952558253370604</v>
      </c>
      <c r="AA74" s="200">
        <f t="shared" si="10"/>
        <v>0.2749216754925532</v>
      </c>
      <c r="AB74" s="332">
        <v>300</v>
      </c>
      <c r="AC74" s="333">
        <v>51.849998474121094</v>
      </c>
      <c r="AD74" s="197"/>
      <c r="AE74" s="333">
        <v>51.849998474121115</v>
      </c>
      <c r="AF74" s="200">
        <f t="shared" si="11"/>
        <v>5.8163234165736544E-2</v>
      </c>
    </row>
    <row r="75" spans="2:32" x14ac:dyDescent="0.3">
      <c r="B75" s="331">
        <v>39948.770833333336</v>
      </c>
      <c r="C75" s="332">
        <v>271502700</v>
      </c>
      <c r="D75" s="333">
        <v>88.709999084472656</v>
      </c>
      <c r="E75" s="197"/>
      <c r="F75" s="333">
        <v>91.491969258876239</v>
      </c>
      <c r="G75" s="200">
        <f t="shared" si="6"/>
        <v>-4.5923898884679182E-2</v>
      </c>
      <c r="H75" s="332">
        <v>8451572</v>
      </c>
      <c r="I75" s="333">
        <v>6.7024750709533691</v>
      </c>
      <c r="J75" s="197"/>
      <c r="K75" s="333">
        <v>6.8987768414493313</v>
      </c>
      <c r="L75" s="200">
        <f t="shared" si="7"/>
        <v>-0.12500007781313482</v>
      </c>
      <c r="M75" s="332">
        <v>2203018</v>
      </c>
      <c r="N75" s="333">
        <v>48.300098419189453</v>
      </c>
      <c r="O75" s="333">
        <v>2.058243</v>
      </c>
      <c r="P75" s="333">
        <v>51.981217671176829</v>
      </c>
      <c r="Q75" s="200">
        <f t="shared" si="8"/>
        <v>-4.0104607007083737E-2</v>
      </c>
      <c r="R75" s="332">
        <v>1648800</v>
      </c>
      <c r="S75" s="333">
        <v>41.380001068115234</v>
      </c>
      <c r="T75" s="197"/>
      <c r="U75" s="333">
        <v>43.07509168027012</v>
      </c>
      <c r="V75" s="200">
        <f t="shared" si="9"/>
        <v>-0.13158447548754859</v>
      </c>
      <c r="W75" s="332">
        <v>188499</v>
      </c>
      <c r="X75" s="333">
        <v>28.286312103271484</v>
      </c>
      <c r="Y75" s="197"/>
      <c r="Z75" s="333">
        <v>28.705424320867326</v>
      </c>
      <c r="AA75" s="200">
        <f t="shared" si="10"/>
        <v>-0.24364981856478751</v>
      </c>
      <c r="AB75" s="332">
        <v>0</v>
      </c>
      <c r="AC75" s="333">
        <v>47.75</v>
      </c>
      <c r="AD75" s="197"/>
      <c r="AE75" s="333">
        <v>47.750000000000014</v>
      </c>
      <c r="AF75" s="200">
        <f t="shared" si="11"/>
        <v>-7.9074225550217814E-2</v>
      </c>
    </row>
    <row r="76" spans="2:32" x14ac:dyDescent="0.3">
      <c r="B76" s="331">
        <v>39955.770833333336</v>
      </c>
      <c r="C76" s="332">
        <v>166811900</v>
      </c>
      <c r="D76" s="333">
        <v>89.019996643066406</v>
      </c>
      <c r="E76" s="197"/>
      <c r="F76" s="333">
        <v>91.811688426883194</v>
      </c>
      <c r="G76" s="200">
        <f t="shared" si="6"/>
        <v>3.4945052620116712E-3</v>
      </c>
      <c r="H76" s="332">
        <v>4185979</v>
      </c>
      <c r="I76" s="333">
        <v>7.2116198539733887</v>
      </c>
      <c r="J76" s="197"/>
      <c r="K76" s="333">
        <v>7.422833432612995</v>
      </c>
      <c r="L76" s="200">
        <f t="shared" si="7"/>
        <v>7.5963696638948974E-2</v>
      </c>
      <c r="M76" s="332">
        <v>1314881</v>
      </c>
      <c r="N76" s="333">
        <v>53.194141387939453</v>
      </c>
      <c r="O76" s="197"/>
      <c r="P76" s="333">
        <v>57.248252753441065</v>
      </c>
      <c r="Q76" s="200">
        <f t="shared" si="8"/>
        <v>0.10132573491414698</v>
      </c>
      <c r="R76" s="332">
        <v>1123800</v>
      </c>
      <c r="S76" s="333">
        <v>40.259998321533203</v>
      </c>
      <c r="T76" s="333">
        <v>0.49</v>
      </c>
      <c r="U76" s="333">
        <v>42.419281497395247</v>
      </c>
      <c r="V76" s="200">
        <f t="shared" si="9"/>
        <v>-1.5224812235867136E-2</v>
      </c>
      <c r="W76" s="332">
        <v>221474</v>
      </c>
      <c r="X76" s="333">
        <v>25.851493835449219</v>
      </c>
      <c r="Y76" s="197"/>
      <c r="Z76" s="333">
        <v>26.234529873161865</v>
      </c>
      <c r="AA76" s="200">
        <f t="shared" si="10"/>
        <v>-8.6077614463592966E-2</v>
      </c>
      <c r="AB76" s="332">
        <v>0</v>
      </c>
      <c r="AC76" s="333">
        <v>49.650001525878906</v>
      </c>
      <c r="AD76" s="197"/>
      <c r="AE76" s="333">
        <v>49.650001525878928</v>
      </c>
      <c r="AF76" s="200">
        <f t="shared" si="11"/>
        <v>3.9790607871809769E-2</v>
      </c>
    </row>
    <row r="77" spans="2:32" x14ac:dyDescent="0.3">
      <c r="B77" s="331">
        <v>39962.770833333336</v>
      </c>
      <c r="C77" s="332">
        <v>258641500</v>
      </c>
      <c r="D77" s="333">
        <v>92.529998779296875</v>
      </c>
      <c r="E77" s="197"/>
      <c r="F77" s="333">
        <v>95.431765203581065</v>
      </c>
      <c r="G77" s="200">
        <f t="shared" si="6"/>
        <v>3.9429367205035426E-2</v>
      </c>
      <c r="H77" s="332">
        <v>8733865</v>
      </c>
      <c r="I77" s="333">
        <v>7.7134699821472168</v>
      </c>
      <c r="J77" s="197" t="s">
        <v>439</v>
      </c>
      <c r="K77" s="333">
        <v>7.9393817234269326</v>
      </c>
      <c r="L77" s="200">
        <f t="shared" si="7"/>
        <v>6.9589099028469104E-2</v>
      </c>
      <c r="M77" s="332">
        <v>2040548</v>
      </c>
      <c r="N77" s="333">
        <v>51.318851470947266</v>
      </c>
      <c r="O77" s="197"/>
      <c r="P77" s="333">
        <v>55.23004043996459</v>
      </c>
      <c r="Q77" s="200">
        <f t="shared" si="8"/>
        <v>-3.5253692757551747E-2</v>
      </c>
      <c r="R77" s="332">
        <v>1788200</v>
      </c>
      <c r="S77" s="333">
        <v>44.290000915527344</v>
      </c>
      <c r="T77" s="197"/>
      <c r="U77" s="333">
        <v>46.665427090959199</v>
      </c>
      <c r="V77" s="200">
        <f t="shared" si="9"/>
        <v>0.10009942280197959</v>
      </c>
      <c r="W77" s="332">
        <v>2277085</v>
      </c>
      <c r="X77" s="333">
        <v>23.51812744140625</v>
      </c>
      <c r="Y77" s="197"/>
      <c r="Z77" s="333">
        <v>23.866590489882952</v>
      </c>
      <c r="AA77" s="200">
        <f t="shared" si="10"/>
        <v>-9.026040850464534E-2</v>
      </c>
      <c r="AB77" s="332">
        <v>0</v>
      </c>
      <c r="AC77" s="333">
        <v>49.650001525878906</v>
      </c>
      <c r="AD77" s="197"/>
      <c r="AE77" s="333">
        <v>49.650001525878928</v>
      </c>
      <c r="AF77" s="200">
        <f t="shared" si="11"/>
        <v>0</v>
      </c>
    </row>
    <row r="78" spans="2:32" x14ac:dyDescent="0.3">
      <c r="B78" s="331">
        <v>39969.770833333336</v>
      </c>
      <c r="C78" s="332">
        <v>284257900</v>
      </c>
      <c r="D78" s="333">
        <v>94.550003051757813</v>
      </c>
      <c r="E78" s="197"/>
      <c r="F78" s="333">
        <v>97.515117370260811</v>
      </c>
      <c r="G78" s="200">
        <f t="shared" si="6"/>
        <v>2.1830804053927011E-2</v>
      </c>
      <c r="H78" s="332">
        <v>7284189</v>
      </c>
      <c r="I78" s="333">
        <v>8.2192707061767578</v>
      </c>
      <c r="J78" s="197"/>
      <c r="K78" s="333">
        <v>8.4599963149597528</v>
      </c>
      <c r="L78" s="200">
        <f t="shared" si="7"/>
        <v>6.557369448512973E-2</v>
      </c>
      <c r="M78" s="332">
        <v>1739999</v>
      </c>
      <c r="N78" s="333">
        <v>54.657779693603516</v>
      </c>
      <c r="O78" s="197"/>
      <c r="P78" s="333">
        <v>58.823440048056788</v>
      </c>
      <c r="Q78" s="200">
        <f t="shared" si="8"/>
        <v>6.5062411315781166E-2</v>
      </c>
      <c r="R78" s="332">
        <v>1279600</v>
      </c>
      <c r="S78" s="333">
        <v>46.090000152587891</v>
      </c>
      <c r="T78" s="197"/>
      <c r="U78" s="333">
        <v>48.561966522535116</v>
      </c>
      <c r="V78" s="200">
        <f t="shared" si="9"/>
        <v>4.0641210202131628E-2</v>
      </c>
      <c r="W78" s="332">
        <v>191409</v>
      </c>
      <c r="X78" s="333">
        <v>24.689422607421875</v>
      </c>
      <c r="Y78" s="197"/>
      <c r="Z78" s="333">
        <v>25.055240485071632</v>
      </c>
      <c r="AA78" s="200">
        <f t="shared" si="10"/>
        <v>4.9803929710552808E-2</v>
      </c>
      <c r="AB78" s="332">
        <v>0</v>
      </c>
      <c r="AC78" s="333">
        <v>49.650001525878906</v>
      </c>
      <c r="AD78" s="197"/>
      <c r="AE78" s="333">
        <v>49.650001525878928</v>
      </c>
      <c r="AF78" s="200">
        <f t="shared" si="11"/>
        <v>0</v>
      </c>
    </row>
    <row r="79" spans="2:32" x14ac:dyDescent="0.3">
      <c r="B79" s="331">
        <v>39976.770833333336</v>
      </c>
      <c r="C79" s="332">
        <v>184361800</v>
      </c>
      <c r="D79" s="333">
        <v>95.080001831054688</v>
      </c>
      <c r="E79" s="197"/>
      <c r="F79" s="333">
        <v>98.061737058267994</v>
      </c>
      <c r="G79" s="200">
        <f t="shared" si="6"/>
        <v>5.6054866440009565E-3</v>
      </c>
      <c r="H79" s="332">
        <v>10010445</v>
      </c>
      <c r="I79" s="333">
        <v>8.9621667861938477</v>
      </c>
      <c r="J79" s="197"/>
      <c r="K79" s="333">
        <v>9.2246502999683671</v>
      </c>
      <c r="L79" s="200">
        <f t="shared" si="7"/>
        <v>9.0384671167820896E-2</v>
      </c>
      <c r="M79" s="332">
        <v>1600722</v>
      </c>
      <c r="N79" s="333">
        <v>56.716022491455078</v>
      </c>
      <c r="O79" s="197"/>
      <c r="P79" s="333">
        <v>61.038548720645892</v>
      </c>
      <c r="Q79" s="200">
        <f t="shared" si="8"/>
        <v>3.7656904641745426E-2</v>
      </c>
      <c r="R79" s="332">
        <v>13891000</v>
      </c>
      <c r="S79" s="333">
        <v>47.200000762939453</v>
      </c>
      <c r="T79" s="197"/>
      <c r="U79" s="333">
        <v>49.731500310806538</v>
      </c>
      <c r="V79" s="200">
        <f t="shared" si="9"/>
        <v>2.4083328415637872E-2</v>
      </c>
      <c r="W79" s="332">
        <v>103143</v>
      </c>
      <c r="X79" s="333">
        <v>26.174291610717773</v>
      </c>
      <c r="Y79" s="197"/>
      <c r="Z79" s="333">
        <v>26.562110473810193</v>
      </c>
      <c r="AA79" s="200">
        <f t="shared" si="10"/>
        <v>6.0141908820886547E-2</v>
      </c>
      <c r="AB79" s="332">
        <v>700</v>
      </c>
      <c r="AC79" s="333">
        <v>57</v>
      </c>
      <c r="AD79" s="197"/>
      <c r="AE79" s="333">
        <v>57.000000000000014</v>
      </c>
      <c r="AF79" s="200">
        <f t="shared" si="11"/>
        <v>0.14803621849417392</v>
      </c>
    </row>
    <row r="80" spans="2:32" x14ac:dyDescent="0.3">
      <c r="B80" s="331">
        <v>39983.770833333336</v>
      </c>
      <c r="C80" s="332">
        <v>215655600</v>
      </c>
      <c r="D80" s="333">
        <v>92.040000915527344</v>
      </c>
      <c r="E80" s="333">
        <v>0.51800000000000002</v>
      </c>
      <c r="F80" s="333">
        <v>95.460645494569917</v>
      </c>
      <c r="G80" s="200">
        <f t="shared" si="6"/>
        <v>-2.6525040670577926E-2</v>
      </c>
      <c r="H80" s="332">
        <v>11367373</v>
      </c>
      <c r="I80" s="333">
        <v>7.3657307624816895</v>
      </c>
      <c r="J80" s="197"/>
      <c r="K80" s="333">
        <v>7.5814579340660924</v>
      </c>
      <c r="L80" s="200">
        <f t="shared" si="7"/>
        <v>-0.17813058625191569</v>
      </c>
      <c r="M80" s="332">
        <v>2140295</v>
      </c>
      <c r="N80" s="333">
        <v>57.081932067871094</v>
      </c>
      <c r="O80" s="197"/>
      <c r="P80" s="333">
        <v>61.432345544299814</v>
      </c>
      <c r="Q80" s="200">
        <f t="shared" si="8"/>
        <v>6.4516085638963716E-3</v>
      </c>
      <c r="R80" s="332">
        <v>2116100</v>
      </c>
      <c r="S80" s="333">
        <v>43.569999694824219</v>
      </c>
      <c r="T80" s="197"/>
      <c r="U80" s="333">
        <v>45.906809710611761</v>
      </c>
      <c r="V80" s="200">
        <f t="shared" si="9"/>
        <v>-7.6906801047457618E-2</v>
      </c>
      <c r="W80" s="332">
        <v>744750</v>
      </c>
      <c r="X80" s="333">
        <v>29.22703742980957</v>
      </c>
      <c r="Y80" s="197"/>
      <c r="Z80" s="333">
        <v>29.660088172735772</v>
      </c>
      <c r="AA80" s="200">
        <f t="shared" si="10"/>
        <v>0.11663145900925809</v>
      </c>
      <c r="AB80" s="332">
        <v>0</v>
      </c>
      <c r="AC80" s="333">
        <v>57</v>
      </c>
      <c r="AD80" s="197"/>
      <c r="AE80" s="333">
        <v>57.000000000000014</v>
      </c>
      <c r="AF80" s="200">
        <f t="shared" si="11"/>
        <v>0</v>
      </c>
    </row>
    <row r="81" spans="2:32" x14ac:dyDescent="0.3">
      <c r="B81" s="331">
        <v>39990.770833333336</v>
      </c>
      <c r="C81" s="332">
        <v>167579000</v>
      </c>
      <c r="D81" s="333">
        <v>91.839996337890625</v>
      </c>
      <c r="E81" s="197"/>
      <c r="F81" s="333">
        <v>95.25320779473121</v>
      </c>
      <c r="G81" s="200">
        <f t="shared" si="6"/>
        <v>-2.1730179883447942E-3</v>
      </c>
      <c r="H81" s="332">
        <v>4157965</v>
      </c>
      <c r="I81" s="333">
        <v>7.5158910751342773</v>
      </c>
      <c r="J81" s="197"/>
      <c r="K81" s="333">
        <v>7.7360161348003045</v>
      </c>
      <c r="L81" s="200">
        <f t="shared" si="7"/>
        <v>2.0386342848349726E-2</v>
      </c>
      <c r="M81" s="332">
        <v>866356</v>
      </c>
      <c r="N81" s="333">
        <v>55.435337066650391</v>
      </c>
      <c r="O81" s="197"/>
      <c r="P81" s="333">
        <v>59.66025778514279</v>
      </c>
      <c r="Q81" s="200">
        <f t="shared" si="8"/>
        <v>-2.8846167982942261E-2</v>
      </c>
      <c r="R81" s="332">
        <v>1133900</v>
      </c>
      <c r="S81" s="333">
        <v>44.490001678466797</v>
      </c>
      <c r="T81" s="197"/>
      <c r="U81" s="333">
        <v>46.876154587643803</v>
      </c>
      <c r="V81" s="200">
        <f t="shared" si="9"/>
        <v>2.1115492083693344E-2</v>
      </c>
      <c r="W81" s="332">
        <v>237405</v>
      </c>
      <c r="X81" s="333">
        <v>28.277088165283203</v>
      </c>
      <c r="Y81" s="197"/>
      <c r="Z81" s="333">
        <v>28.696063713768872</v>
      </c>
      <c r="AA81" s="200">
        <f t="shared" si="10"/>
        <v>-3.2502413794341045E-2</v>
      </c>
      <c r="AB81" s="332">
        <v>0</v>
      </c>
      <c r="AC81" s="333">
        <v>55.090000152587891</v>
      </c>
      <c r="AD81" s="197"/>
      <c r="AE81" s="333">
        <v>55.090000152587905</v>
      </c>
      <c r="AF81" s="200">
        <f t="shared" si="11"/>
        <v>-3.3508769252843962E-2</v>
      </c>
    </row>
    <row r="82" spans="2:32" x14ac:dyDescent="0.3">
      <c r="B82" s="331">
        <v>39996.770833333336</v>
      </c>
      <c r="C82" s="332">
        <v>212309900</v>
      </c>
      <c r="D82" s="333">
        <v>89.80999755859375</v>
      </c>
      <c r="E82" s="197"/>
      <c r="F82" s="333">
        <v>93.147764597237966</v>
      </c>
      <c r="G82" s="200">
        <f t="shared" si="6"/>
        <v>-2.2103646126337639E-2</v>
      </c>
      <c r="H82" s="332">
        <v>8134356</v>
      </c>
      <c r="I82" s="333">
        <v>7.1128311157226563</v>
      </c>
      <c r="J82" s="197"/>
      <c r="K82" s="333">
        <v>7.3211513745037946</v>
      </c>
      <c r="L82" s="200">
        <f t="shared" si="7"/>
        <v>-5.3627701011409457E-2</v>
      </c>
      <c r="M82" s="332">
        <v>544300</v>
      </c>
      <c r="N82" s="333">
        <v>55.481075286865234</v>
      </c>
      <c r="O82" s="197"/>
      <c r="P82" s="333">
        <v>59.709481874920947</v>
      </c>
      <c r="Q82" s="200">
        <f t="shared" si="8"/>
        <v>8.2507336718906643E-4</v>
      </c>
      <c r="R82" s="332">
        <v>1504600</v>
      </c>
      <c r="S82" s="333">
        <v>43.080001831054688</v>
      </c>
      <c r="T82" s="197"/>
      <c r="U82" s="333">
        <v>45.39053156399185</v>
      </c>
      <c r="V82" s="200">
        <f t="shared" si="9"/>
        <v>-3.1692510546578623E-2</v>
      </c>
      <c r="W82" s="332">
        <v>129224</v>
      </c>
      <c r="X82" s="333">
        <v>25.657815933227539</v>
      </c>
      <c r="Y82" s="197"/>
      <c r="Z82" s="333">
        <v>26.037982287016629</v>
      </c>
      <c r="AA82" s="200">
        <f t="shared" si="10"/>
        <v>-9.2628781886794131E-2</v>
      </c>
      <c r="AB82" s="332">
        <v>0</v>
      </c>
      <c r="AC82" s="333">
        <v>55.090000152587891</v>
      </c>
      <c r="AD82" s="197"/>
      <c r="AE82" s="333">
        <v>55.090000152587905</v>
      </c>
      <c r="AF82" s="200">
        <f t="shared" si="11"/>
        <v>0</v>
      </c>
    </row>
    <row r="83" spans="2:32" x14ac:dyDescent="0.3">
      <c r="B83" s="331">
        <v>40004.770833333336</v>
      </c>
      <c r="C83" s="332">
        <v>173520300</v>
      </c>
      <c r="D83" s="333">
        <v>87.959999084472656</v>
      </c>
      <c r="E83" s="197"/>
      <c r="F83" s="333">
        <v>91.229011373129993</v>
      </c>
      <c r="G83" s="200">
        <f t="shared" si="6"/>
        <v>-2.0599025992781295E-2</v>
      </c>
      <c r="H83" s="332">
        <v>7946963</v>
      </c>
      <c r="I83" s="333">
        <v>6.1565499305725098</v>
      </c>
      <c r="J83" s="197"/>
      <c r="K83" s="333">
        <v>6.3368626715710796</v>
      </c>
      <c r="L83" s="200">
        <f t="shared" si="7"/>
        <v>-0.1344445228055986</v>
      </c>
      <c r="M83" s="332">
        <v>3238033</v>
      </c>
      <c r="N83" s="333">
        <v>49.714286804199219</v>
      </c>
      <c r="O83" s="197"/>
      <c r="P83" s="333">
        <v>53.503186293916457</v>
      </c>
      <c r="Q83" s="200">
        <f t="shared" si="8"/>
        <v>-0.1039415413787278</v>
      </c>
      <c r="R83" s="332">
        <v>3034300</v>
      </c>
      <c r="S83" s="333">
        <v>40.599998474121094</v>
      </c>
      <c r="T83" s="197"/>
      <c r="U83" s="333">
        <v>42.777517035971243</v>
      </c>
      <c r="V83" s="200">
        <f t="shared" si="9"/>
        <v>-5.7567392096670278E-2</v>
      </c>
      <c r="W83" s="332">
        <v>155498</v>
      </c>
      <c r="X83" s="333">
        <v>25.01222038269043</v>
      </c>
      <c r="Y83" s="197"/>
      <c r="Z83" s="333">
        <v>25.382821085719968</v>
      </c>
      <c r="AA83" s="200">
        <f t="shared" si="10"/>
        <v>-2.5161750018677376E-2</v>
      </c>
      <c r="AB83" s="332">
        <v>0</v>
      </c>
      <c r="AC83" s="333">
        <v>52.700000762939453</v>
      </c>
      <c r="AD83" s="197"/>
      <c r="AE83" s="333">
        <v>52.700000762939467</v>
      </c>
      <c r="AF83" s="200">
        <f t="shared" si="11"/>
        <v>-4.3383542984727463E-2</v>
      </c>
    </row>
    <row r="84" spans="2:32" x14ac:dyDescent="0.3">
      <c r="B84" s="331">
        <v>40011.770833333336</v>
      </c>
      <c r="C84" s="332">
        <v>138561700</v>
      </c>
      <c r="D84" s="333">
        <v>94.129997253417969</v>
      </c>
      <c r="E84" s="197"/>
      <c r="F84" s="333">
        <v>97.628316045545191</v>
      </c>
      <c r="G84" s="200">
        <f t="shared" si="6"/>
        <v>7.0145500604427369E-2</v>
      </c>
      <c r="H84" s="332">
        <v>9011222</v>
      </c>
      <c r="I84" s="333">
        <v>7.0179929733276367</v>
      </c>
      <c r="J84" s="197"/>
      <c r="K84" s="333">
        <v>7.2235356171134768</v>
      </c>
      <c r="L84" s="200">
        <f t="shared" si="7"/>
        <v>0.13992301735056656</v>
      </c>
      <c r="M84" s="332">
        <v>2352821</v>
      </c>
      <c r="N84" s="333">
        <v>53.619045257568359</v>
      </c>
      <c r="O84" s="197"/>
      <c r="P84" s="333">
        <v>57.705540031508605</v>
      </c>
      <c r="Q84" s="200">
        <f t="shared" si="8"/>
        <v>7.854399015615221E-2</v>
      </c>
      <c r="R84" s="332">
        <v>1723500</v>
      </c>
      <c r="S84" s="333">
        <v>42.180000305175781</v>
      </c>
      <c r="T84" s="197"/>
      <c r="U84" s="333">
        <v>44.442259838557533</v>
      </c>
      <c r="V84" s="200">
        <f t="shared" si="9"/>
        <v>3.8916302720104712E-2</v>
      </c>
      <c r="W84" s="332">
        <v>130001</v>
      </c>
      <c r="X84" s="333">
        <v>27.677606582641602</v>
      </c>
      <c r="Y84" s="197"/>
      <c r="Z84" s="333">
        <v>28.087699741136255</v>
      </c>
      <c r="AA84" s="200">
        <f t="shared" si="10"/>
        <v>0.10656335819732887</v>
      </c>
      <c r="AB84" s="332">
        <v>800</v>
      </c>
      <c r="AC84" s="333">
        <v>51.599998474121094</v>
      </c>
      <c r="AD84" s="197"/>
      <c r="AE84" s="333">
        <v>51.599998474121108</v>
      </c>
      <c r="AF84" s="200">
        <f t="shared" si="11"/>
        <v>-2.0872908404052981E-2</v>
      </c>
    </row>
    <row r="85" spans="2:32" x14ac:dyDescent="0.3">
      <c r="B85" s="331">
        <v>40018.770833333336</v>
      </c>
      <c r="C85" s="332">
        <v>154003100</v>
      </c>
      <c r="D85" s="333">
        <v>98.05999755859375</v>
      </c>
      <c r="E85" s="197"/>
      <c r="F85" s="333">
        <v>101.70437387034087</v>
      </c>
      <c r="G85" s="200">
        <f t="shared" si="6"/>
        <v>4.1750774671706292E-2</v>
      </c>
      <c r="H85" s="332">
        <v>5704944</v>
      </c>
      <c r="I85" s="333">
        <v>7.745081901550293</v>
      </c>
      <c r="J85" s="197"/>
      <c r="K85" s="333">
        <v>7.9719194912191345</v>
      </c>
      <c r="L85" s="200">
        <f t="shared" si="7"/>
        <v>0.10360354177982334</v>
      </c>
      <c r="M85" s="332">
        <v>835582</v>
      </c>
      <c r="N85" s="333">
        <v>56.142856597900391</v>
      </c>
      <c r="O85" s="197"/>
      <c r="P85" s="333">
        <v>60.421699851809549</v>
      </c>
      <c r="Q85" s="200">
        <f t="shared" si="8"/>
        <v>4.7069307709759922E-2</v>
      </c>
      <c r="R85" s="332">
        <v>1127400</v>
      </c>
      <c r="S85" s="333">
        <v>47.5</v>
      </c>
      <c r="T85" s="197"/>
      <c r="U85" s="333">
        <v>50.047589546187076</v>
      </c>
      <c r="V85" s="200">
        <f t="shared" si="9"/>
        <v>0.12612611797851092</v>
      </c>
      <c r="W85" s="332">
        <v>251410</v>
      </c>
      <c r="X85" s="333">
        <v>28.037296295166016</v>
      </c>
      <c r="Y85" s="197"/>
      <c r="Z85" s="333">
        <v>28.452718898959589</v>
      </c>
      <c r="AA85" s="200">
        <f t="shared" si="10"/>
        <v>1.2995694242940781E-2</v>
      </c>
      <c r="AB85" s="332">
        <v>0</v>
      </c>
      <c r="AC85" s="333">
        <v>51.599998474121094</v>
      </c>
      <c r="AD85" s="197"/>
      <c r="AE85" s="333">
        <v>51.599998474121108</v>
      </c>
      <c r="AF85" s="200">
        <f t="shared" si="11"/>
        <v>0</v>
      </c>
    </row>
    <row r="86" spans="2:32" x14ac:dyDescent="0.3">
      <c r="B86" s="331">
        <v>40025.770833333336</v>
      </c>
      <c r="C86" s="332">
        <v>207358000</v>
      </c>
      <c r="D86" s="333">
        <v>98.80999755859375</v>
      </c>
      <c r="E86" s="197"/>
      <c r="F86" s="333">
        <v>102.48224744062297</v>
      </c>
      <c r="G86" s="200">
        <f t="shared" si="6"/>
        <v>7.648378734171013E-3</v>
      </c>
      <c r="H86" s="332">
        <v>9146232</v>
      </c>
      <c r="I86" s="333">
        <v>7.4210529327392578</v>
      </c>
      <c r="J86" s="197"/>
      <c r="K86" s="333">
        <v>7.6384003774099858</v>
      </c>
      <c r="L86" s="200">
        <f t="shared" si="7"/>
        <v>-4.1836738840189125E-2</v>
      </c>
      <c r="M86" s="332">
        <v>1900528</v>
      </c>
      <c r="N86" s="333">
        <v>61.809524536132813</v>
      </c>
      <c r="O86" s="197"/>
      <c r="P86" s="333">
        <v>66.520244351886802</v>
      </c>
      <c r="Q86" s="200">
        <f t="shared" si="8"/>
        <v>0.10093301769123619</v>
      </c>
      <c r="R86" s="332">
        <v>974700</v>
      </c>
      <c r="S86" s="333">
        <v>47.479999542236328</v>
      </c>
      <c r="T86" s="197"/>
      <c r="U86" s="333">
        <v>50.026516394589351</v>
      </c>
      <c r="V86" s="200">
        <f t="shared" si="9"/>
        <v>-4.2106226870886054E-4</v>
      </c>
      <c r="W86" s="332">
        <v>234572</v>
      </c>
      <c r="X86" s="333">
        <v>28.221752166748047</v>
      </c>
      <c r="Y86" s="197"/>
      <c r="Z86" s="333">
        <v>28.639907813615775</v>
      </c>
      <c r="AA86" s="200">
        <f t="shared" si="10"/>
        <v>6.5789464733028158E-3</v>
      </c>
      <c r="AB86" s="332">
        <v>300</v>
      </c>
      <c r="AC86" s="333">
        <v>60.349998474121094</v>
      </c>
      <c r="AD86" s="197"/>
      <c r="AE86" s="333">
        <v>60.349998474121108</v>
      </c>
      <c r="AF86" s="200">
        <f t="shared" si="11"/>
        <v>0.16957364842536538</v>
      </c>
    </row>
    <row r="87" spans="2:32" x14ac:dyDescent="0.3">
      <c r="B87" s="331">
        <v>40032.770833333336</v>
      </c>
      <c r="C87" s="332">
        <v>220640900</v>
      </c>
      <c r="D87" s="333">
        <v>101.19999694824219</v>
      </c>
      <c r="E87" s="197"/>
      <c r="F87" s="333">
        <v>104.96107058488674</v>
      </c>
      <c r="G87" s="200">
        <f t="shared" si="6"/>
        <v>2.4187829659961135E-2</v>
      </c>
      <c r="H87" s="332">
        <v>17034990</v>
      </c>
      <c r="I87" s="333">
        <v>8.6381378173828125</v>
      </c>
      <c r="J87" s="197"/>
      <c r="K87" s="333">
        <v>8.8911311861592193</v>
      </c>
      <c r="L87" s="200">
        <f t="shared" si="7"/>
        <v>0.16400433950203674</v>
      </c>
      <c r="M87" s="332">
        <v>1096332</v>
      </c>
      <c r="N87" s="333">
        <v>61.190475463867188</v>
      </c>
      <c r="O87" s="197"/>
      <c r="P87" s="333">
        <v>65.854015386982766</v>
      </c>
      <c r="Q87" s="200">
        <f t="shared" si="8"/>
        <v>-1.0015431713986778E-2</v>
      </c>
      <c r="R87" s="332">
        <v>1075300</v>
      </c>
      <c r="S87" s="333">
        <v>50.400001525878906</v>
      </c>
      <c r="T87" s="197"/>
      <c r="U87" s="333">
        <v>53.103128199881887</v>
      </c>
      <c r="V87" s="200">
        <f t="shared" si="9"/>
        <v>6.1499621141425154E-2</v>
      </c>
      <c r="W87" s="332">
        <v>334904</v>
      </c>
      <c r="X87" s="333">
        <v>31.357503890991211</v>
      </c>
      <c r="Y87" s="197"/>
      <c r="Z87" s="333">
        <v>31.822121298380406</v>
      </c>
      <c r="AA87" s="200">
        <f t="shared" si="10"/>
        <v>0.11111116367671281</v>
      </c>
      <c r="AB87" s="332">
        <v>0</v>
      </c>
      <c r="AC87" s="333">
        <v>59.25</v>
      </c>
      <c r="AD87" s="197"/>
      <c r="AE87" s="333">
        <v>59.250000000000014</v>
      </c>
      <c r="AF87" s="200">
        <f t="shared" si="11"/>
        <v>-1.8226984290526382E-2</v>
      </c>
    </row>
    <row r="88" spans="2:32" x14ac:dyDescent="0.3">
      <c r="B88" s="331">
        <v>40039.770833333336</v>
      </c>
      <c r="C88" s="332">
        <v>199616100</v>
      </c>
      <c r="D88" s="333">
        <v>100.79000091552734</v>
      </c>
      <c r="E88" s="197"/>
      <c r="F88" s="333">
        <v>104.53583714786089</v>
      </c>
      <c r="G88" s="200">
        <f t="shared" si="6"/>
        <v>-4.051344318958261E-3</v>
      </c>
      <c r="H88" s="332">
        <v>8389318</v>
      </c>
      <c r="I88" s="333">
        <v>8.5037841796875</v>
      </c>
      <c r="J88" s="197"/>
      <c r="K88" s="333">
        <v>8.7528426055252222</v>
      </c>
      <c r="L88" s="200">
        <f t="shared" si="7"/>
        <v>-1.5553541809086191E-2</v>
      </c>
      <c r="M88" s="332">
        <v>1065955</v>
      </c>
      <c r="N88" s="333">
        <v>62.285713195800781</v>
      </c>
      <c r="O88" s="197"/>
      <c r="P88" s="333">
        <v>67.03272501302169</v>
      </c>
      <c r="Q88" s="200">
        <f t="shared" si="8"/>
        <v>1.7898826960093261E-2</v>
      </c>
      <c r="R88" s="332">
        <v>744400</v>
      </c>
      <c r="S88" s="333">
        <v>48.040000915527344</v>
      </c>
      <c r="T88" s="197"/>
      <c r="U88" s="333">
        <v>50.616552581447657</v>
      </c>
      <c r="V88" s="200">
        <f t="shared" si="9"/>
        <v>-4.6825407517890105E-2</v>
      </c>
      <c r="W88" s="332">
        <v>294913</v>
      </c>
      <c r="X88" s="333">
        <v>32.169109344482422</v>
      </c>
      <c r="Y88" s="197"/>
      <c r="Z88" s="333">
        <v>32.645752135745759</v>
      </c>
      <c r="AA88" s="200">
        <f t="shared" si="10"/>
        <v>2.5882336053042243E-2</v>
      </c>
      <c r="AB88" s="332">
        <v>0</v>
      </c>
      <c r="AC88" s="333">
        <v>62.299999237060547</v>
      </c>
      <c r="AD88" s="197"/>
      <c r="AE88" s="333">
        <v>62.299999237060561</v>
      </c>
      <c r="AF88" s="200">
        <f t="shared" si="11"/>
        <v>5.1476780372329944E-2</v>
      </c>
    </row>
    <row r="89" spans="2:32" x14ac:dyDescent="0.3">
      <c r="B89" s="331">
        <v>40046.770833333336</v>
      </c>
      <c r="C89" s="332">
        <v>224605000</v>
      </c>
      <c r="D89" s="333">
        <v>102.97000122070313</v>
      </c>
      <c r="E89" s="197"/>
      <c r="F89" s="333">
        <v>106.79685664199837</v>
      </c>
      <c r="G89" s="200">
        <f t="shared" si="6"/>
        <v>2.1629132705364817E-2</v>
      </c>
      <c r="H89" s="332">
        <v>26395947</v>
      </c>
      <c r="I89" s="333">
        <v>10.163445472717285</v>
      </c>
      <c r="J89" s="197"/>
      <c r="K89" s="333">
        <v>10.46111197942013</v>
      </c>
      <c r="L89" s="200">
        <f t="shared" si="7"/>
        <v>0.19516738171626269</v>
      </c>
      <c r="M89" s="332">
        <v>2515091</v>
      </c>
      <c r="N89" s="333">
        <v>69.23809814453125</v>
      </c>
      <c r="O89" s="197"/>
      <c r="P89" s="333">
        <v>74.514975509020502</v>
      </c>
      <c r="Q89" s="200">
        <f t="shared" si="8"/>
        <v>0.11162086122181836</v>
      </c>
      <c r="R89" s="332">
        <v>795200</v>
      </c>
      <c r="S89" s="333">
        <v>49.709999084472656</v>
      </c>
      <c r="T89" s="197"/>
      <c r="U89" s="333">
        <v>52.37611853728469</v>
      </c>
      <c r="V89" s="200">
        <f t="shared" si="9"/>
        <v>3.4762658974170524E-2</v>
      </c>
      <c r="W89" s="332">
        <v>1706739</v>
      </c>
      <c r="X89" s="333">
        <v>31.818641662597656</v>
      </c>
      <c r="Y89" s="197"/>
      <c r="Z89" s="333">
        <v>32.290091649411472</v>
      </c>
      <c r="AA89" s="200">
        <f t="shared" si="10"/>
        <v>-1.0894541037235084E-2</v>
      </c>
      <c r="AB89" s="332">
        <v>0</v>
      </c>
      <c r="AC89" s="333">
        <v>62.299999237060547</v>
      </c>
      <c r="AD89" s="197"/>
      <c r="AE89" s="333">
        <v>62.299999237060561</v>
      </c>
      <c r="AF89" s="200">
        <f t="shared" si="11"/>
        <v>0</v>
      </c>
    </row>
    <row r="90" spans="2:32" x14ac:dyDescent="0.3">
      <c r="B90" s="331">
        <v>40053.770833333336</v>
      </c>
      <c r="C90" s="332">
        <v>147024400</v>
      </c>
      <c r="D90" s="333">
        <v>103.37999725341797</v>
      </c>
      <c r="E90" s="197"/>
      <c r="F90" s="333">
        <v>107.22209007902421</v>
      </c>
      <c r="G90" s="200">
        <f t="shared" si="6"/>
        <v>3.9817036792693106E-3</v>
      </c>
      <c r="H90" s="332">
        <v>10264774</v>
      </c>
      <c r="I90" s="333">
        <v>10.479571342468262</v>
      </c>
      <c r="J90" s="197"/>
      <c r="K90" s="333">
        <v>10.786496528580541</v>
      </c>
      <c r="L90" s="200">
        <f t="shared" si="7"/>
        <v>3.1104202861085062E-2</v>
      </c>
      <c r="M90" s="332">
        <v>925650</v>
      </c>
      <c r="N90" s="333">
        <v>68.857139587402344</v>
      </c>
      <c r="O90" s="197"/>
      <c r="P90" s="333">
        <v>74.104982769255258</v>
      </c>
      <c r="Q90" s="200">
        <f t="shared" si="8"/>
        <v>-5.5021522447606941E-3</v>
      </c>
      <c r="R90" s="332">
        <v>1518200</v>
      </c>
      <c r="S90" s="333">
        <v>50.970001220703125</v>
      </c>
      <c r="T90" s="333">
        <v>0.25</v>
      </c>
      <c r="U90" s="333">
        <v>53.967107318925287</v>
      </c>
      <c r="V90" s="200">
        <f t="shared" si="9"/>
        <v>3.0376225388065503E-2</v>
      </c>
      <c r="W90" s="332">
        <v>816178</v>
      </c>
      <c r="X90" s="333">
        <v>38.846412658691406</v>
      </c>
      <c r="Y90" s="197"/>
      <c r="Z90" s="333">
        <v>39.421991620543572</v>
      </c>
      <c r="AA90" s="200">
        <f t="shared" si="10"/>
        <v>0.2208696106708663</v>
      </c>
      <c r="AB90" s="332">
        <v>0</v>
      </c>
      <c r="AC90" s="333">
        <v>67.300003051757813</v>
      </c>
      <c r="AD90" s="197"/>
      <c r="AE90" s="333">
        <v>67.300003051757827</v>
      </c>
      <c r="AF90" s="200">
        <f t="shared" si="11"/>
        <v>8.0256884043794718E-2</v>
      </c>
    </row>
    <row r="91" spans="2:32" x14ac:dyDescent="0.3">
      <c r="B91" s="331">
        <v>40060.770833333336</v>
      </c>
      <c r="C91" s="332">
        <v>142687900</v>
      </c>
      <c r="D91" s="333">
        <v>102.05999755859375</v>
      </c>
      <c r="E91" s="197"/>
      <c r="F91" s="333">
        <v>105.85303291184533</v>
      </c>
      <c r="G91" s="200">
        <f t="shared" si="6"/>
        <v>-1.276842454917515E-2</v>
      </c>
      <c r="H91" s="332">
        <v>11646755</v>
      </c>
      <c r="I91" s="333">
        <v>9.8236103057861328</v>
      </c>
      <c r="J91" s="197"/>
      <c r="K91" s="333">
        <v>10.111323736313508</v>
      </c>
      <c r="L91" s="200">
        <f t="shared" si="7"/>
        <v>-6.2594262231305042E-2</v>
      </c>
      <c r="M91" s="332">
        <v>1064832</v>
      </c>
      <c r="N91" s="333">
        <v>68.76190185546875</v>
      </c>
      <c r="O91" s="197"/>
      <c r="P91" s="333">
        <v>74.002486637028269</v>
      </c>
      <c r="Q91" s="200">
        <f t="shared" si="8"/>
        <v>-1.3831206539259844E-3</v>
      </c>
      <c r="R91" s="332">
        <v>727900</v>
      </c>
      <c r="S91" s="333">
        <v>49.209999084472656</v>
      </c>
      <c r="T91" s="197"/>
      <c r="U91" s="333">
        <v>52.103614639060346</v>
      </c>
      <c r="V91" s="200">
        <f t="shared" si="9"/>
        <v>-3.4530156838913029E-2</v>
      </c>
      <c r="W91" s="332">
        <v>311451</v>
      </c>
      <c r="X91" s="333">
        <v>37.914909362792969</v>
      </c>
      <c r="Y91" s="197"/>
      <c r="Z91" s="333">
        <v>38.476686440164173</v>
      </c>
      <c r="AA91" s="200">
        <f t="shared" si="10"/>
        <v>-2.3979133004705444E-2</v>
      </c>
      <c r="AB91" s="332">
        <v>0</v>
      </c>
      <c r="AC91" s="333">
        <v>67.199996948242188</v>
      </c>
      <c r="AD91" s="197"/>
      <c r="AE91" s="333">
        <v>67.199996948242202</v>
      </c>
      <c r="AF91" s="200">
        <f t="shared" si="11"/>
        <v>-1.4859747248260335E-3</v>
      </c>
    </row>
    <row r="92" spans="2:32" x14ac:dyDescent="0.3">
      <c r="B92" s="331">
        <v>40067.770833333336</v>
      </c>
      <c r="C92" s="332">
        <v>152360100</v>
      </c>
      <c r="D92" s="333">
        <v>104.76999664306641</v>
      </c>
      <c r="E92" s="197"/>
      <c r="F92" s="333">
        <v>108.66374846291188</v>
      </c>
      <c r="G92" s="200">
        <f t="shared" si="6"/>
        <v>2.6552999699189783E-2</v>
      </c>
      <c r="H92" s="332">
        <v>11714577</v>
      </c>
      <c r="I92" s="333">
        <v>9.8868350982666016</v>
      </c>
      <c r="J92" s="197"/>
      <c r="K92" s="333">
        <v>10.176400253503397</v>
      </c>
      <c r="L92" s="200">
        <f t="shared" si="7"/>
        <v>6.4360037208752718E-3</v>
      </c>
      <c r="M92" s="332">
        <v>844219</v>
      </c>
      <c r="N92" s="333">
        <v>70.047622680664063</v>
      </c>
      <c r="O92" s="197"/>
      <c r="P92" s="333">
        <v>75.386196738378501</v>
      </c>
      <c r="Q92" s="200">
        <f t="shared" si="8"/>
        <v>1.8698156835420088E-2</v>
      </c>
      <c r="R92" s="332">
        <v>2000700</v>
      </c>
      <c r="S92" s="333">
        <v>55.169998168945313</v>
      </c>
      <c r="T92" s="197"/>
      <c r="U92" s="333">
        <v>58.414069857997752</v>
      </c>
      <c r="V92" s="200">
        <f t="shared" si="9"/>
        <v>0.12111357844656467</v>
      </c>
      <c r="W92" s="332">
        <v>504168</v>
      </c>
      <c r="X92" s="333">
        <v>39.860919952392578</v>
      </c>
      <c r="Y92" s="197"/>
      <c r="Z92" s="333">
        <v>40.451530651152623</v>
      </c>
      <c r="AA92" s="200">
        <f t="shared" si="10"/>
        <v>5.1325734976154225E-2</v>
      </c>
      <c r="AB92" s="332">
        <v>0</v>
      </c>
      <c r="AC92" s="333">
        <v>69.150001525878906</v>
      </c>
      <c r="AD92" s="197"/>
      <c r="AE92" s="333">
        <v>69.15000152587892</v>
      </c>
      <c r="AF92" s="200">
        <f t="shared" si="11"/>
        <v>2.9017926580244158E-2</v>
      </c>
    </row>
    <row r="93" spans="2:32" x14ac:dyDescent="0.3">
      <c r="B93" s="331">
        <v>40074.770833333336</v>
      </c>
      <c r="C93" s="332">
        <v>153799100</v>
      </c>
      <c r="D93" s="333">
        <v>106.72000122070313</v>
      </c>
      <c r="E93" s="333">
        <v>0.50800000000000001</v>
      </c>
      <c r="F93" s="333">
        <v>111.21310419167985</v>
      </c>
      <c r="G93" s="200">
        <f t="shared" si="6"/>
        <v>2.34609588278476E-2</v>
      </c>
      <c r="H93" s="332">
        <v>14163475</v>
      </c>
      <c r="I93" s="333">
        <v>11.222466468811035</v>
      </c>
      <c r="J93" s="197"/>
      <c r="K93" s="333">
        <v>11.551149531983672</v>
      </c>
      <c r="L93" s="200">
        <f t="shared" si="7"/>
        <v>0.13509190325007059</v>
      </c>
      <c r="M93" s="332">
        <v>2693489</v>
      </c>
      <c r="N93" s="333">
        <v>70.380950927734375</v>
      </c>
      <c r="O93" s="197"/>
      <c r="P93" s="333">
        <v>75.74492909574424</v>
      </c>
      <c r="Q93" s="200">
        <f t="shared" si="8"/>
        <v>4.7585947147683605E-3</v>
      </c>
      <c r="R93" s="332">
        <v>2598300</v>
      </c>
      <c r="S93" s="333">
        <v>57.419998168945313</v>
      </c>
      <c r="T93" s="197"/>
      <c r="U93" s="333">
        <v>60.796372949218025</v>
      </c>
      <c r="V93" s="200">
        <f t="shared" si="9"/>
        <v>4.0783035611309915E-2</v>
      </c>
      <c r="W93" s="332">
        <v>1457866</v>
      </c>
      <c r="X93" s="333">
        <v>42.258846282958984</v>
      </c>
      <c r="Y93" s="197"/>
      <c r="Z93" s="333">
        <v>42.884986541683084</v>
      </c>
      <c r="AA93" s="200">
        <f t="shared" si="10"/>
        <v>6.0157325356021474E-2</v>
      </c>
      <c r="AB93" s="332">
        <v>0</v>
      </c>
      <c r="AC93" s="333">
        <v>69.150001525878906</v>
      </c>
      <c r="AD93" s="197"/>
      <c r="AE93" s="333">
        <v>69.15000152587892</v>
      </c>
      <c r="AF93" s="200">
        <f t="shared" si="11"/>
        <v>0</v>
      </c>
    </row>
    <row r="94" spans="2:32" x14ac:dyDescent="0.3">
      <c r="B94" s="331">
        <v>40081.770833333336</v>
      </c>
      <c r="C94" s="332">
        <v>204059000</v>
      </c>
      <c r="D94" s="333">
        <v>104.44999694824219</v>
      </c>
      <c r="E94" s="197"/>
      <c r="F94" s="333">
        <v>108.84752867836377</v>
      </c>
      <c r="G94" s="200">
        <f t="shared" si="6"/>
        <v>-2.1270654483656171E-2</v>
      </c>
      <c r="H94" s="332">
        <v>20140842</v>
      </c>
      <c r="I94" s="333">
        <v>10.266185760498047</v>
      </c>
      <c r="J94" s="197"/>
      <c r="K94" s="333">
        <v>10.566861319853698</v>
      </c>
      <c r="L94" s="200">
        <f t="shared" si="7"/>
        <v>-8.5211277839024047E-2</v>
      </c>
      <c r="M94" s="332">
        <v>1194025</v>
      </c>
      <c r="N94" s="333">
        <v>66.23809814453125</v>
      </c>
      <c r="O94" s="197"/>
      <c r="P94" s="333">
        <v>71.286335027584656</v>
      </c>
      <c r="Q94" s="200">
        <f t="shared" si="8"/>
        <v>-5.8863268094472287E-2</v>
      </c>
      <c r="R94" s="332">
        <v>874800</v>
      </c>
      <c r="S94" s="333">
        <v>53.029998779296875</v>
      </c>
      <c r="T94" s="197"/>
      <c r="U94" s="333">
        <v>56.148235564144883</v>
      </c>
      <c r="V94" s="200">
        <f t="shared" si="9"/>
        <v>-7.6454188952285618E-2</v>
      </c>
      <c r="W94" s="332">
        <v>3667194</v>
      </c>
      <c r="X94" s="333">
        <v>42.299999237060547</v>
      </c>
      <c r="Y94" s="197"/>
      <c r="Z94" s="333">
        <v>42.926749250276188</v>
      </c>
      <c r="AA94" s="200">
        <f t="shared" si="10"/>
        <v>9.7383051647947916E-4</v>
      </c>
      <c r="AB94" s="332">
        <v>0</v>
      </c>
      <c r="AC94" s="333">
        <v>70.25</v>
      </c>
      <c r="AD94" s="197"/>
      <c r="AE94" s="333">
        <v>70.250000000000014</v>
      </c>
      <c r="AF94" s="200">
        <f t="shared" si="11"/>
        <v>1.5907425160495814E-2</v>
      </c>
    </row>
    <row r="95" spans="2:32" x14ac:dyDescent="0.3">
      <c r="B95" s="331">
        <v>40088.770833333336</v>
      </c>
      <c r="C95" s="332">
        <v>224748800</v>
      </c>
      <c r="D95" s="333">
        <v>102.48999786376953</v>
      </c>
      <c r="E95" s="197"/>
      <c r="F95" s="333">
        <v>106.80501012604232</v>
      </c>
      <c r="G95" s="200">
        <f t="shared" si="6"/>
        <v>-1.8764951093717008E-2</v>
      </c>
      <c r="H95" s="332">
        <v>23434974</v>
      </c>
      <c r="I95" s="333">
        <v>9.610224723815918</v>
      </c>
      <c r="J95" s="197"/>
      <c r="K95" s="333">
        <v>9.8916885275866644</v>
      </c>
      <c r="L95" s="200">
        <f t="shared" si="7"/>
        <v>-6.3895301720150011E-2</v>
      </c>
      <c r="M95" s="332">
        <v>1337469</v>
      </c>
      <c r="N95" s="333">
        <v>64.142860412597656</v>
      </c>
      <c r="O95" s="197"/>
      <c r="P95" s="333">
        <v>69.031411907733784</v>
      </c>
      <c r="Q95" s="200">
        <f t="shared" si="8"/>
        <v>-3.1631912609595081E-2</v>
      </c>
      <c r="R95" s="332">
        <v>1501000</v>
      </c>
      <c r="S95" s="333">
        <v>50.060001373291016</v>
      </c>
      <c r="T95" s="197"/>
      <c r="U95" s="333">
        <v>53.003598230258696</v>
      </c>
      <c r="V95" s="200">
        <f t="shared" si="9"/>
        <v>-5.6005986693806076E-2</v>
      </c>
      <c r="W95" s="332">
        <v>2357528</v>
      </c>
      <c r="X95" s="333">
        <v>42.450000762939453</v>
      </c>
      <c r="Y95" s="197"/>
      <c r="Z95" s="333">
        <v>43.078973316581163</v>
      </c>
      <c r="AA95" s="200">
        <f t="shared" si="10"/>
        <v>3.5461354275270196E-3</v>
      </c>
      <c r="AB95" s="332">
        <v>0</v>
      </c>
      <c r="AC95" s="333">
        <v>67.849998474121094</v>
      </c>
      <c r="AD95" s="197"/>
      <c r="AE95" s="333">
        <v>67.849998474121108</v>
      </c>
      <c r="AF95" s="200">
        <f t="shared" si="11"/>
        <v>-3.4163722788311812E-2</v>
      </c>
    </row>
    <row r="96" spans="2:32" x14ac:dyDescent="0.3">
      <c r="B96" s="331">
        <v>40095.770833333336</v>
      </c>
      <c r="C96" s="332">
        <v>135008300</v>
      </c>
      <c r="D96" s="333">
        <v>107.26000213623047</v>
      </c>
      <c r="E96" s="197"/>
      <c r="F96" s="333">
        <v>111.77584011179988</v>
      </c>
      <c r="G96" s="200">
        <f t="shared" si="6"/>
        <v>4.6541168620193085E-2</v>
      </c>
      <c r="H96" s="332">
        <v>9358679</v>
      </c>
      <c r="I96" s="333">
        <v>10.41634464263916</v>
      </c>
      <c r="J96" s="197"/>
      <c r="K96" s="333">
        <v>10.721418048179684</v>
      </c>
      <c r="L96" s="200">
        <f t="shared" si="7"/>
        <v>8.3881484771685777E-2</v>
      </c>
      <c r="M96" s="332">
        <v>595509</v>
      </c>
      <c r="N96" s="333">
        <v>68</v>
      </c>
      <c r="O96" s="197"/>
      <c r="P96" s="333">
        <v>73.18251757921243</v>
      </c>
      <c r="Q96" s="200">
        <f t="shared" si="8"/>
        <v>6.0133576248258436E-2</v>
      </c>
      <c r="R96" s="332">
        <v>718600</v>
      </c>
      <c r="S96" s="333">
        <v>51.810001373291016</v>
      </c>
      <c r="T96" s="197"/>
      <c r="U96" s="333">
        <v>54.856500634541128</v>
      </c>
      <c r="V96" s="200">
        <f t="shared" si="9"/>
        <v>3.4958049380591882E-2</v>
      </c>
      <c r="W96" s="332">
        <v>1270200</v>
      </c>
      <c r="X96" s="333">
        <v>45</v>
      </c>
      <c r="Y96" s="197"/>
      <c r="Z96" s="333">
        <v>45.666755345234002</v>
      </c>
      <c r="AA96" s="200">
        <f t="shared" si="10"/>
        <v>6.0070652325801888E-2</v>
      </c>
      <c r="AB96" s="332">
        <v>0</v>
      </c>
      <c r="AC96" s="333">
        <v>67.599998474121094</v>
      </c>
      <c r="AD96" s="197"/>
      <c r="AE96" s="333">
        <v>67.599998474121108</v>
      </c>
      <c r="AF96" s="200">
        <f t="shared" si="11"/>
        <v>-3.6845984616397098E-3</v>
      </c>
    </row>
    <row r="97" spans="2:32" x14ac:dyDescent="0.3">
      <c r="B97" s="331">
        <v>40102.770833333336</v>
      </c>
      <c r="C97" s="332">
        <v>192069400</v>
      </c>
      <c r="D97" s="333">
        <v>108.88999938964844</v>
      </c>
      <c r="E97" s="197"/>
      <c r="F97" s="333">
        <v>113.47446316561368</v>
      </c>
      <c r="G97" s="200">
        <f t="shared" si="6"/>
        <v>1.5196692345276208E-2</v>
      </c>
      <c r="H97" s="332">
        <v>14191565</v>
      </c>
      <c r="I97" s="333">
        <v>10.526988983154297</v>
      </c>
      <c r="J97" s="197"/>
      <c r="K97" s="333">
        <v>10.835302934867473</v>
      </c>
      <c r="L97" s="200">
        <f t="shared" si="7"/>
        <v>1.062218506693946E-2</v>
      </c>
      <c r="M97" s="332">
        <v>1258121</v>
      </c>
      <c r="N97" s="333">
        <v>70.095237731933594</v>
      </c>
      <c r="O97" s="197"/>
      <c r="P97" s="333">
        <v>75.437440699063302</v>
      </c>
      <c r="Q97" s="200">
        <f t="shared" si="8"/>
        <v>3.0812319587258719E-2</v>
      </c>
      <c r="R97" s="332">
        <v>753700</v>
      </c>
      <c r="S97" s="333">
        <v>52.479999542236328</v>
      </c>
      <c r="T97" s="197"/>
      <c r="U97" s="333">
        <v>55.565895616314613</v>
      </c>
      <c r="V97" s="200">
        <f t="shared" si="9"/>
        <v>1.293183075055282E-2</v>
      </c>
      <c r="W97" s="332">
        <v>1777408</v>
      </c>
      <c r="X97" s="333">
        <v>46.090000152587891</v>
      </c>
      <c r="Y97" s="197"/>
      <c r="Z97" s="333">
        <v>46.772905796222865</v>
      </c>
      <c r="AA97" s="200">
        <f t="shared" si="10"/>
        <v>2.4222225613064197E-2</v>
      </c>
      <c r="AB97" s="332">
        <v>0</v>
      </c>
      <c r="AC97" s="333">
        <v>67.599998474121094</v>
      </c>
      <c r="AD97" s="197"/>
      <c r="AE97" s="333">
        <v>67.599998474121108</v>
      </c>
      <c r="AF97" s="200">
        <f t="shared" si="11"/>
        <v>0</v>
      </c>
    </row>
    <row r="98" spans="2:32" x14ac:dyDescent="0.3">
      <c r="B98" s="331">
        <v>40109.770833333336</v>
      </c>
      <c r="C98" s="332">
        <v>240033200</v>
      </c>
      <c r="D98" s="333">
        <v>108.08000183105469</v>
      </c>
      <c r="E98" s="197"/>
      <c r="F98" s="333">
        <v>112.63036326073646</v>
      </c>
      <c r="G98" s="200">
        <f t="shared" si="6"/>
        <v>-7.4386772259523726E-3</v>
      </c>
      <c r="H98" s="332">
        <v>14345681</v>
      </c>
      <c r="I98" s="333">
        <v>10.092315673828125</v>
      </c>
      <c r="J98" s="197"/>
      <c r="K98" s="333">
        <v>10.387898934370535</v>
      </c>
      <c r="L98" s="200">
        <f t="shared" si="7"/>
        <v>-4.129132366546151E-2</v>
      </c>
      <c r="M98" s="332">
        <v>929750</v>
      </c>
      <c r="N98" s="333">
        <v>66.714286804199219</v>
      </c>
      <c r="O98" s="197"/>
      <c r="P98" s="333">
        <v>71.798815688719543</v>
      </c>
      <c r="Q98" s="200">
        <f t="shared" si="8"/>
        <v>-4.8233675170119339E-2</v>
      </c>
      <c r="R98" s="332">
        <v>1230500</v>
      </c>
      <c r="S98" s="333">
        <v>50.729999542236328</v>
      </c>
      <c r="T98" s="197"/>
      <c r="U98" s="333">
        <v>53.712993212032174</v>
      </c>
      <c r="V98" s="200">
        <f t="shared" si="9"/>
        <v>-3.3346036876231167E-2</v>
      </c>
      <c r="W98" s="332">
        <v>647601</v>
      </c>
      <c r="X98" s="333">
        <v>45.25</v>
      </c>
      <c r="Y98" s="197"/>
      <c r="Z98" s="333">
        <v>45.920459541596408</v>
      </c>
      <c r="AA98" s="200">
        <f t="shared" si="10"/>
        <v>-1.8225214792947475E-2</v>
      </c>
      <c r="AB98" s="332">
        <v>0</v>
      </c>
      <c r="AC98" s="333">
        <v>71.849998474121094</v>
      </c>
      <c r="AD98" s="197"/>
      <c r="AE98" s="333">
        <v>71.849998474121108</v>
      </c>
      <c r="AF98" s="200">
        <f t="shared" si="11"/>
        <v>6.2869823904315725E-2</v>
      </c>
    </row>
    <row r="99" spans="2:32" x14ac:dyDescent="0.3">
      <c r="B99" s="331">
        <v>40116.770833333336</v>
      </c>
      <c r="C99" s="332">
        <v>325608100</v>
      </c>
      <c r="D99" s="333">
        <v>103.55999755859375</v>
      </c>
      <c r="E99" s="197"/>
      <c r="F99" s="333">
        <v>107.92005872222303</v>
      </c>
      <c r="G99" s="200">
        <f t="shared" si="6"/>
        <v>-4.1820912249116993E-2</v>
      </c>
      <c r="H99" s="332">
        <v>25893615</v>
      </c>
      <c r="I99" s="333">
        <v>8.203465461730957</v>
      </c>
      <c r="J99" s="197"/>
      <c r="K99" s="333">
        <v>8.443728167267766</v>
      </c>
      <c r="L99" s="200">
        <f t="shared" si="7"/>
        <v>-0.18715726629473395</v>
      </c>
      <c r="M99" s="332">
        <v>1741065</v>
      </c>
      <c r="N99" s="333">
        <v>62.428569793701172</v>
      </c>
      <c r="O99" s="197"/>
      <c r="P99" s="333">
        <v>67.186469211362152</v>
      </c>
      <c r="Q99" s="200">
        <f t="shared" si="8"/>
        <v>-6.4239868486884344E-2</v>
      </c>
      <c r="R99" s="332">
        <v>1751000</v>
      </c>
      <c r="S99" s="333">
        <v>46.029998779296875</v>
      </c>
      <c r="T99" s="197"/>
      <c r="U99" s="333">
        <v>48.736625947015163</v>
      </c>
      <c r="V99" s="200">
        <f t="shared" si="9"/>
        <v>-9.2647364584073522E-2</v>
      </c>
      <c r="W99" s="332">
        <v>1639603</v>
      </c>
      <c r="X99" s="333">
        <v>40.729999542236328</v>
      </c>
      <c r="Y99" s="197"/>
      <c r="Z99" s="333">
        <v>41.333487206817757</v>
      </c>
      <c r="AA99" s="200">
        <f t="shared" si="10"/>
        <v>-9.9889512878755138E-2</v>
      </c>
      <c r="AB99" s="332">
        <v>0</v>
      </c>
      <c r="AC99" s="333">
        <v>71.849998474121094</v>
      </c>
      <c r="AD99" s="197"/>
      <c r="AE99" s="333">
        <v>71.849998474121108</v>
      </c>
      <c r="AF99" s="200">
        <f t="shared" si="11"/>
        <v>0</v>
      </c>
    </row>
    <row r="100" spans="2:32" x14ac:dyDescent="0.3">
      <c r="B100" s="331">
        <v>40123.8125</v>
      </c>
      <c r="C100" s="332">
        <v>170954100</v>
      </c>
      <c r="D100" s="333">
        <v>107.12999725341797</v>
      </c>
      <c r="E100" s="197"/>
      <c r="F100" s="333">
        <v>111.64036179084526</v>
      </c>
      <c r="G100" s="200">
        <f t="shared" si="6"/>
        <v>3.4472767274876803E-2</v>
      </c>
      <c r="H100" s="332">
        <v>8828763</v>
      </c>
      <c r="I100" s="333">
        <v>8.7171688079833984</v>
      </c>
      <c r="J100" s="197"/>
      <c r="K100" s="333">
        <v>8.9724768326465796</v>
      </c>
      <c r="L100" s="200">
        <f t="shared" si="7"/>
        <v>6.2620285128139885E-2</v>
      </c>
      <c r="M100" s="332">
        <v>3784</v>
      </c>
      <c r="N100" s="333">
        <v>64.190475463867188</v>
      </c>
      <c r="O100" s="197"/>
      <c r="P100" s="333">
        <v>69.082655868418584</v>
      </c>
      <c r="Q100" s="200">
        <f t="shared" si="8"/>
        <v>2.8222746027793288E-2</v>
      </c>
      <c r="R100" s="332">
        <v>1690900</v>
      </c>
      <c r="S100" s="333">
        <v>47.959999084472656</v>
      </c>
      <c r="T100" s="197"/>
      <c r="U100" s="333">
        <v>50.780112921715755</v>
      </c>
      <c r="V100" s="200">
        <f t="shared" si="9"/>
        <v>4.1929184365823824E-2</v>
      </c>
      <c r="W100" s="332">
        <v>1028491</v>
      </c>
      <c r="X100" s="333">
        <v>44.430000305175781</v>
      </c>
      <c r="Y100" s="197"/>
      <c r="Z100" s="333">
        <v>45.088310087225203</v>
      </c>
      <c r="AA100" s="200">
        <f t="shared" si="10"/>
        <v>9.0842150859899107E-2</v>
      </c>
      <c r="AB100" s="332">
        <v>0</v>
      </c>
      <c r="AC100" s="333">
        <v>71.849998474121094</v>
      </c>
      <c r="AD100" s="197"/>
      <c r="AE100" s="333">
        <v>71.849998474121108</v>
      </c>
      <c r="AF100" s="200">
        <f t="shared" si="11"/>
        <v>0</v>
      </c>
    </row>
    <row r="101" spans="2:32" x14ac:dyDescent="0.3">
      <c r="B101" s="331">
        <v>40130.8125</v>
      </c>
      <c r="C101" s="332">
        <v>150963000</v>
      </c>
      <c r="D101" s="333">
        <v>109.62000274658203</v>
      </c>
      <c r="E101" s="197"/>
      <c r="F101" s="333">
        <v>114.2352009698331</v>
      </c>
      <c r="G101" s="200">
        <f t="shared" si="6"/>
        <v>2.3242841006276826E-2</v>
      </c>
      <c r="H101" s="332">
        <v>7278748</v>
      </c>
      <c r="I101" s="333">
        <v>9.1439390182495117</v>
      </c>
      <c r="J101" s="197"/>
      <c r="K101" s="333">
        <v>9.411746268494781</v>
      </c>
      <c r="L101" s="200">
        <f t="shared" si="7"/>
        <v>4.8957433275270024E-2</v>
      </c>
      <c r="M101" s="332">
        <v>0</v>
      </c>
      <c r="N101" s="333">
        <v>64.190475463867188</v>
      </c>
      <c r="O101" s="197"/>
      <c r="P101" s="333">
        <v>69.082655868418584</v>
      </c>
      <c r="Q101" s="200">
        <f t="shared" si="8"/>
        <v>0</v>
      </c>
      <c r="R101" s="332">
        <v>1040800</v>
      </c>
      <c r="S101" s="333">
        <v>48.290000915527344</v>
      </c>
      <c r="T101" s="197"/>
      <c r="U101" s="333">
        <v>51.129519313817958</v>
      </c>
      <c r="V101" s="200">
        <f t="shared" si="9"/>
        <v>6.8807722550925376E-3</v>
      </c>
      <c r="W101" s="332">
        <v>613505</v>
      </c>
      <c r="X101" s="333">
        <v>46.830001831054688</v>
      </c>
      <c r="Y101" s="197"/>
      <c r="Z101" s="333">
        <v>47.523871920791869</v>
      </c>
      <c r="AA101" s="200">
        <f t="shared" si="10"/>
        <v>5.4017589678011291E-2</v>
      </c>
      <c r="AB101" s="332">
        <v>0</v>
      </c>
      <c r="AC101" s="333">
        <v>71.849998474121094</v>
      </c>
      <c r="AD101" s="197"/>
      <c r="AE101" s="333">
        <v>71.849998474121108</v>
      </c>
      <c r="AF101" s="200">
        <f t="shared" si="11"/>
        <v>0</v>
      </c>
    </row>
    <row r="102" spans="2:32" x14ac:dyDescent="0.3">
      <c r="B102" s="331">
        <v>40137.8125</v>
      </c>
      <c r="C102" s="332">
        <v>134196000</v>
      </c>
      <c r="D102" s="333">
        <v>109.43000030517578</v>
      </c>
      <c r="E102" s="197"/>
      <c r="F102" s="333">
        <v>114.03719908573373</v>
      </c>
      <c r="G102" s="200">
        <f t="shared" si="6"/>
        <v>-1.7332825820620679E-3</v>
      </c>
      <c r="H102" s="332">
        <v>7430966</v>
      </c>
      <c r="I102" s="333">
        <v>8.7645883560180664</v>
      </c>
      <c r="J102" s="197"/>
      <c r="K102" s="333">
        <v>9.0212852021444796</v>
      </c>
      <c r="L102" s="200">
        <f t="shared" si="7"/>
        <v>-4.1486569570765464E-2</v>
      </c>
      <c r="M102" s="332">
        <v>0</v>
      </c>
      <c r="N102" s="333">
        <v>64.190475463867188</v>
      </c>
      <c r="O102" s="197"/>
      <c r="P102" s="333">
        <v>69.082655868418584</v>
      </c>
      <c r="Q102" s="200">
        <f t="shared" si="8"/>
        <v>0</v>
      </c>
      <c r="R102" s="332">
        <v>1392000</v>
      </c>
      <c r="S102" s="333">
        <v>49.770000457763672</v>
      </c>
      <c r="T102" s="197"/>
      <c r="U102" s="333">
        <v>52.696544862473161</v>
      </c>
      <c r="V102" s="200">
        <f t="shared" si="9"/>
        <v>3.0648157261899067E-2</v>
      </c>
      <c r="W102" s="332">
        <v>1013594</v>
      </c>
      <c r="X102" s="333">
        <v>43.709999084472656</v>
      </c>
      <c r="Y102" s="197"/>
      <c r="Z102" s="333">
        <v>44.357640762911437</v>
      </c>
      <c r="AA102" s="200">
        <f t="shared" si="10"/>
        <v>-6.6624015045693152E-2</v>
      </c>
      <c r="AB102" s="332">
        <v>0</v>
      </c>
      <c r="AC102" s="333">
        <v>71.849998474121094</v>
      </c>
      <c r="AD102" s="197"/>
      <c r="AE102" s="333">
        <v>71.849998474121108</v>
      </c>
      <c r="AF102" s="200">
        <f t="shared" si="11"/>
        <v>0</v>
      </c>
    </row>
    <row r="103" spans="2:32" x14ac:dyDescent="0.3">
      <c r="B103" s="331">
        <v>40144.8125</v>
      </c>
      <c r="C103" s="332">
        <v>126001800</v>
      </c>
      <c r="D103" s="333">
        <v>109.56999969482422</v>
      </c>
      <c r="E103" s="197"/>
      <c r="F103" s="333">
        <v>114.183092700142</v>
      </c>
      <c r="G103" s="200">
        <f t="shared" si="6"/>
        <v>1.2793510852417977E-3</v>
      </c>
      <c r="H103" s="332">
        <v>8483711</v>
      </c>
      <c r="I103" s="333">
        <v>8.6776533126831055</v>
      </c>
      <c r="J103" s="197"/>
      <c r="K103" s="333">
        <v>8.9318040094028976</v>
      </c>
      <c r="L103" s="200">
        <f t="shared" si="7"/>
        <v>-9.918896336445604E-3</v>
      </c>
      <c r="M103" s="332">
        <v>0</v>
      </c>
      <c r="N103" s="333">
        <v>64.190475463867188</v>
      </c>
      <c r="O103" s="197"/>
      <c r="P103" s="333">
        <v>69.082655868418584</v>
      </c>
      <c r="Q103" s="200">
        <f t="shared" si="8"/>
        <v>0</v>
      </c>
      <c r="R103" s="332">
        <v>549500</v>
      </c>
      <c r="S103" s="333">
        <v>48.689998626708984</v>
      </c>
      <c r="T103" s="333">
        <v>0.25</v>
      </c>
      <c r="U103" s="333">
        <v>51.817737783433131</v>
      </c>
      <c r="V103" s="200">
        <f t="shared" si="9"/>
        <v>-1.6676749516188027E-2</v>
      </c>
      <c r="W103" s="332">
        <v>617154</v>
      </c>
      <c r="X103" s="333">
        <v>44.430000305175781</v>
      </c>
      <c r="Y103" s="197"/>
      <c r="Z103" s="333">
        <v>45.088310087225196</v>
      </c>
      <c r="AA103" s="200">
        <f t="shared" si="10"/>
        <v>1.6472231429510265E-2</v>
      </c>
      <c r="AB103" s="332">
        <v>0</v>
      </c>
      <c r="AC103" s="333">
        <v>71.849998474121094</v>
      </c>
      <c r="AD103" s="197"/>
      <c r="AE103" s="333">
        <v>71.849998474121108</v>
      </c>
      <c r="AF103" s="200">
        <f t="shared" si="11"/>
        <v>0</v>
      </c>
    </row>
    <row r="104" spans="2:32" x14ac:dyDescent="0.3">
      <c r="B104" s="331">
        <v>40151.8125</v>
      </c>
      <c r="C104" s="332">
        <v>274907800</v>
      </c>
      <c r="D104" s="333">
        <v>111.01000213623047</v>
      </c>
      <c r="E104" s="197"/>
      <c r="F104" s="333">
        <v>115.68372182046211</v>
      </c>
      <c r="G104" s="200">
        <f t="shared" si="6"/>
        <v>1.3142305790060593E-2</v>
      </c>
      <c r="H104" s="332">
        <v>8405641</v>
      </c>
      <c r="I104" s="333">
        <v>9.1281328201293945</v>
      </c>
      <c r="J104" s="197"/>
      <c r="K104" s="333">
        <v>9.3954771391973075</v>
      </c>
      <c r="L104" s="200">
        <f t="shared" si="7"/>
        <v>5.1912595630880576E-2</v>
      </c>
      <c r="M104" s="332">
        <v>1280335</v>
      </c>
      <c r="N104" s="333">
        <v>73.285713195800781</v>
      </c>
      <c r="O104" s="197"/>
      <c r="P104" s="333">
        <v>78.871073444953097</v>
      </c>
      <c r="Q104" s="200">
        <f t="shared" si="8"/>
        <v>0.14169139060285207</v>
      </c>
      <c r="R104" s="332">
        <v>1036100</v>
      </c>
      <c r="S104" s="333">
        <v>49.029998779296875</v>
      </c>
      <c r="T104" s="197"/>
      <c r="U104" s="333">
        <v>52.17957880315052</v>
      </c>
      <c r="V104" s="200">
        <f t="shared" si="9"/>
        <v>6.9829567093351308E-3</v>
      </c>
      <c r="W104" s="332">
        <v>700231</v>
      </c>
      <c r="X104" s="333">
        <v>47.619998931884766</v>
      </c>
      <c r="Y104" s="197"/>
      <c r="Z104" s="333">
        <v>48.325574239170791</v>
      </c>
      <c r="AA104" s="200">
        <f t="shared" si="10"/>
        <v>7.1798303056445745E-2</v>
      </c>
      <c r="AB104" s="332">
        <v>0</v>
      </c>
      <c r="AC104" s="333">
        <v>71.849998474121094</v>
      </c>
      <c r="AD104" s="197"/>
      <c r="AE104" s="333">
        <v>71.849998474121108</v>
      </c>
      <c r="AF104" s="200">
        <f t="shared" si="11"/>
        <v>0</v>
      </c>
    </row>
    <row r="105" spans="2:32" x14ac:dyDescent="0.3">
      <c r="B105" s="331">
        <v>40158.8125</v>
      </c>
      <c r="C105" s="332">
        <v>124854000</v>
      </c>
      <c r="D105" s="333">
        <v>111.11000061035156</v>
      </c>
      <c r="E105" s="197"/>
      <c r="F105" s="333">
        <v>115.78793040923863</v>
      </c>
      <c r="G105" s="200">
        <f t="shared" si="6"/>
        <v>9.0080598321562455E-4</v>
      </c>
      <c r="H105" s="332">
        <v>6844111</v>
      </c>
      <c r="I105" s="333">
        <v>8.9068450927734375</v>
      </c>
      <c r="J105" s="197"/>
      <c r="K105" s="333">
        <v>9.1677083474272134</v>
      </c>
      <c r="L105" s="200">
        <f t="shared" si="7"/>
        <v>-2.4242386884201772E-2</v>
      </c>
      <c r="M105" s="332">
        <v>1148532</v>
      </c>
      <c r="N105" s="333">
        <v>74.047622680664063</v>
      </c>
      <c r="O105" s="197"/>
      <c r="P105" s="333">
        <v>79.691050713626268</v>
      </c>
      <c r="Q105" s="200">
        <f t="shared" si="8"/>
        <v>1.0396425873998805E-2</v>
      </c>
      <c r="R105" s="332">
        <v>919500</v>
      </c>
      <c r="S105" s="333">
        <v>47.880001068115234</v>
      </c>
      <c r="T105" s="197"/>
      <c r="U105" s="333">
        <v>50.955707750977801</v>
      </c>
      <c r="V105" s="200">
        <f t="shared" si="9"/>
        <v>-2.3454981436125011E-2</v>
      </c>
      <c r="W105" s="332">
        <v>648787</v>
      </c>
      <c r="X105" s="333">
        <v>47</v>
      </c>
      <c r="Y105" s="197"/>
      <c r="Z105" s="333">
        <v>47.696388916133273</v>
      </c>
      <c r="AA105" s="200">
        <f t="shared" si="10"/>
        <v>-1.3019717467268599E-2</v>
      </c>
      <c r="AB105" s="332">
        <v>0</v>
      </c>
      <c r="AC105" s="333">
        <v>71.849998474121094</v>
      </c>
      <c r="AD105" s="197"/>
      <c r="AE105" s="333">
        <v>71.849998474121108</v>
      </c>
      <c r="AF105" s="200">
        <f t="shared" si="11"/>
        <v>0</v>
      </c>
    </row>
    <row r="106" spans="2:32" x14ac:dyDescent="0.3">
      <c r="B106" s="331">
        <v>40165.8125</v>
      </c>
      <c r="C106" s="332">
        <v>174591200</v>
      </c>
      <c r="D106" s="333">
        <v>110.20999908447266</v>
      </c>
      <c r="E106" s="333">
        <v>0.59</v>
      </c>
      <c r="F106" s="333">
        <v>115.46487726453475</v>
      </c>
      <c r="G106" s="200">
        <f t="shared" si="6"/>
        <v>-2.7900416180001164E-3</v>
      </c>
      <c r="H106" s="332">
        <v>10709534</v>
      </c>
      <c r="I106" s="333">
        <v>9.1755523681640625</v>
      </c>
      <c r="J106" s="197"/>
      <c r="K106" s="333">
        <v>9.4442855086952111</v>
      </c>
      <c r="L106" s="200">
        <f t="shared" si="7"/>
        <v>3.0168625657208459E-2</v>
      </c>
      <c r="M106" s="332">
        <v>2328233</v>
      </c>
      <c r="N106" s="333">
        <v>74.190475463867188</v>
      </c>
      <c r="O106" s="197"/>
      <c r="P106" s="333">
        <v>79.844790806538057</v>
      </c>
      <c r="Q106" s="200">
        <f t="shared" si="8"/>
        <v>1.9292014791505441E-3</v>
      </c>
      <c r="R106" s="332">
        <v>1409500</v>
      </c>
      <c r="S106" s="333">
        <v>49.779998779296875</v>
      </c>
      <c r="T106" s="197"/>
      <c r="U106" s="333">
        <v>52.977757164902549</v>
      </c>
      <c r="V106" s="200">
        <f t="shared" si="9"/>
        <v>3.9682490994072062E-2</v>
      </c>
      <c r="W106" s="332">
        <v>1562800</v>
      </c>
      <c r="X106" s="333">
        <v>48.25</v>
      </c>
      <c r="Y106" s="197"/>
      <c r="Z106" s="333">
        <v>48.964909897945333</v>
      </c>
      <c r="AA106" s="200">
        <f t="shared" si="10"/>
        <v>2.659574468085113E-2</v>
      </c>
      <c r="AB106" s="332">
        <v>0</v>
      </c>
      <c r="AC106" s="333">
        <v>71.849998474121094</v>
      </c>
      <c r="AD106" s="197"/>
      <c r="AE106" s="333">
        <v>71.849998474121108</v>
      </c>
      <c r="AF106" s="200">
        <f t="shared" si="11"/>
        <v>0</v>
      </c>
    </row>
    <row r="107" spans="2:32" x14ac:dyDescent="0.3">
      <c r="B107" s="331">
        <v>40171.8125</v>
      </c>
      <c r="C107" s="332">
        <v>39677500</v>
      </c>
      <c r="D107" s="333">
        <v>112.48000335693359</v>
      </c>
      <c r="E107" s="197"/>
      <c r="F107" s="333">
        <v>117.84311668824417</v>
      </c>
      <c r="G107" s="200">
        <f t="shared" si="6"/>
        <v>2.0597080948354218E-2</v>
      </c>
      <c r="H107" s="332">
        <v>5057101</v>
      </c>
      <c r="I107" s="333">
        <v>9.4916772842407227</v>
      </c>
      <c r="J107" s="197"/>
      <c r="K107" s="333">
        <v>9.769669076250139</v>
      </c>
      <c r="L107" s="200">
        <f t="shared" si="7"/>
        <v>3.4452957532399076E-2</v>
      </c>
      <c r="M107" s="332">
        <v>0</v>
      </c>
      <c r="N107" s="333">
        <v>76</v>
      </c>
      <c r="O107" s="197"/>
      <c r="P107" s="333">
        <v>81.792225529708006</v>
      </c>
      <c r="Q107" s="200">
        <f t="shared" si="8"/>
        <v>2.4390253935144379E-2</v>
      </c>
      <c r="R107" s="332">
        <v>354500</v>
      </c>
      <c r="S107" s="333">
        <v>53.529998779296875</v>
      </c>
      <c r="T107" s="197"/>
      <c r="U107" s="333">
        <v>56.968648973662667</v>
      </c>
      <c r="V107" s="200">
        <f t="shared" si="9"/>
        <v>7.5331460264310035E-2</v>
      </c>
      <c r="W107" s="332">
        <v>317707</v>
      </c>
      <c r="X107" s="333">
        <v>48.099998474121094</v>
      </c>
      <c r="Y107" s="197"/>
      <c r="Z107" s="333">
        <v>48.812685831640358</v>
      </c>
      <c r="AA107" s="200">
        <f t="shared" si="10"/>
        <v>-3.108839914588768E-3</v>
      </c>
      <c r="AB107" s="332">
        <v>0</v>
      </c>
      <c r="AC107" s="333">
        <v>71.849998474121094</v>
      </c>
      <c r="AD107" s="197"/>
      <c r="AE107" s="333">
        <v>71.849998474121108</v>
      </c>
      <c r="AF107" s="200">
        <f t="shared" si="11"/>
        <v>0</v>
      </c>
    </row>
    <row r="108" spans="2:32" x14ac:dyDescent="0.3">
      <c r="B108" s="331">
        <v>40178.8125</v>
      </c>
      <c r="C108" s="332">
        <v>90637900</v>
      </c>
      <c r="D108" s="333">
        <v>111.44000244140625</v>
      </c>
      <c r="E108" s="197"/>
      <c r="F108" s="333">
        <v>116.75352791169107</v>
      </c>
      <c r="G108" s="200">
        <f t="shared" si="6"/>
        <v>-9.2460960569773487E-3</v>
      </c>
      <c r="H108" s="332">
        <v>3269458</v>
      </c>
      <c r="I108" s="333">
        <v>9.3415184020996094</v>
      </c>
      <c r="J108" s="197"/>
      <c r="K108" s="333">
        <v>9.6151123479241534</v>
      </c>
      <c r="L108" s="200">
        <f t="shared" si="7"/>
        <v>-1.5820057682578992E-2</v>
      </c>
      <c r="M108" s="332">
        <v>0</v>
      </c>
      <c r="N108" s="333">
        <v>77.095237731933594</v>
      </c>
      <c r="O108" s="197"/>
      <c r="P108" s="333">
        <v>82.970935155746929</v>
      </c>
      <c r="Q108" s="200">
        <f t="shared" si="8"/>
        <v>1.4411022788599848E-2</v>
      </c>
      <c r="R108" s="332">
        <v>547000</v>
      </c>
      <c r="S108" s="333">
        <v>52.669998168945313</v>
      </c>
      <c r="T108" s="197"/>
      <c r="U108" s="333">
        <v>56.053403802627798</v>
      </c>
      <c r="V108" s="200">
        <f t="shared" si="9"/>
        <v>-1.6065769287560205E-2</v>
      </c>
      <c r="W108" s="332">
        <v>401901</v>
      </c>
      <c r="X108" s="333">
        <v>48.229999542236328</v>
      </c>
      <c r="Y108" s="197"/>
      <c r="Z108" s="333">
        <v>48.94461309769008</v>
      </c>
      <c r="AA108" s="200">
        <f t="shared" si="10"/>
        <v>2.702724994579242E-3</v>
      </c>
      <c r="AB108" s="332">
        <v>0</v>
      </c>
      <c r="AC108" s="333">
        <v>71.849998474121094</v>
      </c>
      <c r="AD108" s="197"/>
      <c r="AE108" s="333">
        <v>71.849998474121108</v>
      </c>
      <c r="AF108" s="200">
        <f t="shared" si="11"/>
        <v>0</v>
      </c>
    </row>
    <row r="109" spans="2:32" x14ac:dyDescent="0.3">
      <c r="B109" s="331">
        <v>40186.8125</v>
      </c>
      <c r="C109" s="332">
        <v>126402800</v>
      </c>
      <c r="D109" s="333">
        <v>114.56999969482422</v>
      </c>
      <c r="E109" s="197"/>
      <c r="F109" s="333">
        <v>120.03276529220524</v>
      </c>
      <c r="G109" s="200">
        <f t="shared" si="6"/>
        <v>2.8086837624251348E-2</v>
      </c>
      <c r="H109" s="332">
        <v>4122156</v>
      </c>
      <c r="I109" s="333">
        <v>9.8078031539916992</v>
      </c>
      <c r="J109" s="197"/>
      <c r="K109" s="333">
        <v>10.095053625410552</v>
      </c>
      <c r="L109" s="200">
        <f t="shared" si="7"/>
        <v>4.9915306251207214E-2</v>
      </c>
      <c r="M109" s="332">
        <v>915332</v>
      </c>
      <c r="N109" s="333">
        <v>78.380950927734375</v>
      </c>
      <c r="O109" s="197"/>
      <c r="P109" s="333">
        <v>84.35463704623983</v>
      </c>
      <c r="Q109" s="200">
        <f t="shared" si="8"/>
        <v>1.6676947028444467E-2</v>
      </c>
      <c r="R109" s="332">
        <v>702000</v>
      </c>
      <c r="S109" s="333">
        <v>52.650001525878906</v>
      </c>
      <c r="T109" s="197"/>
      <c r="U109" s="333">
        <v>56.032122618890092</v>
      </c>
      <c r="V109" s="200">
        <f t="shared" si="9"/>
        <v>-3.7965908034132134E-4</v>
      </c>
      <c r="W109" s="332">
        <v>1402887</v>
      </c>
      <c r="X109" s="333">
        <v>51.150001525878906</v>
      </c>
      <c r="Y109" s="197"/>
      <c r="Z109" s="333">
        <v>51.907880124236826</v>
      </c>
      <c r="AA109" s="200">
        <f t="shared" si="10"/>
        <v>6.0543272057994812E-2</v>
      </c>
      <c r="AB109" s="332">
        <v>0</v>
      </c>
      <c r="AC109" s="333">
        <v>79.75</v>
      </c>
      <c r="AD109" s="197"/>
      <c r="AE109" s="333">
        <v>79.750000000000014</v>
      </c>
      <c r="AF109" s="200">
        <f t="shared" si="11"/>
        <v>0.10995131097635746</v>
      </c>
    </row>
    <row r="110" spans="2:32" x14ac:dyDescent="0.3">
      <c r="B110" s="331">
        <v>40193.8125</v>
      </c>
      <c r="C110" s="332">
        <v>212283100</v>
      </c>
      <c r="D110" s="333">
        <v>113.63999938964844</v>
      </c>
      <c r="E110" s="197"/>
      <c r="F110" s="333">
        <v>119.05842202040469</v>
      </c>
      <c r="G110" s="200">
        <f t="shared" si="6"/>
        <v>-8.1173108811467554E-3</v>
      </c>
      <c r="H110" s="332">
        <v>10056376</v>
      </c>
      <c r="I110" s="333">
        <v>9.2861957550048828</v>
      </c>
      <c r="J110" s="197"/>
      <c r="K110" s="333">
        <v>9.5581694137775166</v>
      </c>
      <c r="L110" s="200">
        <f t="shared" si="7"/>
        <v>-5.3182898432716397E-2</v>
      </c>
      <c r="M110" s="332">
        <v>1549453</v>
      </c>
      <c r="N110" s="333">
        <v>77.904762268066406</v>
      </c>
      <c r="O110" s="197"/>
      <c r="P110" s="333">
        <v>83.842156385104929</v>
      </c>
      <c r="Q110" s="200">
        <f t="shared" si="8"/>
        <v>-6.075311080456447E-3</v>
      </c>
      <c r="R110" s="332">
        <v>1117100</v>
      </c>
      <c r="S110" s="333">
        <v>51.159999847412109</v>
      </c>
      <c r="T110" s="197"/>
      <c r="U110" s="333">
        <v>54.446406487254897</v>
      </c>
      <c r="V110" s="200">
        <f t="shared" si="9"/>
        <v>-2.8300126026291283E-2</v>
      </c>
      <c r="W110" s="332">
        <v>1367150</v>
      </c>
      <c r="X110" s="333">
        <v>50</v>
      </c>
      <c r="Y110" s="197"/>
      <c r="Z110" s="333">
        <v>50.740839272482205</v>
      </c>
      <c r="AA110" s="200">
        <f t="shared" si="10"/>
        <v>-2.2482922611391842E-2</v>
      </c>
      <c r="AB110" s="332">
        <v>0</v>
      </c>
      <c r="AC110" s="333">
        <v>79.75</v>
      </c>
      <c r="AD110" s="197"/>
      <c r="AE110" s="333">
        <v>79.750000000000014</v>
      </c>
      <c r="AF110" s="200">
        <f t="shared" si="11"/>
        <v>0</v>
      </c>
    </row>
    <row r="111" spans="2:32" x14ac:dyDescent="0.3">
      <c r="B111" s="331">
        <v>40200.8125</v>
      </c>
      <c r="C111" s="332">
        <v>345942400</v>
      </c>
      <c r="D111" s="333">
        <v>109.20999908447266</v>
      </c>
      <c r="E111" s="197"/>
      <c r="F111" s="333">
        <v>114.41719667090699</v>
      </c>
      <c r="G111" s="200">
        <f t="shared" si="6"/>
        <v>-3.8982755446752559E-2</v>
      </c>
      <c r="H111" s="332">
        <v>21309617</v>
      </c>
      <c r="I111" s="333">
        <v>8.3378181457519531</v>
      </c>
      <c r="J111" s="197"/>
      <c r="K111" s="333">
        <v>8.5820157662962799</v>
      </c>
      <c r="L111" s="200">
        <f t="shared" si="7"/>
        <v>-0.10212767792901545</v>
      </c>
      <c r="M111" s="332">
        <v>2281455</v>
      </c>
      <c r="N111" s="333">
        <v>72.095237731933594</v>
      </c>
      <c r="O111" s="197"/>
      <c r="P111" s="333">
        <v>77.589867686687199</v>
      </c>
      <c r="Q111" s="200">
        <f t="shared" si="8"/>
        <v>-7.4572136118489563E-2</v>
      </c>
      <c r="R111" s="332">
        <v>1644600</v>
      </c>
      <c r="S111" s="333">
        <v>47.060001373291016</v>
      </c>
      <c r="T111" s="197"/>
      <c r="U111" s="333">
        <v>50.083033066908541</v>
      </c>
      <c r="V111" s="200">
        <f t="shared" si="9"/>
        <v>-8.014070536258E-2</v>
      </c>
      <c r="W111" s="332">
        <v>1708716</v>
      </c>
      <c r="X111" s="333">
        <v>44.990001678466797</v>
      </c>
      <c r="Y111" s="197"/>
      <c r="Z111" s="333">
        <v>45.656608880715766</v>
      </c>
      <c r="AA111" s="200">
        <f t="shared" si="10"/>
        <v>-0.10019996643066409</v>
      </c>
      <c r="AB111" s="332">
        <v>0</v>
      </c>
      <c r="AC111" s="333">
        <v>74.449996948242188</v>
      </c>
      <c r="AD111" s="197"/>
      <c r="AE111" s="333">
        <v>74.449996948242202</v>
      </c>
      <c r="AF111" s="200">
        <f t="shared" si="11"/>
        <v>-6.6457718517339281E-2</v>
      </c>
    </row>
    <row r="112" spans="2:32" x14ac:dyDescent="0.3">
      <c r="B112" s="331">
        <v>40207.8125</v>
      </c>
      <c r="C112" s="332">
        <v>310677600</v>
      </c>
      <c r="D112" s="333">
        <v>107.38999938964844</v>
      </c>
      <c r="E112" s="197"/>
      <c r="F112" s="333">
        <v>112.51041831023123</v>
      </c>
      <c r="G112" s="200">
        <f t="shared" si="6"/>
        <v>-1.666513790020685E-2</v>
      </c>
      <c r="H112" s="332">
        <v>20739085</v>
      </c>
      <c r="I112" s="333">
        <v>7.2629899978637695</v>
      </c>
      <c r="J112" s="197"/>
      <c r="K112" s="333">
        <v>7.4757081028297803</v>
      </c>
      <c r="L112" s="200">
        <f t="shared" si="7"/>
        <v>-0.12891000128562413</v>
      </c>
      <c r="M112" s="332">
        <v>2219999</v>
      </c>
      <c r="N112" s="333">
        <v>69.809524536132813</v>
      </c>
      <c r="O112" s="197"/>
      <c r="P112" s="333">
        <v>75.129952302382378</v>
      </c>
      <c r="Q112" s="200">
        <f t="shared" si="8"/>
        <v>-3.1704080154358771E-2</v>
      </c>
      <c r="R112" s="332">
        <v>1654800</v>
      </c>
      <c r="S112" s="333">
        <v>44.189998626708984</v>
      </c>
      <c r="T112" s="197"/>
      <c r="U112" s="333">
        <v>47.028667612921005</v>
      </c>
      <c r="V112" s="200">
        <f t="shared" si="9"/>
        <v>-6.0986031934348928E-2</v>
      </c>
      <c r="W112" s="332">
        <v>1366831</v>
      </c>
      <c r="X112" s="333">
        <v>43.770000457763672</v>
      </c>
      <c r="Y112" s="197"/>
      <c r="Z112" s="333">
        <v>44.418531163677173</v>
      </c>
      <c r="AA112" s="200">
        <f t="shared" si="10"/>
        <v>-2.7117163262677768E-2</v>
      </c>
      <c r="AB112" s="332">
        <v>0</v>
      </c>
      <c r="AC112" s="333">
        <v>75.629997253417969</v>
      </c>
      <c r="AD112" s="197"/>
      <c r="AE112" s="333">
        <v>75.629997253417983</v>
      </c>
      <c r="AF112" s="200">
        <f t="shared" si="11"/>
        <v>1.5849568214168164E-2</v>
      </c>
    </row>
    <row r="113" spans="2:32" x14ac:dyDescent="0.3">
      <c r="B113" s="331">
        <v>40214.8125</v>
      </c>
      <c r="C113" s="332">
        <v>493585800</v>
      </c>
      <c r="D113" s="333">
        <v>106.66000366210938</v>
      </c>
      <c r="E113" s="197"/>
      <c r="F113" s="333">
        <v>111.74561595305738</v>
      </c>
      <c r="G113" s="200">
        <f t="shared" si="6"/>
        <v>-6.7976136668963516E-3</v>
      </c>
      <c r="H113" s="332">
        <v>30265798</v>
      </c>
      <c r="I113" s="333">
        <v>7.3894410133361816</v>
      </c>
      <c r="J113" s="197"/>
      <c r="K113" s="333">
        <v>7.605862609617783</v>
      </c>
      <c r="L113" s="200">
        <f t="shared" si="7"/>
        <v>1.7410324881296013E-2</v>
      </c>
      <c r="M113" s="332">
        <v>3633218</v>
      </c>
      <c r="N113" s="333">
        <v>66.190475463867188</v>
      </c>
      <c r="O113" s="197"/>
      <c r="P113" s="333">
        <v>71.235082856042496</v>
      </c>
      <c r="Q113" s="200">
        <f t="shared" si="8"/>
        <v>-5.1841766525604127E-2</v>
      </c>
      <c r="R113" s="332">
        <v>1577200</v>
      </c>
      <c r="S113" s="333">
        <v>43.659999847412109</v>
      </c>
      <c r="T113" s="197"/>
      <c r="U113" s="333">
        <v>46.464622869734676</v>
      </c>
      <c r="V113" s="200">
        <f t="shared" si="9"/>
        <v>-1.1993636473582758E-2</v>
      </c>
      <c r="W113" s="332">
        <v>2012051</v>
      </c>
      <c r="X113" s="333">
        <v>41.419998168945313</v>
      </c>
      <c r="Y113" s="197"/>
      <c r="Z113" s="333">
        <v>42.033709395139219</v>
      </c>
      <c r="AA113" s="200">
        <f t="shared" si="10"/>
        <v>-5.368979356273984E-2</v>
      </c>
      <c r="AB113" s="332">
        <v>0</v>
      </c>
      <c r="AC113" s="333">
        <v>75.629997253417969</v>
      </c>
      <c r="AD113" s="197"/>
      <c r="AE113" s="333">
        <v>75.629997253417983</v>
      </c>
      <c r="AF113" s="200">
        <f t="shared" si="11"/>
        <v>0</v>
      </c>
    </row>
    <row r="114" spans="2:32" x14ac:dyDescent="0.3">
      <c r="B114" s="331">
        <v>40221.8125</v>
      </c>
      <c r="C114" s="332">
        <v>304622100</v>
      </c>
      <c r="D114" s="333">
        <v>108.04000091552734</v>
      </c>
      <c r="E114" s="197"/>
      <c r="F114" s="333">
        <v>113.19141229472299</v>
      </c>
      <c r="G114" s="200">
        <f t="shared" si="6"/>
        <v>1.2938282449245886E-2</v>
      </c>
      <c r="H114" s="332">
        <v>6179438</v>
      </c>
      <c r="I114" s="333">
        <v>7.5237941741943359</v>
      </c>
      <c r="J114" s="197"/>
      <c r="K114" s="333">
        <v>7.7441506994490394</v>
      </c>
      <c r="L114" s="200">
        <f t="shared" si="7"/>
        <v>1.8181775944307477E-2</v>
      </c>
      <c r="M114" s="332">
        <v>1831378</v>
      </c>
      <c r="N114" s="333">
        <v>66.095237731933594</v>
      </c>
      <c r="O114" s="197"/>
      <c r="P114" s="333">
        <v>71.132586723815521</v>
      </c>
      <c r="Q114" s="200">
        <f t="shared" si="8"/>
        <v>-1.4388434478851408E-3</v>
      </c>
      <c r="R114" s="332">
        <v>1457400</v>
      </c>
      <c r="S114" s="333">
        <v>42.939998626708984</v>
      </c>
      <c r="T114" s="197"/>
      <c r="U114" s="333">
        <v>45.698370343334304</v>
      </c>
      <c r="V114" s="200">
        <f t="shared" si="9"/>
        <v>-1.6491095355461893E-2</v>
      </c>
      <c r="W114" s="332">
        <v>1682391</v>
      </c>
      <c r="X114" s="333">
        <v>39.5</v>
      </c>
      <c r="Y114" s="197"/>
      <c r="Z114" s="333">
        <v>40.085263025260936</v>
      </c>
      <c r="AA114" s="200">
        <f t="shared" si="10"/>
        <v>-4.6354375997651132E-2</v>
      </c>
      <c r="AB114" s="332">
        <v>300</v>
      </c>
      <c r="AC114" s="333">
        <v>64.25</v>
      </c>
      <c r="AD114" s="197"/>
      <c r="AE114" s="333">
        <v>64.250000000000014</v>
      </c>
      <c r="AF114" s="200">
        <f t="shared" si="11"/>
        <v>-0.15046935960193586</v>
      </c>
    </row>
    <row r="115" spans="2:32" x14ac:dyDescent="0.3">
      <c r="B115" s="331">
        <v>40228.8125</v>
      </c>
      <c r="C115" s="332">
        <v>222684900</v>
      </c>
      <c r="D115" s="333">
        <v>111.13999938964844</v>
      </c>
      <c r="E115" s="197"/>
      <c r="F115" s="333">
        <v>116.43922053633531</v>
      </c>
      <c r="G115" s="200">
        <f t="shared" si="6"/>
        <v>2.8693062271860414E-2</v>
      </c>
      <c r="H115" s="332">
        <v>8684391</v>
      </c>
      <c r="I115" s="333">
        <v>7.7213730812072754</v>
      </c>
      <c r="J115" s="197"/>
      <c r="K115" s="333">
        <v>7.9475162880756685</v>
      </c>
      <c r="L115" s="200">
        <f t="shared" si="7"/>
        <v>2.6260541216107436E-2</v>
      </c>
      <c r="M115" s="332">
        <v>4739173</v>
      </c>
      <c r="N115" s="333">
        <v>69.523811340332031</v>
      </c>
      <c r="O115" s="197"/>
      <c r="P115" s="333">
        <v>74.822463905701454</v>
      </c>
      <c r="Q115" s="200">
        <f t="shared" si="8"/>
        <v>5.1873232112484846E-2</v>
      </c>
      <c r="R115" s="332">
        <v>1372600</v>
      </c>
      <c r="S115" s="333">
        <v>45.5</v>
      </c>
      <c r="T115" s="197"/>
      <c r="U115" s="333">
        <v>48.422820612956102</v>
      </c>
      <c r="V115" s="200">
        <f t="shared" si="9"/>
        <v>5.9618105616302319E-2</v>
      </c>
      <c r="W115" s="332">
        <v>1344468</v>
      </c>
      <c r="X115" s="333">
        <v>40.400001525878906</v>
      </c>
      <c r="Y115" s="197"/>
      <c r="Z115" s="333">
        <v>40.998599680653143</v>
      </c>
      <c r="AA115" s="200">
        <f t="shared" si="10"/>
        <v>2.2784848756427944E-2</v>
      </c>
      <c r="AB115" s="332">
        <v>0</v>
      </c>
      <c r="AC115" s="333">
        <v>64.25</v>
      </c>
      <c r="AD115" s="197"/>
      <c r="AE115" s="333">
        <v>64.250000000000014</v>
      </c>
      <c r="AF115" s="200">
        <f t="shared" si="11"/>
        <v>0</v>
      </c>
    </row>
    <row r="116" spans="2:32" x14ac:dyDescent="0.3">
      <c r="B116" s="331">
        <v>40235.8125</v>
      </c>
      <c r="C116" s="332">
        <v>173589300</v>
      </c>
      <c r="D116" s="333">
        <v>110.73999786376953</v>
      </c>
      <c r="E116" s="197"/>
      <c r="F116" s="333">
        <v>116.02014670025051</v>
      </c>
      <c r="G116" s="200">
        <f t="shared" si="6"/>
        <v>-3.5990779924023331E-3</v>
      </c>
      <c r="H116" s="332">
        <v>10973353</v>
      </c>
      <c r="I116" s="333">
        <v>7.5554070472717285</v>
      </c>
      <c r="J116" s="197"/>
      <c r="K116" s="333">
        <v>7.7766894488467262</v>
      </c>
      <c r="L116" s="200">
        <f t="shared" si="7"/>
        <v>-2.1494367930424807E-2</v>
      </c>
      <c r="M116" s="332">
        <v>1547435</v>
      </c>
      <c r="N116" s="333">
        <v>67.666664123535156</v>
      </c>
      <c r="O116" s="197"/>
      <c r="P116" s="333">
        <v>72.82377701098936</v>
      </c>
      <c r="Q116" s="200">
        <f t="shared" si="8"/>
        <v>-2.6712390776532535E-2</v>
      </c>
      <c r="R116" s="332">
        <v>1617500</v>
      </c>
      <c r="S116" s="333">
        <v>43.409999847412109</v>
      </c>
      <c r="T116" s="333">
        <v>0.25</v>
      </c>
      <c r="U116" s="333">
        <v>46.464622869734669</v>
      </c>
      <c r="V116" s="200">
        <f t="shared" si="9"/>
        <v>-4.0439563793140398E-2</v>
      </c>
      <c r="W116" s="332">
        <v>1130933</v>
      </c>
      <c r="X116" s="333">
        <v>37.424999237060547</v>
      </c>
      <c r="Y116" s="197"/>
      <c r="Z116" s="333">
        <v>37.97951742120916</v>
      </c>
      <c r="AA116" s="200">
        <f t="shared" si="10"/>
        <v>-7.3638667734026497E-2</v>
      </c>
      <c r="AB116" s="332">
        <v>0</v>
      </c>
      <c r="AC116" s="333">
        <v>64.25</v>
      </c>
      <c r="AD116" s="197"/>
      <c r="AE116" s="333">
        <v>64.250000000000014</v>
      </c>
      <c r="AF116" s="200">
        <f t="shared" si="11"/>
        <v>0</v>
      </c>
    </row>
    <row r="117" spans="2:32" x14ac:dyDescent="0.3">
      <c r="B117" s="331">
        <v>40242.8125</v>
      </c>
      <c r="C117" s="332">
        <v>176118800</v>
      </c>
      <c r="D117" s="333">
        <v>114.25</v>
      </c>
      <c r="E117" s="197"/>
      <c r="F117" s="333">
        <v>119.69750782197113</v>
      </c>
      <c r="G117" s="200">
        <f t="shared" si="6"/>
        <v>3.1695884088316584E-2</v>
      </c>
      <c r="H117" s="332">
        <v>9083978</v>
      </c>
      <c r="I117" s="333">
        <v>8.013789176940918</v>
      </c>
      <c r="J117" s="197"/>
      <c r="K117" s="333">
        <v>8.2484966524871304</v>
      </c>
      <c r="L117" s="200">
        <f t="shared" si="7"/>
        <v>6.0669415532643267E-2</v>
      </c>
      <c r="M117" s="332">
        <v>2370229</v>
      </c>
      <c r="N117" s="333">
        <v>72.666664123535156</v>
      </c>
      <c r="O117" s="197"/>
      <c r="P117" s="333">
        <v>78.204844480049104</v>
      </c>
      <c r="Q117" s="200">
        <f t="shared" si="8"/>
        <v>7.389162839284924E-2</v>
      </c>
      <c r="R117" s="332">
        <v>867300</v>
      </c>
      <c r="S117" s="333">
        <v>45.090000152587891</v>
      </c>
      <c r="T117" s="197"/>
      <c r="U117" s="333">
        <v>48.262839429868691</v>
      </c>
      <c r="V117" s="200">
        <f t="shared" si="9"/>
        <v>3.8700767359618693E-2</v>
      </c>
      <c r="W117" s="332">
        <v>885765</v>
      </c>
      <c r="X117" s="333">
        <v>41</v>
      </c>
      <c r="Y117" s="197"/>
      <c r="Z117" s="333">
        <v>41.607488203435395</v>
      </c>
      <c r="AA117" s="200">
        <f t="shared" si="10"/>
        <v>9.5524404430695764E-2</v>
      </c>
      <c r="AB117" s="332">
        <v>0</v>
      </c>
      <c r="AC117" s="333">
        <v>66.669998168945313</v>
      </c>
      <c r="AD117" s="197"/>
      <c r="AE117" s="333">
        <v>66.669998168945327</v>
      </c>
      <c r="AF117" s="200">
        <f t="shared" si="11"/>
        <v>3.7665341150899811E-2</v>
      </c>
    </row>
    <row r="118" spans="2:32" x14ac:dyDescent="0.3">
      <c r="B118" s="331">
        <v>40249.8125</v>
      </c>
      <c r="C118" s="332">
        <v>162074800</v>
      </c>
      <c r="D118" s="333">
        <v>115.45999908447266</v>
      </c>
      <c r="E118" s="197"/>
      <c r="F118" s="333">
        <v>120.96520038108048</v>
      </c>
      <c r="G118" s="200">
        <f t="shared" si="6"/>
        <v>1.0590801614640322E-2</v>
      </c>
      <c r="H118" s="332">
        <v>6646215</v>
      </c>
      <c r="I118" s="333">
        <v>8.2666902542114258</v>
      </c>
      <c r="J118" s="197"/>
      <c r="K118" s="333">
        <v>8.5088046844576546</v>
      </c>
      <c r="L118" s="200">
        <f t="shared" si="7"/>
        <v>3.1558239390451215E-2</v>
      </c>
      <c r="M118" s="332">
        <v>1686923</v>
      </c>
      <c r="N118" s="333">
        <v>72.76190185546875</v>
      </c>
      <c r="O118" s="197"/>
      <c r="P118" s="333">
        <v>78.307340612276079</v>
      </c>
      <c r="Q118" s="200">
        <f t="shared" si="8"/>
        <v>1.310611035779452E-3</v>
      </c>
      <c r="R118" s="332">
        <v>935200</v>
      </c>
      <c r="S118" s="333">
        <v>45.259998321533203</v>
      </c>
      <c r="T118" s="197"/>
      <c r="U118" s="333">
        <v>48.444799826928232</v>
      </c>
      <c r="V118" s="200">
        <f t="shared" si="9"/>
        <v>3.7701966815266719E-3</v>
      </c>
      <c r="W118" s="332">
        <v>779565</v>
      </c>
      <c r="X118" s="333">
        <v>41.700000762939453</v>
      </c>
      <c r="Y118" s="197"/>
      <c r="Z118" s="333">
        <v>42.317860727493908</v>
      </c>
      <c r="AA118" s="200">
        <f t="shared" si="10"/>
        <v>1.7073189339986694E-2</v>
      </c>
      <c r="AB118" s="332">
        <v>0</v>
      </c>
      <c r="AC118" s="333">
        <v>71.800003051757813</v>
      </c>
      <c r="AD118" s="197"/>
      <c r="AE118" s="333">
        <v>71.800003051757827</v>
      </c>
      <c r="AF118" s="200">
        <f t="shared" si="11"/>
        <v>7.6946228044176612E-2</v>
      </c>
    </row>
    <row r="119" spans="2:32" x14ac:dyDescent="0.3">
      <c r="B119" s="331">
        <v>40256.770833333336</v>
      </c>
      <c r="C119" s="332">
        <v>226641100</v>
      </c>
      <c r="D119" s="333">
        <v>115.97000122070313</v>
      </c>
      <c r="E119" s="333">
        <v>0.48</v>
      </c>
      <c r="F119" s="333">
        <v>122.00240640685917</v>
      </c>
      <c r="G119" s="200">
        <f t="shared" si="6"/>
        <v>8.5744166298336033E-3</v>
      </c>
      <c r="H119" s="332">
        <v>7434382</v>
      </c>
      <c r="I119" s="333">
        <v>8.4089469909667969</v>
      </c>
      <c r="J119" s="197"/>
      <c r="K119" s="333">
        <v>8.6552278297403884</v>
      </c>
      <c r="L119" s="200">
        <f t="shared" si="7"/>
        <v>1.7208427119051573E-2</v>
      </c>
      <c r="M119" s="332">
        <v>2237421</v>
      </c>
      <c r="N119" s="333">
        <v>75.333335876464844</v>
      </c>
      <c r="O119" s="197"/>
      <c r="P119" s="333">
        <v>81.074752604119197</v>
      </c>
      <c r="Q119" s="200">
        <f t="shared" si="8"/>
        <v>3.5340390443667768E-2</v>
      </c>
      <c r="R119" s="332">
        <v>1772000</v>
      </c>
      <c r="S119" s="333">
        <v>48.569999694824219</v>
      </c>
      <c r="T119" s="197"/>
      <c r="U119" s="333">
        <v>51.987715423539079</v>
      </c>
      <c r="V119" s="200">
        <f t="shared" si="9"/>
        <v>7.3133042334122766E-2</v>
      </c>
      <c r="W119" s="332">
        <v>1585687</v>
      </c>
      <c r="X119" s="333">
        <v>43.409999847412109</v>
      </c>
      <c r="Y119" s="197"/>
      <c r="Z119" s="333">
        <v>44.053196501520283</v>
      </c>
      <c r="AA119" s="200">
        <f t="shared" si="10"/>
        <v>4.1007171539248599E-2</v>
      </c>
      <c r="AB119" s="332">
        <v>300</v>
      </c>
      <c r="AC119" s="333">
        <v>74.699996948242188</v>
      </c>
      <c r="AD119" s="197"/>
      <c r="AE119" s="333">
        <v>74.699996948242188</v>
      </c>
      <c r="AF119" s="200">
        <f t="shared" si="11"/>
        <v>4.0389885420950122E-2</v>
      </c>
    </row>
    <row r="120" spans="2:32" x14ac:dyDescent="0.3">
      <c r="B120" s="331">
        <v>40263.770833333336</v>
      </c>
      <c r="C120" s="332">
        <v>205808500</v>
      </c>
      <c r="D120" s="333">
        <v>116.58000183105469</v>
      </c>
      <c r="E120" s="197"/>
      <c r="F120" s="333">
        <v>122.64413738546727</v>
      </c>
      <c r="G120" s="200">
        <f t="shared" si="6"/>
        <v>5.2599862372224582E-3</v>
      </c>
      <c r="H120" s="332">
        <v>17579330</v>
      </c>
      <c r="I120" s="333">
        <v>7.9426608085632324</v>
      </c>
      <c r="J120" s="197"/>
      <c r="K120" s="333">
        <v>8.1752850798457626</v>
      </c>
      <c r="L120" s="200">
        <f t="shared" si="7"/>
        <v>-5.5451197742650504E-2</v>
      </c>
      <c r="M120" s="332">
        <v>1235797</v>
      </c>
      <c r="N120" s="333">
        <v>74.571426391601563</v>
      </c>
      <c r="O120" s="197"/>
      <c r="P120" s="333">
        <v>80.254775335446013</v>
      </c>
      <c r="Q120" s="200">
        <f t="shared" si="8"/>
        <v>-1.0113842377997284E-2</v>
      </c>
      <c r="R120" s="332">
        <v>1451200</v>
      </c>
      <c r="S120" s="333">
        <v>47.779998779296875</v>
      </c>
      <c r="T120" s="197"/>
      <c r="U120" s="333">
        <v>51.142124667129259</v>
      </c>
      <c r="V120" s="200">
        <f t="shared" si="9"/>
        <v>-1.6265203221970226E-2</v>
      </c>
      <c r="W120" s="332">
        <v>1314703</v>
      </c>
      <c r="X120" s="333">
        <v>40.709999084472656</v>
      </c>
      <c r="Y120" s="197"/>
      <c r="Z120" s="333">
        <v>41.313190406562484</v>
      </c>
      <c r="AA120" s="200">
        <f t="shared" si="10"/>
        <v>-6.2197668104815973E-2</v>
      </c>
      <c r="AB120" s="332">
        <v>0</v>
      </c>
      <c r="AC120" s="333">
        <v>75</v>
      </c>
      <c r="AD120" s="197"/>
      <c r="AE120" s="333">
        <v>75</v>
      </c>
      <c r="AF120" s="200">
        <f t="shared" si="11"/>
        <v>4.0161052746183756E-3</v>
      </c>
    </row>
    <row r="121" spans="2:32" x14ac:dyDescent="0.3">
      <c r="B121" s="331">
        <v>40269.770833333336</v>
      </c>
      <c r="C121" s="332">
        <v>161215200</v>
      </c>
      <c r="D121" s="333">
        <v>117.80000305175781</v>
      </c>
      <c r="E121" s="197"/>
      <c r="F121" s="333">
        <v>123.92759934268346</v>
      </c>
      <c r="G121" s="200">
        <f t="shared" si="6"/>
        <v>1.0464927101915267E-2</v>
      </c>
      <c r="H121" s="332">
        <v>15636812</v>
      </c>
      <c r="I121" s="333">
        <v>8.2192707061767578</v>
      </c>
      <c r="J121" s="197"/>
      <c r="K121" s="333">
        <v>8.4599963149597528</v>
      </c>
      <c r="L121" s="200">
        <f t="shared" si="7"/>
        <v>3.4825847946988286E-2</v>
      </c>
      <c r="M121" s="332">
        <v>971085</v>
      </c>
      <c r="N121" s="333">
        <v>75.904762268066406</v>
      </c>
      <c r="O121" s="197"/>
      <c r="P121" s="333">
        <v>81.689729397481059</v>
      </c>
      <c r="Q121" s="200">
        <f t="shared" si="8"/>
        <v>1.787998354038467E-2</v>
      </c>
      <c r="R121" s="332">
        <v>1512100</v>
      </c>
      <c r="S121" s="333">
        <v>49.090000152587891</v>
      </c>
      <c r="T121" s="197"/>
      <c r="U121" s="333">
        <v>52.544306652449627</v>
      </c>
      <c r="V121" s="200">
        <f t="shared" si="9"/>
        <v>2.7417358868971675E-2</v>
      </c>
      <c r="W121" s="332">
        <v>466981</v>
      </c>
      <c r="X121" s="333">
        <v>42.099998474121094</v>
      </c>
      <c r="Y121" s="197"/>
      <c r="Z121" s="333">
        <v>42.723785118942473</v>
      </c>
      <c r="AA121" s="200">
        <f t="shared" si="10"/>
        <v>3.4143930751857843E-2</v>
      </c>
      <c r="AB121" s="332">
        <v>0</v>
      </c>
      <c r="AC121" s="333">
        <v>75</v>
      </c>
      <c r="AD121" s="197"/>
      <c r="AE121" s="333">
        <v>75</v>
      </c>
      <c r="AF121" s="200">
        <f t="shared" si="11"/>
        <v>0</v>
      </c>
    </row>
    <row r="122" spans="2:32" x14ac:dyDescent="0.3">
      <c r="B122" s="331">
        <v>40277.770833333336</v>
      </c>
      <c r="C122" s="332">
        <v>133006500</v>
      </c>
      <c r="D122" s="333">
        <v>119.55000305175781</v>
      </c>
      <c r="E122" s="197"/>
      <c r="F122" s="333">
        <v>125.76862899659957</v>
      </c>
      <c r="G122" s="200">
        <f t="shared" si="6"/>
        <v>1.485568722125663E-2</v>
      </c>
      <c r="H122" s="332">
        <v>8753350</v>
      </c>
      <c r="I122" s="333">
        <v>8.5749130249023438</v>
      </c>
      <c r="J122" s="197"/>
      <c r="K122" s="333">
        <v>8.8260546689693307</v>
      </c>
      <c r="L122" s="200">
        <f t="shared" si="7"/>
        <v>4.3269327832008653E-2</v>
      </c>
      <c r="M122" s="332">
        <v>897325</v>
      </c>
      <c r="N122" s="333">
        <v>76.380950927734375</v>
      </c>
      <c r="O122" s="197"/>
      <c r="P122" s="333">
        <v>82.202210058615947</v>
      </c>
      <c r="Q122" s="200">
        <f t="shared" si="8"/>
        <v>6.2735017598269938E-3</v>
      </c>
      <c r="R122" s="332">
        <v>879100</v>
      </c>
      <c r="S122" s="333">
        <v>48.419998168945313</v>
      </c>
      <c r="T122" s="197"/>
      <c r="U122" s="333">
        <v>51.82715876944215</v>
      </c>
      <c r="V122" s="200">
        <f t="shared" si="9"/>
        <v>-1.3648441262171351E-2</v>
      </c>
      <c r="W122" s="332">
        <v>1163325</v>
      </c>
      <c r="X122" s="333">
        <v>44.185001373291016</v>
      </c>
      <c r="Y122" s="197"/>
      <c r="Z122" s="333">
        <v>44.83968105873128</v>
      </c>
      <c r="AA122" s="200">
        <f t="shared" si="10"/>
        <v>4.9525011276462916E-2</v>
      </c>
      <c r="AB122" s="332">
        <v>0</v>
      </c>
      <c r="AC122" s="333">
        <v>75</v>
      </c>
      <c r="AD122" s="197"/>
      <c r="AE122" s="333">
        <v>75</v>
      </c>
      <c r="AF122" s="200">
        <f t="shared" si="11"/>
        <v>0</v>
      </c>
    </row>
    <row r="123" spans="2:32" x14ac:dyDescent="0.3">
      <c r="B123" s="331">
        <v>40284.770833333336</v>
      </c>
      <c r="C123" s="332">
        <v>366786700</v>
      </c>
      <c r="D123" s="333">
        <v>119.36000061035156</v>
      </c>
      <c r="E123" s="197"/>
      <c r="F123" s="333">
        <v>125.56874320863081</v>
      </c>
      <c r="G123" s="200">
        <f t="shared" si="6"/>
        <v>-1.5893135638312961E-3</v>
      </c>
      <c r="H123" s="332">
        <v>15184081</v>
      </c>
      <c r="I123" s="333">
        <v>8.3852367401123047</v>
      </c>
      <c r="J123" s="197"/>
      <c r="K123" s="333">
        <v>8.6308231541886951</v>
      </c>
      <c r="L123" s="200">
        <f t="shared" si="7"/>
        <v>-2.2119907716754983E-2</v>
      </c>
      <c r="M123" s="332">
        <v>2256567</v>
      </c>
      <c r="N123" s="333">
        <v>77.952377319335938</v>
      </c>
      <c r="O123" s="197"/>
      <c r="P123" s="333">
        <v>83.893400345789757</v>
      </c>
      <c r="Q123" s="200">
        <f t="shared" si="8"/>
        <v>2.0573537937336184E-2</v>
      </c>
      <c r="R123" s="332">
        <v>1903400</v>
      </c>
      <c r="S123" s="333">
        <v>52.900001525878906</v>
      </c>
      <c r="T123" s="197"/>
      <c r="U123" s="333">
        <v>56.622405651883099</v>
      </c>
      <c r="V123" s="200">
        <f t="shared" si="9"/>
        <v>9.2523823344687672E-2</v>
      </c>
      <c r="W123" s="332">
        <v>2440049</v>
      </c>
      <c r="X123" s="333">
        <v>45.455001831054688</v>
      </c>
      <c r="Y123" s="197"/>
      <c r="Z123" s="333">
        <v>46.128498840798592</v>
      </c>
      <c r="AA123" s="200">
        <f t="shared" si="10"/>
        <v>2.8742795480173333E-2</v>
      </c>
      <c r="AB123" s="332">
        <v>0</v>
      </c>
      <c r="AC123" s="333">
        <v>75</v>
      </c>
      <c r="AD123" s="197"/>
      <c r="AE123" s="333">
        <v>75</v>
      </c>
      <c r="AF123" s="200">
        <f t="shared" si="11"/>
        <v>0</v>
      </c>
    </row>
    <row r="124" spans="2:32" x14ac:dyDescent="0.3">
      <c r="B124" s="331">
        <v>40291.770833333336</v>
      </c>
      <c r="C124" s="332">
        <v>177335500</v>
      </c>
      <c r="D124" s="333">
        <v>121.80999755859375</v>
      </c>
      <c r="E124" s="197"/>
      <c r="F124" s="333">
        <v>128.14618151361245</v>
      </c>
      <c r="G124" s="200">
        <f t="shared" si="6"/>
        <v>2.0526113737550533E-2</v>
      </c>
      <c r="H124" s="332">
        <v>43767511</v>
      </c>
      <c r="I124" s="333">
        <v>9.5153865814208984</v>
      </c>
      <c r="J124" s="197"/>
      <c r="K124" s="333">
        <v>9.7940727701963475</v>
      </c>
      <c r="L124" s="200">
        <f t="shared" si="7"/>
        <v>0.13477852520279088</v>
      </c>
      <c r="M124" s="332">
        <v>2056407</v>
      </c>
      <c r="N124" s="333">
        <v>78.142860412597656</v>
      </c>
      <c r="O124" s="197"/>
      <c r="P124" s="333">
        <v>84.098400821101052</v>
      </c>
      <c r="Q124" s="200">
        <f t="shared" si="8"/>
        <v>2.4435828618976085E-3</v>
      </c>
      <c r="R124" s="332">
        <v>1859300</v>
      </c>
      <c r="S124" s="333">
        <v>57.270000457763672</v>
      </c>
      <c r="T124" s="197"/>
      <c r="U124" s="333">
        <v>61.299907449277683</v>
      </c>
      <c r="V124" s="200">
        <f t="shared" si="9"/>
        <v>8.2608673078146122E-2</v>
      </c>
      <c r="W124" s="332">
        <v>1805830</v>
      </c>
      <c r="X124" s="333">
        <v>48</v>
      </c>
      <c r="Y124" s="197"/>
      <c r="Z124" s="333">
        <v>48.711205701582898</v>
      </c>
      <c r="AA124" s="200">
        <f t="shared" si="10"/>
        <v>5.5989397567388854E-2</v>
      </c>
      <c r="AB124" s="332">
        <v>0</v>
      </c>
      <c r="AC124" s="333">
        <v>75</v>
      </c>
      <c r="AD124" s="197"/>
      <c r="AE124" s="333">
        <v>75</v>
      </c>
      <c r="AF124" s="200">
        <f t="shared" si="11"/>
        <v>0</v>
      </c>
    </row>
    <row r="125" spans="2:32" x14ac:dyDescent="0.3">
      <c r="B125" s="331">
        <v>40298.770833333336</v>
      </c>
      <c r="C125" s="332">
        <v>270000900</v>
      </c>
      <c r="D125" s="333">
        <v>118.80999755859375</v>
      </c>
      <c r="E125" s="197"/>
      <c r="F125" s="333">
        <v>124.99013067832766</v>
      </c>
      <c r="G125" s="200">
        <f t="shared" si="6"/>
        <v>-2.4628520319581515E-2</v>
      </c>
      <c r="H125" s="332">
        <v>15786626</v>
      </c>
      <c r="I125" s="333">
        <v>9.3889369964599609</v>
      </c>
      <c r="J125" s="197"/>
      <c r="K125" s="333">
        <v>9.6639197358165703</v>
      </c>
      <c r="L125" s="200">
        <f t="shared" si="7"/>
        <v>-1.3288959295446157E-2</v>
      </c>
      <c r="M125" s="332">
        <v>1262913</v>
      </c>
      <c r="N125" s="333">
        <v>77</v>
      </c>
      <c r="O125" s="197"/>
      <c r="P125" s="333">
        <v>82.868439023519969</v>
      </c>
      <c r="Q125" s="200">
        <f t="shared" si="8"/>
        <v>-1.4625269750343173E-2</v>
      </c>
      <c r="R125" s="332">
        <v>1951500</v>
      </c>
      <c r="S125" s="333">
        <v>57.279998779296875</v>
      </c>
      <c r="T125" s="197"/>
      <c r="U125" s="333">
        <v>61.310609320758985</v>
      </c>
      <c r="V125" s="200">
        <f t="shared" si="9"/>
        <v>1.7458218008181703E-4</v>
      </c>
      <c r="W125" s="332">
        <v>1609626</v>
      </c>
      <c r="X125" s="333">
        <v>46.764999389648438</v>
      </c>
      <c r="Y125" s="197"/>
      <c r="Z125" s="333">
        <v>47.457906352157579</v>
      </c>
      <c r="AA125" s="200">
        <f t="shared" si="10"/>
        <v>-2.5729179382324219E-2</v>
      </c>
      <c r="AB125" s="332">
        <v>0</v>
      </c>
      <c r="AC125" s="333">
        <v>76.800003051757813</v>
      </c>
      <c r="AD125" s="197"/>
      <c r="AE125" s="333">
        <v>76.800003051757813</v>
      </c>
      <c r="AF125" s="200">
        <f t="shared" si="11"/>
        <v>2.4000040690104196E-2</v>
      </c>
    </row>
    <row r="126" spans="2:32" x14ac:dyDescent="0.3">
      <c r="B126" s="331">
        <v>40305.770833333336</v>
      </c>
      <c r="C126" s="332">
        <v>637558800</v>
      </c>
      <c r="D126" s="333">
        <v>111.26000213623047</v>
      </c>
      <c r="E126" s="197"/>
      <c r="F126" s="333">
        <v>117.04740755861235</v>
      </c>
      <c r="G126" s="200">
        <f t="shared" si="6"/>
        <v>-6.3546802268385161E-2</v>
      </c>
      <c r="H126" s="332">
        <v>26787057</v>
      </c>
      <c r="I126" s="333">
        <v>8.1007242202758789</v>
      </c>
      <c r="J126" s="197"/>
      <c r="K126" s="333">
        <v>8.3379778452287123</v>
      </c>
      <c r="L126" s="200">
        <f t="shared" si="7"/>
        <v>-0.13720539148039812</v>
      </c>
      <c r="M126" s="332">
        <v>2876356</v>
      </c>
      <c r="N126" s="333">
        <v>70.857139587402344</v>
      </c>
      <c r="O126" s="197"/>
      <c r="P126" s="333">
        <v>76.257409756879156</v>
      </c>
      <c r="Q126" s="200">
        <f t="shared" si="8"/>
        <v>-7.9777407955813562E-2</v>
      </c>
      <c r="R126" s="332">
        <v>2271600</v>
      </c>
      <c r="S126" s="333">
        <v>51.080001831054688</v>
      </c>
      <c r="T126" s="197"/>
      <c r="U126" s="333">
        <v>54.674338392258782</v>
      </c>
      <c r="V126" s="200">
        <f t="shared" si="9"/>
        <v>-0.10824017249251583</v>
      </c>
      <c r="W126" s="332">
        <v>2186176</v>
      </c>
      <c r="X126" s="333">
        <v>42.375</v>
      </c>
      <c r="Y126" s="333">
        <v>0.12</v>
      </c>
      <c r="Z126" s="333">
        <v>43.124639297682613</v>
      </c>
      <c r="AA126" s="200">
        <f t="shared" si="10"/>
        <v>-9.1307589979218728E-2</v>
      </c>
      <c r="AB126" s="332">
        <v>0</v>
      </c>
      <c r="AC126" s="333">
        <v>76.800003051757813</v>
      </c>
      <c r="AD126" s="197"/>
      <c r="AE126" s="333">
        <v>76.800003051757813</v>
      </c>
      <c r="AF126" s="200">
        <f t="shared" si="11"/>
        <v>0</v>
      </c>
    </row>
    <row r="127" spans="2:32" x14ac:dyDescent="0.3">
      <c r="B127" s="331">
        <v>40312.770833333336</v>
      </c>
      <c r="C127" s="332">
        <v>345601400</v>
      </c>
      <c r="D127" s="333">
        <v>113.88999938964844</v>
      </c>
      <c r="E127" s="197"/>
      <c r="F127" s="333">
        <v>119.81420923476118</v>
      </c>
      <c r="G127" s="200">
        <f t="shared" si="6"/>
        <v>2.3638299504953553E-2</v>
      </c>
      <c r="H127" s="332">
        <v>16085368</v>
      </c>
      <c r="I127" s="333">
        <v>8.7408790588378906</v>
      </c>
      <c r="J127" s="197"/>
      <c r="K127" s="333">
        <v>8.9968815081982729</v>
      </c>
      <c r="L127" s="200">
        <f t="shared" si="7"/>
        <v>7.9024395986684981E-2</v>
      </c>
      <c r="M127" s="332">
        <v>2060427</v>
      </c>
      <c r="N127" s="333">
        <v>72.857139587402344</v>
      </c>
      <c r="O127" s="333">
        <v>1.428571</v>
      </c>
      <c r="P127" s="333">
        <v>79.947284131571493</v>
      </c>
      <c r="Q127" s="200">
        <f t="shared" si="8"/>
        <v>4.8387092958654732E-2</v>
      </c>
      <c r="R127" s="332">
        <v>1035400</v>
      </c>
      <c r="S127" s="333">
        <v>52.880001068115234</v>
      </c>
      <c r="T127" s="197"/>
      <c r="U127" s="333">
        <v>56.600997825795147</v>
      </c>
      <c r="V127" s="200">
        <f t="shared" si="9"/>
        <v>3.5238824834305849E-2</v>
      </c>
      <c r="W127" s="332">
        <v>1744398</v>
      </c>
      <c r="X127" s="333">
        <v>46.564998626708984</v>
      </c>
      <c r="Y127" s="197"/>
      <c r="Z127" s="333">
        <v>47.388761526227995</v>
      </c>
      <c r="AA127" s="200">
        <f t="shared" si="10"/>
        <v>9.8879023639150132E-2</v>
      </c>
      <c r="AB127" s="332">
        <v>2000</v>
      </c>
      <c r="AC127" s="333">
        <v>68.5</v>
      </c>
      <c r="AD127" s="197"/>
      <c r="AE127" s="333">
        <v>68.5</v>
      </c>
      <c r="AF127" s="200">
        <f t="shared" si="11"/>
        <v>-0.10807295210866319</v>
      </c>
    </row>
    <row r="128" spans="2:32" x14ac:dyDescent="0.3">
      <c r="B128" s="331">
        <v>40319.770833333336</v>
      </c>
      <c r="C128" s="332">
        <v>500909400</v>
      </c>
      <c r="D128" s="333">
        <v>109.11000061035156</v>
      </c>
      <c r="E128" s="197"/>
      <c r="F128" s="333">
        <v>114.78556952140779</v>
      </c>
      <c r="G128" s="200">
        <f t="shared" si="6"/>
        <v>-4.197031174741872E-2</v>
      </c>
      <c r="H128" s="332">
        <v>31714842</v>
      </c>
      <c r="I128" s="333">
        <v>8.0216922760009766</v>
      </c>
      <c r="J128" s="197"/>
      <c r="K128" s="333">
        <v>8.2566312171358671</v>
      </c>
      <c r="L128" s="200">
        <f t="shared" si="7"/>
        <v>-8.2278541780045011E-2</v>
      </c>
      <c r="M128" s="332">
        <v>3384959</v>
      </c>
      <c r="N128" s="333">
        <v>68.095237731933594</v>
      </c>
      <c r="O128" s="197"/>
      <c r="P128" s="333">
        <v>74.721974398005671</v>
      </c>
      <c r="Q128" s="200">
        <f t="shared" si="8"/>
        <v>-6.5359440165176586E-2</v>
      </c>
      <c r="R128" s="332">
        <v>1755100</v>
      </c>
      <c r="S128" s="333">
        <v>49.75</v>
      </c>
      <c r="T128" s="197"/>
      <c r="U128" s="333">
        <v>53.250748580850463</v>
      </c>
      <c r="V128" s="200">
        <f t="shared" si="9"/>
        <v>-5.9190639275582768E-2</v>
      </c>
      <c r="W128" s="332">
        <v>2453256</v>
      </c>
      <c r="X128" s="333">
        <v>41.889999389648438</v>
      </c>
      <c r="Y128" s="197"/>
      <c r="Z128" s="333">
        <v>42.631058734129411</v>
      </c>
      <c r="AA128" s="200">
        <f t="shared" si="10"/>
        <v>-0.10039728068152542</v>
      </c>
      <c r="AB128" s="332">
        <v>0</v>
      </c>
      <c r="AC128" s="333">
        <v>68.5</v>
      </c>
      <c r="AD128" s="197"/>
      <c r="AE128" s="333">
        <v>68.5</v>
      </c>
      <c r="AF128" s="200">
        <f t="shared" si="11"/>
        <v>0</v>
      </c>
    </row>
    <row r="129" spans="2:32" x14ac:dyDescent="0.3">
      <c r="B129" s="331">
        <v>40326.770833333336</v>
      </c>
      <c r="C129" s="332">
        <v>297933500</v>
      </c>
      <c r="D129" s="333">
        <v>109.37000274658203</v>
      </c>
      <c r="E129" s="197"/>
      <c r="F129" s="333">
        <v>115.0590961744831</v>
      </c>
      <c r="G129" s="200">
        <f t="shared" si="6"/>
        <v>2.3829358883329377E-3</v>
      </c>
      <c r="H129" s="332">
        <v>10912491</v>
      </c>
      <c r="I129" s="333">
        <v>8.5591058731079102</v>
      </c>
      <c r="J129" s="197"/>
      <c r="K129" s="333">
        <v>8.8097845580663741</v>
      </c>
      <c r="L129" s="200">
        <f t="shared" si="7"/>
        <v>6.6995040275322992E-2</v>
      </c>
      <c r="M129" s="332">
        <v>941791</v>
      </c>
      <c r="N129" s="333">
        <v>69.952377319335938</v>
      </c>
      <c r="O129" s="197"/>
      <c r="P129" s="333">
        <v>76.759842849977062</v>
      </c>
      <c r="Q129" s="200">
        <f t="shared" si="8"/>
        <v>2.7272679401064925E-2</v>
      </c>
      <c r="R129" s="332">
        <v>1220200</v>
      </c>
      <c r="S129" s="333">
        <v>50.479999542236328</v>
      </c>
      <c r="T129" s="333">
        <v>0.25</v>
      </c>
      <c r="U129" s="333">
        <v>54.299707560407754</v>
      </c>
      <c r="V129" s="200">
        <f t="shared" si="9"/>
        <v>1.969848326103163E-2</v>
      </c>
      <c r="W129" s="332">
        <v>1242928</v>
      </c>
      <c r="X129" s="333">
        <v>43.169998168945313</v>
      </c>
      <c r="Y129" s="197"/>
      <c r="Z129" s="333">
        <v>43.933701463537119</v>
      </c>
      <c r="AA129" s="200">
        <f t="shared" si="10"/>
        <v>3.0556189972472891E-2</v>
      </c>
      <c r="AB129" s="332">
        <v>0</v>
      </c>
      <c r="AC129" s="333">
        <v>68.5</v>
      </c>
      <c r="AD129" s="197"/>
      <c r="AE129" s="333">
        <v>68.5</v>
      </c>
      <c r="AF129" s="200">
        <f t="shared" si="11"/>
        <v>0</v>
      </c>
    </row>
    <row r="130" spans="2:32" x14ac:dyDescent="0.3">
      <c r="B130" s="331">
        <v>40333.770833333336</v>
      </c>
      <c r="C130" s="332">
        <v>398475600</v>
      </c>
      <c r="D130" s="333">
        <v>106.81999969482422</v>
      </c>
      <c r="E130" s="197"/>
      <c r="F130" s="333">
        <v>112.3764497539901</v>
      </c>
      <c r="G130" s="200">
        <f t="shared" si="6"/>
        <v>-2.3315378876476278E-2</v>
      </c>
      <c r="H130" s="332">
        <v>15587338</v>
      </c>
      <c r="I130" s="333">
        <v>7.9584670066833496</v>
      </c>
      <c r="J130" s="197"/>
      <c r="K130" s="333">
        <v>8.1915542091432361</v>
      </c>
      <c r="L130" s="200">
        <f t="shared" si="7"/>
        <v>-7.0175421980901542E-2</v>
      </c>
      <c r="M130" s="332">
        <v>1347545</v>
      </c>
      <c r="N130" s="333">
        <v>69.142860412597656</v>
      </c>
      <c r="O130" s="197"/>
      <c r="P130" s="333">
        <v>75.871547227628653</v>
      </c>
      <c r="Q130" s="200">
        <f t="shared" si="8"/>
        <v>-1.1572400220835943E-2</v>
      </c>
      <c r="R130" s="332">
        <v>1756000</v>
      </c>
      <c r="S130" s="333">
        <v>47.950000762939453</v>
      </c>
      <c r="T130" s="197"/>
      <c r="U130" s="333">
        <v>51.578269464334369</v>
      </c>
      <c r="V130" s="200">
        <f t="shared" si="9"/>
        <v>-5.0118835226613645E-2</v>
      </c>
      <c r="W130" s="332">
        <v>1418765</v>
      </c>
      <c r="X130" s="333">
        <v>43.705001831054688</v>
      </c>
      <c r="Y130" s="197"/>
      <c r="Z130" s="333">
        <v>44.478169662980342</v>
      </c>
      <c r="AA130" s="200">
        <f t="shared" si="10"/>
        <v>1.239295077140512E-2</v>
      </c>
      <c r="AB130" s="332">
        <v>0</v>
      </c>
      <c r="AC130" s="333">
        <v>63.450000762939453</v>
      </c>
      <c r="AD130" s="197"/>
      <c r="AE130" s="333">
        <v>63.45000076293946</v>
      </c>
      <c r="AF130" s="200">
        <f t="shared" si="11"/>
        <v>-7.3722616599423918E-2</v>
      </c>
    </row>
    <row r="131" spans="2:32" x14ac:dyDescent="0.3">
      <c r="B131" s="331">
        <v>40340.770833333336</v>
      </c>
      <c r="C131" s="332">
        <v>214128200</v>
      </c>
      <c r="D131" s="333">
        <v>109.68000030517578</v>
      </c>
      <c r="E131" s="197"/>
      <c r="F131" s="333">
        <v>115.38521885906177</v>
      </c>
      <c r="G131" s="200">
        <f t="shared" si="6"/>
        <v>2.6774018147559753E-2</v>
      </c>
      <c r="H131" s="332">
        <v>7124379</v>
      </c>
      <c r="I131" s="333">
        <v>8.6302347183227539</v>
      </c>
      <c r="J131" s="197"/>
      <c r="K131" s="333">
        <v>8.8829966215104825</v>
      </c>
      <c r="L131" s="200">
        <f t="shared" si="7"/>
        <v>8.4409184718020169E-2</v>
      </c>
      <c r="M131" s="332">
        <v>1063553</v>
      </c>
      <c r="N131" s="333">
        <v>72.142860412597656</v>
      </c>
      <c r="O131" s="197"/>
      <c r="P131" s="333">
        <v>79.163494369020199</v>
      </c>
      <c r="Q131" s="200">
        <f t="shared" si="8"/>
        <v>4.3388427700243204E-2</v>
      </c>
      <c r="R131" s="332">
        <v>1037500</v>
      </c>
      <c r="S131" s="333">
        <v>47.009998321533203</v>
      </c>
      <c r="T131" s="197"/>
      <c r="U131" s="333">
        <v>50.567139152581447</v>
      </c>
      <c r="V131" s="200">
        <f t="shared" si="9"/>
        <v>-1.9603804514071621E-2</v>
      </c>
      <c r="W131" s="332">
        <v>772560</v>
      </c>
      <c r="X131" s="333">
        <v>45.009998321533203</v>
      </c>
      <c r="Y131" s="197"/>
      <c r="Z131" s="333">
        <v>45.806252328151501</v>
      </c>
      <c r="AA131" s="200">
        <f t="shared" si="10"/>
        <v>2.985920228359884E-2</v>
      </c>
      <c r="AB131" s="332">
        <v>0</v>
      </c>
      <c r="AC131" s="333">
        <v>63.450000762939453</v>
      </c>
      <c r="AD131" s="197"/>
      <c r="AE131" s="333">
        <v>63.45000076293946</v>
      </c>
      <c r="AF131" s="200">
        <f t="shared" si="11"/>
        <v>0</v>
      </c>
    </row>
    <row r="132" spans="2:32" x14ac:dyDescent="0.3">
      <c r="B132" s="331">
        <v>40347.770833333336</v>
      </c>
      <c r="C132" s="332">
        <v>174006600</v>
      </c>
      <c r="D132" s="333">
        <v>111.73000335693359</v>
      </c>
      <c r="E132" s="333">
        <v>0.53100000000000003</v>
      </c>
      <c r="F132" s="333">
        <v>118.10047780485273</v>
      </c>
      <c r="G132" s="200">
        <f t="shared" si="6"/>
        <v>2.3532121121229155E-2</v>
      </c>
      <c r="H132" s="332">
        <v>6584847</v>
      </c>
      <c r="I132" s="333">
        <v>8.7645883560180664</v>
      </c>
      <c r="J132" s="197"/>
      <c r="K132" s="333">
        <v>9.0212852021444814</v>
      </c>
      <c r="L132" s="200">
        <f t="shared" si="7"/>
        <v>1.5567784895823111E-2</v>
      </c>
      <c r="M132" s="332">
        <v>2381545</v>
      </c>
      <c r="N132" s="333">
        <v>74.095237731933594</v>
      </c>
      <c r="O132" s="197"/>
      <c r="P132" s="333">
        <v>81.305868680788748</v>
      </c>
      <c r="Q132" s="200">
        <f t="shared" si="8"/>
        <v>2.7062654685023002E-2</v>
      </c>
      <c r="R132" s="332">
        <v>1255700</v>
      </c>
      <c r="S132" s="333">
        <v>47.529998779296875</v>
      </c>
      <c r="T132" s="197"/>
      <c r="U132" s="333">
        <v>51.126486875321035</v>
      </c>
      <c r="V132" s="200">
        <f t="shared" si="9"/>
        <v>1.1061486414167376E-2</v>
      </c>
      <c r="W132" s="332">
        <v>5421835</v>
      </c>
      <c r="X132" s="333">
        <v>45.099998474121094</v>
      </c>
      <c r="Y132" s="197"/>
      <c r="Z132" s="333">
        <v>45.897844637699329</v>
      </c>
      <c r="AA132" s="200">
        <f t="shared" si="10"/>
        <v>1.9995591189532202E-3</v>
      </c>
      <c r="AB132" s="332">
        <v>0</v>
      </c>
      <c r="AC132" s="333">
        <v>63.450000762939453</v>
      </c>
      <c r="AD132" s="197"/>
      <c r="AE132" s="333">
        <v>63.45000076293946</v>
      </c>
      <c r="AF132" s="200">
        <f t="shared" si="11"/>
        <v>0</v>
      </c>
    </row>
    <row r="133" spans="2:32" x14ac:dyDescent="0.3">
      <c r="B133" s="331">
        <v>40354.770833333336</v>
      </c>
      <c r="C133" s="332">
        <v>238726500</v>
      </c>
      <c r="D133" s="333">
        <v>107.87000274658203</v>
      </c>
      <c r="E133" s="197"/>
      <c r="F133" s="333">
        <v>114.02039275416834</v>
      </c>
      <c r="G133" s="200">
        <f t="shared" ref="G133:G196" si="12">(F133/F132)-1</f>
        <v>-3.4547574459658392E-2</v>
      </c>
      <c r="H133" s="332">
        <v>14379718</v>
      </c>
      <c r="I133" s="333">
        <v>8.1876583099365234</v>
      </c>
      <c r="J133" s="197"/>
      <c r="K133" s="333">
        <v>8.4274580563648094</v>
      </c>
      <c r="L133" s="200">
        <f t="shared" ref="L133:L196" si="13">(K133/K132)-1</f>
        <v>-6.5825116097483649E-2</v>
      </c>
      <c r="M133" s="332">
        <v>966895</v>
      </c>
      <c r="N133" s="333">
        <v>71.285713195800781</v>
      </c>
      <c r="O133" s="197"/>
      <c r="P133" s="333">
        <v>78.222933258991461</v>
      </c>
      <c r="Q133" s="200">
        <f t="shared" ref="Q133:Q196" si="14">(P133/P132)-1</f>
        <v>-3.7917747781541555E-2</v>
      </c>
      <c r="R133" s="332">
        <v>1245300</v>
      </c>
      <c r="S133" s="333">
        <v>46.069999694824219</v>
      </c>
      <c r="T133" s="197"/>
      <c r="U133" s="333">
        <v>49.55601294417535</v>
      </c>
      <c r="V133" s="200">
        <f t="shared" ref="V133:V196" si="15">(U133/U132)-1</f>
        <v>-3.071742314263648E-2</v>
      </c>
      <c r="W133" s="332">
        <v>1220130</v>
      </c>
      <c r="X133" s="333">
        <v>41.020000457763672</v>
      </c>
      <c r="Y133" s="197"/>
      <c r="Z133" s="333">
        <v>41.745668996621461</v>
      </c>
      <c r="AA133" s="200">
        <f t="shared" ref="AA133:AA196" si="16">(Z133/Z132)-1</f>
        <v>-9.0465591006584578E-2</v>
      </c>
      <c r="AB133" s="332">
        <v>0</v>
      </c>
      <c r="AC133" s="333">
        <v>63.450000762939453</v>
      </c>
      <c r="AD133" s="197"/>
      <c r="AE133" s="333">
        <v>63.45000076293946</v>
      </c>
      <c r="AF133" s="200">
        <f t="shared" ref="AF133:AF196" si="17">(AE133/AE132)-1</f>
        <v>0</v>
      </c>
    </row>
    <row r="134" spans="2:32" x14ac:dyDescent="0.3">
      <c r="B134" s="331">
        <v>40361.770833333336</v>
      </c>
      <c r="C134" s="332">
        <v>233385200</v>
      </c>
      <c r="D134" s="333">
        <v>102.19999694824219</v>
      </c>
      <c r="E134" s="197"/>
      <c r="F134" s="333">
        <v>108.02710201917198</v>
      </c>
      <c r="G134" s="200">
        <f t="shared" si="12"/>
        <v>-5.2563323018173569E-2</v>
      </c>
      <c r="H134" s="332">
        <v>14529911</v>
      </c>
      <c r="I134" s="333">
        <v>7.3420219421386719</v>
      </c>
      <c r="J134" s="197"/>
      <c r="K134" s="333">
        <v>7.5570547309226264</v>
      </c>
      <c r="L134" s="200">
        <f t="shared" si="13"/>
        <v>-0.10328183416882319</v>
      </c>
      <c r="M134" s="332">
        <v>1431224</v>
      </c>
      <c r="N134" s="333">
        <v>67.428573608398438</v>
      </c>
      <c r="O134" s="197"/>
      <c r="P134" s="333">
        <v>73.990433379425681</v>
      </c>
      <c r="Q134" s="200">
        <f t="shared" si="14"/>
        <v>-5.4108171392042048E-2</v>
      </c>
      <c r="R134" s="332">
        <v>923200</v>
      </c>
      <c r="S134" s="333">
        <v>43.380001068115234</v>
      </c>
      <c r="T134" s="197"/>
      <c r="U134" s="333">
        <v>46.662468172131852</v>
      </c>
      <c r="V134" s="200">
        <f t="shared" si="15"/>
        <v>-5.8389378001476144E-2</v>
      </c>
      <c r="W134" s="332">
        <v>1536585</v>
      </c>
      <c r="X134" s="333">
        <v>37.830001831054688</v>
      </c>
      <c r="Y134" s="197"/>
      <c r="Z134" s="333">
        <v>38.499237370971251</v>
      </c>
      <c r="AA134" s="200">
        <f t="shared" si="16"/>
        <v>-7.7766908608242646E-2</v>
      </c>
      <c r="AB134" s="332">
        <v>0</v>
      </c>
      <c r="AC134" s="333">
        <v>63.450000762939453</v>
      </c>
      <c r="AD134" s="197"/>
      <c r="AE134" s="333">
        <v>63.45000076293946</v>
      </c>
      <c r="AF134" s="200">
        <f t="shared" si="17"/>
        <v>0</v>
      </c>
    </row>
    <row r="135" spans="2:32" x14ac:dyDescent="0.3">
      <c r="B135" s="331">
        <v>40368.770833333336</v>
      </c>
      <c r="C135" s="332">
        <v>144999900</v>
      </c>
      <c r="D135" s="333">
        <v>107.95999908447266</v>
      </c>
      <c r="E135" s="197"/>
      <c r="F135" s="333">
        <v>114.11552038494101</v>
      </c>
      <c r="G135" s="200">
        <f t="shared" si="12"/>
        <v>5.6360100863286133E-2</v>
      </c>
      <c r="H135" s="332">
        <v>13890672</v>
      </c>
      <c r="I135" s="333">
        <v>7.6028261184692383</v>
      </c>
      <c r="J135" s="197"/>
      <c r="K135" s="333">
        <v>7.8254973275418855</v>
      </c>
      <c r="L135" s="200">
        <f t="shared" si="13"/>
        <v>3.5522118891215815E-2</v>
      </c>
      <c r="M135" s="332">
        <v>1370542</v>
      </c>
      <c r="N135" s="333">
        <v>66.23809814453125</v>
      </c>
      <c r="O135" s="197"/>
      <c r="P135" s="333">
        <v>72.684105946034236</v>
      </c>
      <c r="Q135" s="200">
        <f t="shared" si="14"/>
        <v>-1.7655355884895974E-2</v>
      </c>
      <c r="R135" s="332">
        <v>722500</v>
      </c>
      <c r="S135" s="333">
        <v>44.470001220703125</v>
      </c>
      <c r="T135" s="197"/>
      <c r="U135" s="333">
        <v>47.83494618447417</v>
      </c>
      <c r="V135" s="200">
        <f t="shared" si="15"/>
        <v>2.5126789436366703E-2</v>
      </c>
      <c r="W135" s="332">
        <v>1139730</v>
      </c>
      <c r="X135" s="333">
        <v>38.994998931884766</v>
      </c>
      <c r="Y135" s="197"/>
      <c r="Z135" s="333">
        <v>39.684843972886135</v>
      </c>
      <c r="AA135" s="200">
        <f t="shared" si="16"/>
        <v>3.0795586688915577E-2</v>
      </c>
      <c r="AB135" s="332">
        <v>2100</v>
      </c>
      <c r="AC135" s="333">
        <v>65.5</v>
      </c>
      <c r="AD135" s="197"/>
      <c r="AE135" s="333">
        <v>65.5</v>
      </c>
      <c r="AF135" s="200">
        <f t="shared" si="17"/>
        <v>3.2308892236577069E-2</v>
      </c>
    </row>
    <row r="136" spans="2:32" x14ac:dyDescent="0.3">
      <c r="B136" s="331">
        <v>40375.770833333336</v>
      </c>
      <c r="C136" s="332">
        <v>282693400</v>
      </c>
      <c r="D136" s="333">
        <v>106.66000366210938</v>
      </c>
      <c r="E136" s="197"/>
      <c r="F136" s="333">
        <v>112.74140353259692</v>
      </c>
      <c r="G136" s="200">
        <f t="shared" si="12"/>
        <v>-1.2041454551570574E-2</v>
      </c>
      <c r="H136" s="332">
        <v>19543611</v>
      </c>
      <c r="I136" s="333">
        <v>7.2946028709411621</v>
      </c>
      <c r="J136" s="197"/>
      <c r="K136" s="333">
        <v>7.508246852227467</v>
      </c>
      <c r="L136" s="200">
        <f t="shared" si="13"/>
        <v>-4.0540615124594503E-2</v>
      </c>
      <c r="M136" s="332">
        <v>2164518</v>
      </c>
      <c r="N136" s="333">
        <v>64.714286804199219</v>
      </c>
      <c r="O136" s="197"/>
      <c r="P136" s="333">
        <v>71.012003817425551</v>
      </c>
      <c r="Q136" s="200">
        <f t="shared" si="14"/>
        <v>-2.300505876553216E-2</v>
      </c>
      <c r="R136" s="332">
        <v>1492900</v>
      </c>
      <c r="S136" s="333">
        <v>43.240001678466797</v>
      </c>
      <c r="T136" s="197"/>
      <c r="U136" s="333">
        <v>46.511875343576357</v>
      </c>
      <c r="V136" s="200">
        <f t="shared" si="15"/>
        <v>-2.7659084966781933E-2</v>
      </c>
      <c r="W136" s="332">
        <v>1373819</v>
      </c>
      <c r="X136" s="333">
        <v>37.034999847412109</v>
      </c>
      <c r="Y136" s="197"/>
      <c r="Z136" s="333">
        <v>37.690171322935186</v>
      </c>
      <c r="AA136" s="200">
        <f t="shared" si="16"/>
        <v>-5.0262832110761657E-2</v>
      </c>
      <c r="AB136" s="332">
        <v>0</v>
      </c>
      <c r="AC136" s="333">
        <v>67.25</v>
      </c>
      <c r="AD136" s="197"/>
      <c r="AE136" s="333">
        <v>67.25</v>
      </c>
      <c r="AF136" s="200">
        <f t="shared" si="17"/>
        <v>2.6717557251908497E-2</v>
      </c>
    </row>
    <row r="137" spans="2:32" x14ac:dyDescent="0.3">
      <c r="B137" s="331">
        <v>40382.770833333336</v>
      </c>
      <c r="C137" s="332">
        <v>222020800</v>
      </c>
      <c r="D137" s="333">
        <v>110.41000366210938</v>
      </c>
      <c r="E137" s="197"/>
      <c r="F137" s="333">
        <v>116.7052161027387</v>
      </c>
      <c r="G137" s="200">
        <f t="shared" si="12"/>
        <v>3.515844619581765E-2</v>
      </c>
      <c r="H137" s="332">
        <v>15110440</v>
      </c>
      <c r="I137" s="333">
        <v>7.7608890533447266</v>
      </c>
      <c r="J137" s="197"/>
      <c r="K137" s="333">
        <v>7.9881896021220928</v>
      </c>
      <c r="L137" s="200">
        <f t="shared" si="13"/>
        <v>6.3922079193792225E-2</v>
      </c>
      <c r="M137" s="332">
        <v>890997</v>
      </c>
      <c r="N137" s="333">
        <v>67.380950927734375</v>
      </c>
      <c r="O137" s="197"/>
      <c r="P137" s="333">
        <v>73.938176263599871</v>
      </c>
      <c r="Q137" s="200">
        <f t="shared" si="14"/>
        <v>4.1206729691751987E-2</v>
      </c>
      <c r="R137" s="332">
        <v>682200</v>
      </c>
      <c r="S137" s="333">
        <v>46.209999084472656</v>
      </c>
      <c r="T137" s="197"/>
      <c r="U137" s="333">
        <v>49.706605772730867</v>
      </c>
      <c r="V137" s="200">
        <f t="shared" si="15"/>
        <v>6.8686338823268356E-2</v>
      </c>
      <c r="W137" s="332">
        <v>925490</v>
      </c>
      <c r="X137" s="333">
        <v>38.939998626708984</v>
      </c>
      <c r="Y137" s="197"/>
      <c r="Z137" s="333">
        <v>39.628870679152378</v>
      </c>
      <c r="AA137" s="200">
        <f t="shared" si="16"/>
        <v>5.1437796331731178E-2</v>
      </c>
      <c r="AB137" s="332">
        <v>0</v>
      </c>
      <c r="AC137" s="333">
        <v>67.25</v>
      </c>
      <c r="AD137" s="197"/>
      <c r="AE137" s="333">
        <v>67.25</v>
      </c>
      <c r="AF137" s="200">
        <f t="shared" si="17"/>
        <v>0</v>
      </c>
    </row>
    <row r="138" spans="2:32" x14ac:dyDescent="0.3">
      <c r="B138" s="331">
        <v>40389.770833333336</v>
      </c>
      <c r="C138" s="332">
        <v>220070600</v>
      </c>
      <c r="D138" s="333">
        <v>110.26999664306641</v>
      </c>
      <c r="E138" s="197"/>
      <c r="F138" s="333">
        <v>116.55722634754122</v>
      </c>
      <c r="G138" s="200">
        <f t="shared" si="12"/>
        <v>-1.2680646173278687E-3</v>
      </c>
      <c r="H138" s="332">
        <v>15529387</v>
      </c>
      <c r="I138" s="333">
        <v>7.460568904876709</v>
      </c>
      <c r="J138" s="197"/>
      <c r="K138" s="333">
        <v>7.6790736914564102</v>
      </c>
      <c r="L138" s="200">
        <f t="shared" si="13"/>
        <v>-3.8696616638088432E-2</v>
      </c>
      <c r="M138" s="332">
        <v>1587558</v>
      </c>
      <c r="N138" s="333">
        <v>66.285713195800781</v>
      </c>
      <c r="O138" s="197"/>
      <c r="P138" s="333">
        <v>72.736354690005541</v>
      </c>
      <c r="Q138" s="200">
        <f t="shared" si="14"/>
        <v>-1.6254411919894629E-2</v>
      </c>
      <c r="R138" s="332">
        <v>1010300</v>
      </c>
      <c r="S138" s="333">
        <v>45.240001678466797</v>
      </c>
      <c r="T138" s="197"/>
      <c r="U138" s="333">
        <v>48.663210844876261</v>
      </c>
      <c r="V138" s="200">
        <f t="shared" si="15"/>
        <v>-2.0991071742561318E-2</v>
      </c>
      <c r="W138" s="332">
        <v>2121188</v>
      </c>
      <c r="X138" s="333">
        <v>38.645000457763672</v>
      </c>
      <c r="Y138" s="197"/>
      <c r="Z138" s="333">
        <v>39.328653814745451</v>
      </c>
      <c r="AA138" s="200">
        <f t="shared" si="16"/>
        <v>-7.5757108204665968E-3</v>
      </c>
      <c r="AB138" s="332">
        <v>0</v>
      </c>
      <c r="AC138" s="333">
        <v>67.25</v>
      </c>
      <c r="AD138" s="197"/>
      <c r="AE138" s="333">
        <v>67.25</v>
      </c>
      <c r="AF138" s="200">
        <f t="shared" si="17"/>
        <v>0</v>
      </c>
    </row>
    <row r="139" spans="2:32" x14ac:dyDescent="0.3">
      <c r="B139" s="331">
        <v>40396.770833333336</v>
      </c>
      <c r="C139" s="332">
        <v>239728300</v>
      </c>
      <c r="D139" s="333">
        <v>112.38999938964844</v>
      </c>
      <c r="E139" s="197"/>
      <c r="F139" s="333">
        <v>118.79810462371105</v>
      </c>
      <c r="G139" s="200">
        <f t="shared" si="12"/>
        <v>1.9225562810564423E-2</v>
      </c>
      <c r="H139" s="332">
        <v>12699754</v>
      </c>
      <c r="I139" s="333">
        <v>7.4921817779541016</v>
      </c>
      <c r="J139" s="197"/>
      <c r="K139" s="333">
        <v>7.7116124408540969</v>
      </c>
      <c r="L139" s="200">
        <f t="shared" si="13"/>
        <v>4.2373274049822829E-3</v>
      </c>
      <c r="M139" s="332">
        <v>1374998</v>
      </c>
      <c r="N139" s="333">
        <v>66.666664123535156</v>
      </c>
      <c r="O139" s="197"/>
      <c r="P139" s="333">
        <v>73.154378129194086</v>
      </c>
      <c r="Q139" s="200">
        <f t="shared" si="14"/>
        <v>5.7471046077317567E-3</v>
      </c>
      <c r="R139" s="332">
        <v>1508800</v>
      </c>
      <c r="S139" s="333">
        <v>41.619998931884766</v>
      </c>
      <c r="T139" s="197"/>
      <c r="U139" s="333">
        <v>44.769290633113734</v>
      </c>
      <c r="V139" s="200">
        <f t="shared" si="15"/>
        <v>-8.0017741208552318E-2</v>
      </c>
      <c r="W139" s="332">
        <v>1446674</v>
      </c>
      <c r="X139" s="333">
        <v>38.090000152587891</v>
      </c>
      <c r="Y139" s="197"/>
      <c r="Z139" s="333">
        <v>38.763835219564108</v>
      </c>
      <c r="AA139" s="200">
        <f t="shared" si="16"/>
        <v>-1.4361503392459785E-2</v>
      </c>
      <c r="AB139" s="332">
        <v>0</v>
      </c>
      <c r="AC139" s="333">
        <v>68.449996948242188</v>
      </c>
      <c r="AD139" s="197"/>
      <c r="AE139" s="333">
        <v>68.449996948242188</v>
      </c>
      <c r="AF139" s="200">
        <f t="shared" si="17"/>
        <v>1.7843820791705323E-2</v>
      </c>
    </row>
    <row r="140" spans="2:32" x14ac:dyDescent="0.3">
      <c r="B140" s="331">
        <v>40403.770833333336</v>
      </c>
      <c r="C140" s="332">
        <v>158698500</v>
      </c>
      <c r="D140" s="333">
        <v>108.30999755859375</v>
      </c>
      <c r="E140" s="197"/>
      <c r="F140" s="333">
        <v>114.48547461194143</v>
      </c>
      <c r="G140" s="200">
        <f t="shared" si="12"/>
        <v>-3.630217860318341E-2</v>
      </c>
      <c r="H140" s="332">
        <v>11070529</v>
      </c>
      <c r="I140" s="333">
        <v>6.8046078681945801</v>
      </c>
      <c r="J140" s="197"/>
      <c r="K140" s="333">
        <v>7.003900899189377</v>
      </c>
      <c r="L140" s="200">
        <f t="shared" si="13"/>
        <v>-9.177218734637782E-2</v>
      </c>
      <c r="M140" s="332">
        <v>1398229</v>
      </c>
      <c r="N140" s="333">
        <v>62.380950927734375</v>
      </c>
      <c r="O140" s="197"/>
      <c r="P140" s="333">
        <v>68.451597694613952</v>
      </c>
      <c r="Q140" s="200">
        <f t="shared" si="14"/>
        <v>-6.4285700389316469E-2</v>
      </c>
      <c r="R140" s="332">
        <v>1510800</v>
      </c>
      <c r="S140" s="333">
        <v>38.319999694824219</v>
      </c>
      <c r="T140" s="197"/>
      <c r="U140" s="333">
        <v>41.219587876638272</v>
      </c>
      <c r="V140" s="200">
        <f t="shared" si="15"/>
        <v>-7.9288787163625862E-2</v>
      </c>
      <c r="W140" s="332">
        <v>2260313</v>
      </c>
      <c r="X140" s="333">
        <v>34.264999389648438</v>
      </c>
      <c r="Y140" s="197"/>
      <c r="Z140" s="333">
        <v>34.871167887053787</v>
      </c>
      <c r="AA140" s="200">
        <f t="shared" si="16"/>
        <v>-0.10042007738557546</v>
      </c>
      <c r="AB140" s="332">
        <v>0</v>
      </c>
      <c r="AC140" s="333">
        <v>68.449996948242188</v>
      </c>
      <c r="AD140" s="197"/>
      <c r="AE140" s="333">
        <v>68.449996948242188</v>
      </c>
      <c r="AF140" s="200">
        <f t="shared" si="17"/>
        <v>0</v>
      </c>
    </row>
    <row r="141" spans="2:32" x14ac:dyDescent="0.3">
      <c r="B141" s="331">
        <v>40410.770833333336</v>
      </c>
      <c r="C141" s="332">
        <v>209714200</v>
      </c>
      <c r="D141" s="333">
        <v>107.52999877929688</v>
      </c>
      <c r="E141" s="197"/>
      <c r="F141" s="333">
        <v>113.66100288765551</v>
      </c>
      <c r="G141" s="200">
        <f t="shared" si="12"/>
        <v>-7.201539995187467E-3</v>
      </c>
      <c r="H141" s="332">
        <v>6172226</v>
      </c>
      <c r="I141" s="333">
        <v>6.6465449333190918</v>
      </c>
      <c r="J141" s="197"/>
      <c r="K141" s="333">
        <v>6.8412086246091715</v>
      </c>
      <c r="L141" s="200">
        <f t="shared" si="13"/>
        <v>-2.3228808762704722E-2</v>
      </c>
      <c r="M141" s="332">
        <v>3035224</v>
      </c>
      <c r="N141" s="333">
        <v>59.190475463867188</v>
      </c>
      <c r="O141" s="197"/>
      <c r="P141" s="333">
        <v>64.950638833628133</v>
      </c>
      <c r="Q141" s="200">
        <f t="shared" si="14"/>
        <v>-5.1145027711475777E-2</v>
      </c>
      <c r="R141" s="332">
        <v>1653600</v>
      </c>
      <c r="S141" s="333">
        <v>38.900001525878906</v>
      </c>
      <c r="T141" s="197"/>
      <c r="U141" s="333">
        <v>41.843477141621719</v>
      </c>
      <c r="V141" s="200">
        <f t="shared" si="15"/>
        <v>1.5135747277498668E-2</v>
      </c>
      <c r="W141" s="332">
        <v>1252782</v>
      </c>
      <c r="X141" s="333">
        <v>33.529998779296875</v>
      </c>
      <c r="Y141" s="197"/>
      <c r="Z141" s="333">
        <v>34.123164672776795</v>
      </c>
      <c r="AA141" s="200">
        <f t="shared" si="16"/>
        <v>-2.1450477847479665E-2</v>
      </c>
      <c r="AB141" s="332">
        <v>0</v>
      </c>
      <c r="AC141" s="333">
        <v>68.449996948242188</v>
      </c>
      <c r="AD141" s="197"/>
      <c r="AE141" s="333">
        <v>68.449996948242188</v>
      </c>
      <c r="AF141" s="200">
        <f t="shared" si="17"/>
        <v>0</v>
      </c>
    </row>
    <row r="142" spans="2:32" x14ac:dyDescent="0.3">
      <c r="B142" s="331">
        <v>40417.770833333336</v>
      </c>
      <c r="C142" s="332">
        <v>272649000</v>
      </c>
      <c r="D142" s="333">
        <v>106.86000061035156</v>
      </c>
      <c r="E142" s="197"/>
      <c r="F142" s="333">
        <v>112.9528036439122</v>
      </c>
      <c r="G142" s="200">
        <f t="shared" si="12"/>
        <v>-6.2308023486586928E-3</v>
      </c>
      <c r="H142" s="332">
        <v>17245159</v>
      </c>
      <c r="I142" s="333">
        <v>6.2592911720275879</v>
      </c>
      <c r="J142" s="197"/>
      <c r="K142" s="333">
        <v>6.4426129936101342</v>
      </c>
      <c r="L142" s="200">
        <f t="shared" si="13"/>
        <v>-5.8263919852584278E-2</v>
      </c>
      <c r="M142" s="332">
        <v>1602558</v>
      </c>
      <c r="N142" s="333">
        <v>58.523807525634766</v>
      </c>
      <c r="O142" s="197"/>
      <c r="P142" s="333">
        <v>64.21909362912092</v>
      </c>
      <c r="Q142" s="200">
        <f t="shared" si="14"/>
        <v>-1.1263094830846532E-2</v>
      </c>
      <c r="R142" s="332">
        <v>1792100</v>
      </c>
      <c r="S142" s="333">
        <v>38.479999542236328</v>
      </c>
      <c r="T142" s="333">
        <v>0.25</v>
      </c>
      <c r="U142" s="333">
        <v>41.660611490270874</v>
      </c>
      <c r="V142" s="200">
        <f t="shared" si="15"/>
        <v>-4.3702307705434373E-3</v>
      </c>
      <c r="W142" s="332">
        <v>1132374</v>
      </c>
      <c r="X142" s="333">
        <v>31.745000839233398</v>
      </c>
      <c r="Y142" s="197"/>
      <c r="Z142" s="333">
        <v>32.306589042986964</v>
      </c>
      <c r="AA142" s="200">
        <f t="shared" si="16"/>
        <v>-5.3235848644457073E-2</v>
      </c>
      <c r="AB142" s="332">
        <v>200</v>
      </c>
      <c r="AC142" s="333">
        <v>59.400001525878906</v>
      </c>
      <c r="AD142" s="197"/>
      <c r="AE142" s="333">
        <v>59.400001525878899</v>
      </c>
      <c r="AF142" s="200">
        <f t="shared" si="17"/>
        <v>-0.13221323339439084</v>
      </c>
    </row>
    <row r="143" spans="2:32" x14ac:dyDescent="0.3">
      <c r="B143" s="331">
        <v>40424.770833333336</v>
      </c>
      <c r="C143" s="332">
        <v>212197300</v>
      </c>
      <c r="D143" s="333">
        <v>110.88999938964844</v>
      </c>
      <c r="E143" s="197"/>
      <c r="F143" s="333">
        <v>117.21257959565435</v>
      </c>
      <c r="G143" s="200">
        <f t="shared" si="12"/>
        <v>3.7712883738337588E-2</v>
      </c>
      <c r="H143" s="332">
        <v>15735634</v>
      </c>
      <c r="I143" s="333">
        <v>6.6939640045166016</v>
      </c>
      <c r="J143" s="197"/>
      <c r="K143" s="333">
        <v>6.8900165033043308</v>
      </c>
      <c r="L143" s="200">
        <f t="shared" si="13"/>
        <v>6.9444417992813978E-2</v>
      </c>
      <c r="M143" s="332">
        <v>1982228</v>
      </c>
      <c r="N143" s="333">
        <v>60.476188659667969</v>
      </c>
      <c r="O143" s="197"/>
      <c r="P143" s="333">
        <v>66.361472126816722</v>
      </c>
      <c r="Q143" s="200">
        <f t="shared" si="14"/>
        <v>3.3360459897931571E-2</v>
      </c>
      <c r="R143" s="332">
        <v>1757500</v>
      </c>
      <c r="S143" s="333">
        <v>38.549999237060547</v>
      </c>
      <c r="T143" s="197"/>
      <c r="U143" s="333">
        <v>41.736397096435148</v>
      </c>
      <c r="V143" s="200">
        <f t="shared" si="15"/>
        <v>1.8191189100038585E-3</v>
      </c>
      <c r="W143" s="332">
        <v>1260166</v>
      </c>
      <c r="X143" s="333">
        <v>34.520000457763672</v>
      </c>
      <c r="Y143" s="197"/>
      <c r="Z143" s="333">
        <v>35.130680077802886</v>
      </c>
      <c r="AA143" s="200">
        <f t="shared" si="16"/>
        <v>8.7415326670921667E-2</v>
      </c>
      <c r="AB143" s="332">
        <v>0</v>
      </c>
      <c r="AC143" s="333">
        <v>59.400001525878906</v>
      </c>
      <c r="AD143" s="197"/>
      <c r="AE143" s="333">
        <v>59.400001525878899</v>
      </c>
      <c r="AF143" s="200">
        <f t="shared" si="17"/>
        <v>0</v>
      </c>
    </row>
    <row r="144" spans="2:32" x14ac:dyDescent="0.3">
      <c r="B144" s="331">
        <v>40431.770833333336</v>
      </c>
      <c r="C144" s="332">
        <v>127819000</v>
      </c>
      <c r="D144" s="333">
        <v>111.48000335693359</v>
      </c>
      <c r="E144" s="197"/>
      <c r="F144" s="333">
        <v>117.83622363350992</v>
      </c>
      <c r="G144" s="200">
        <f t="shared" si="12"/>
        <v>5.320623776107869E-3</v>
      </c>
      <c r="H144" s="332">
        <v>7742740</v>
      </c>
      <c r="I144" s="333">
        <v>6.7255768775939941</v>
      </c>
      <c r="J144" s="197"/>
      <c r="K144" s="333">
        <v>6.9225552527020175</v>
      </c>
      <c r="L144" s="200">
        <f t="shared" si="13"/>
        <v>4.7225938257304811E-3</v>
      </c>
      <c r="M144" s="332">
        <v>852642</v>
      </c>
      <c r="N144" s="333">
        <v>61.904762268066406</v>
      </c>
      <c r="O144" s="197"/>
      <c r="P144" s="333">
        <v>67.929068395628278</v>
      </c>
      <c r="Q144" s="200">
        <f t="shared" si="14"/>
        <v>2.3622083998014354E-2</v>
      </c>
      <c r="R144" s="332">
        <v>1151500</v>
      </c>
      <c r="S144" s="333">
        <v>38.459999084472656</v>
      </c>
      <c r="T144" s="197"/>
      <c r="U144" s="333">
        <v>41.6389578699374</v>
      </c>
      <c r="V144" s="200">
        <f t="shared" si="15"/>
        <v>-2.3346343545804782E-3</v>
      </c>
      <c r="W144" s="332">
        <v>704652</v>
      </c>
      <c r="X144" s="333">
        <v>34.950000762939453</v>
      </c>
      <c r="Y144" s="197"/>
      <c r="Z144" s="333">
        <v>35.568287347622331</v>
      </c>
      <c r="AA144" s="200">
        <f t="shared" si="16"/>
        <v>1.2456555604682062E-2</v>
      </c>
      <c r="AB144" s="332">
        <v>600</v>
      </c>
      <c r="AC144" s="333">
        <v>63.049999237060547</v>
      </c>
      <c r="AD144" s="197"/>
      <c r="AE144" s="333">
        <v>63.04999923706054</v>
      </c>
      <c r="AF144" s="200">
        <f t="shared" si="17"/>
        <v>6.1447771337033386E-2</v>
      </c>
    </row>
    <row r="145" spans="2:32" x14ac:dyDescent="0.3">
      <c r="B145" s="331">
        <v>40438.770833333336</v>
      </c>
      <c r="C145" s="332">
        <v>195836900</v>
      </c>
      <c r="D145" s="333">
        <v>112.48999786376953</v>
      </c>
      <c r="E145" s="333">
        <v>0.60199999999999998</v>
      </c>
      <c r="F145" s="333">
        <v>119.54012872396214</v>
      </c>
      <c r="G145" s="200">
        <f t="shared" si="12"/>
        <v>1.445994311351706E-2</v>
      </c>
      <c r="H145" s="332">
        <v>9589473</v>
      </c>
      <c r="I145" s="333">
        <v>6.4173541069030762</v>
      </c>
      <c r="J145" s="197"/>
      <c r="K145" s="333">
        <v>6.6053052681903406</v>
      </c>
      <c r="L145" s="200">
        <f t="shared" si="13"/>
        <v>-4.5828451045998864E-2</v>
      </c>
      <c r="M145" s="332">
        <v>3032832</v>
      </c>
      <c r="N145" s="333">
        <v>60.523807525634766</v>
      </c>
      <c r="O145" s="197"/>
      <c r="P145" s="333">
        <v>66.413725056715307</v>
      </c>
      <c r="Q145" s="200">
        <f t="shared" si="14"/>
        <v>-2.2307730323746E-2</v>
      </c>
      <c r="R145" s="332">
        <v>2008700</v>
      </c>
      <c r="S145" s="333">
        <v>36.630001068115234</v>
      </c>
      <c r="T145" s="197"/>
      <c r="U145" s="333">
        <v>39.657699104490902</v>
      </c>
      <c r="V145" s="200">
        <f t="shared" si="15"/>
        <v>-4.758185283203098E-2</v>
      </c>
      <c r="W145" s="332">
        <v>854047</v>
      </c>
      <c r="X145" s="333">
        <v>35.349998474121094</v>
      </c>
      <c r="Y145" s="197"/>
      <c r="Z145" s="333">
        <v>35.975361259471462</v>
      </c>
      <c r="AA145" s="200">
        <f t="shared" si="16"/>
        <v>1.144485557796604E-2</v>
      </c>
      <c r="AB145" s="332">
        <v>0</v>
      </c>
      <c r="AC145" s="333">
        <v>63.849998474121094</v>
      </c>
      <c r="AD145" s="197"/>
      <c r="AE145" s="333">
        <v>63.84999847412108</v>
      </c>
      <c r="AF145" s="200">
        <f t="shared" si="17"/>
        <v>1.2688330638239043E-2</v>
      </c>
    </row>
    <row r="146" spans="2:32" x14ac:dyDescent="0.3">
      <c r="B146" s="331">
        <v>40445.770833333336</v>
      </c>
      <c r="C146" s="332">
        <v>209671800</v>
      </c>
      <c r="D146" s="333">
        <v>114.81999969482422</v>
      </c>
      <c r="E146" s="197"/>
      <c r="F146" s="333">
        <v>122.01615969649941</v>
      </c>
      <c r="G146" s="200">
        <f t="shared" si="12"/>
        <v>2.0712968933259468E-2</v>
      </c>
      <c r="H146" s="332">
        <v>17158232</v>
      </c>
      <c r="I146" s="333">
        <v>6.8757362365722656</v>
      </c>
      <c r="J146" s="197"/>
      <c r="K146" s="333">
        <v>7.0771124718307457</v>
      </c>
      <c r="L146" s="200">
        <f t="shared" si="13"/>
        <v>7.1428523661506205E-2</v>
      </c>
      <c r="M146" s="332">
        <v>1741723</v>
      </c>
      <c r="N146" s="333">
        <v>61.380950927734375</v>
      </c>
      <c r="O146" s="197"/>
      <c r="P146" s="333">
        <v>67.354281980816793</v>
      </c>
      <c r="Q146" s="200">
        <f t="shared" si="14"/>
        <v>1.4162086576205102E-2</v>
      </c>
      <c r="R146" s="332">
        <v>2809600</v>
      </c>
      <c r="S146" s="333">
        <v>36.459999084472656</v>
      </c>
      <c r="T146" s="197"/>
      <c r="U146" s="333">
        <v>39.473645396659251</v>
      </c>
      <c r="V146" s="200">
        <f t="shared" si="15"/>
        <v>-4.641058659169861E-3</v>
      </c>
      <c r="W146" s="332">
        <v>1416514</v>
      </c>
      <c r="X146" s="333">
        <v>36.159999847412109</v>
      </c>
      <c r="Y146" s="197"/>
      <c r="Z146" s="333">
        <v>36.799692045401912</v>
      </c>
      <c r="AA146" s="200">
        <f t="shared" si="16"/>
        <v>2.2913759780895049E-2</v>
      </c>
      <c r="AB146" s="332">
        <v>0</v>
      </c>
      <c r="AC146" s="333">
        <v>63.849998474121094</v>
      </c>
      <c r="AD146" s="197"/>
      <c r="AE146" s="333">
        <v>63.84999847412108</v>
      </c>
      <c r="AF146" s="200">
        <f t="shared" si="17"/>
        <v>0</v>
      </c>
    </row>
    <row r="147" spans="2:32" x14ac:dyDescent="0.3">
      <c r="B147" s="331">
        <v>40452.770833333336</v>
      </c>
      <c r="C147" s="332">
        <v>174638700</v>
      </c>
      <c r="D147" s="333">
        <v>114.61000061035156</v>
      </c>
      <c r="E147" s="197"/>
      <c r="F147" s="333">
        <v>121.79299925498019</v>
      </c>
      <c r="G147" s="200">
        <f t="shared" si="12"/>
        <v>-1.8289416916112966E-3</v>
      </c>
      <c r="H147" s="332">
        <v>8830661</v>
      </c>
      <c r="I147" s="333">
        <v>6.8125109672546387</v>
      </c>
      <c r="J147" s="197"/>
      <c r="K147" s="333">
        <v>7.0120354638381146</v>
      </c>
      <c r="L147" s="200">
        <f t="shared" si="13"/>
        <v>-9.1954180821145481E-3</v>
      </c>
      <c r="M147" s="332">
        <v>2062525</v>
      </c>
      <c r="N147" s="333">
        <v>59.142856597900391</v>
      </c>
      <c r="O147" s="197"/>
      <c r="P147" s="333">
        <v>64.898385903729576</v>
      </c>
      <c r="Q147" s="200">
        <f t="shared" si="14"/>
        <v>-3.6462359999423377E-2</v>
      </c>
      <c r="R147" s="332">
        <v>2140800</v>
      </c>
      <c r="S147" s="333">
        <v>37.5</v>
      </c>
      <c r="T147" s="197"/>
      <c r="U147" s="333">
        <v>40.599608873965281</v>
      </c>
      <c r="V147" s="200">
        <f t="shared" si="15"/>
        <v>2.8524436139392373E-2</v>
      </c>
      <c r="W147" s="332">
        <v>926690</v>
      </c>
      <c r="X147" s="333">
        <v>35.299999237060547</v>
      </c>
      <c r="Y147" s="197"/>
      <c r="Z147" s="333">
        <v>35.924477505763022</v>
      </c>
      <c r="AA147" s="200">
        <f t="shared" si="16"/>
        <v>-2.3783202820259697E-2</v>
      </c>
      <c r="AB147" s="332">
        <v>32600</v>
      </c>
      <c r="AC147" s="333">
        <v>63.599998474121094</v>
      </c>
      <c r="AD147" s="197"/>
      <c r="AE147" s="333">
        <v>63.59999847412108</v>
      </c>
      <c r="AF147" s="200">
        <f t="shared" si="17"/>
        <v>-3.9154268750895005E-3</v>
      </c>
    </row>
    <row r="148" spans="2:32" x14ac:dyDescent="0.3">
      <c r="B148" s="331">
        <v>40459.770833333336</v>
      </c>
      <c r="C148" s="332">
        <v>177760100</v>
      </c>
      <c r="D148" s="333">
        <v>116.54000091552734</v>
      </c>
      <c r="E148" s="197"/>
      <c r="F148" s="333">
        <v>123.84395924519551</v>
      </c>
      <c r="G148" s="200">
        <f t="shared" si="12"/>
        <v>1.6839719875208381E-2</v>
      </c>
      <c r="H148" s="332">
        <v>6332289</v>
      </c>
      <c r="I148" s="333">
        <v>6.6228361129760742</v>
      </c>
      <c r="J148" s="197"/>
      <c r="K148" s="333">
        <v>6.8168054214657063</v>
      </c>
      <c r="L148" s="200">
        <f t="shared" si="13"/>
        <v>-2.7842135622278663E-2</v>
      </c>
      <c r="M148" s="332">
        <v>1843321</v>
      </c>
      <c r="N148" s="333">
        <v>58.904762268066406</v>
      </c>
      <c r="O148" s="197"/>
      <c r="P148" s="333">
        <v>64.637121254236732</v>
      </c>
      <c r="Q148" s="200">
        <f t="shared" si="14"/>
        <v>-4.0257495753500683E-3</v>
      </c>
      <c r="R148" s="332">
        <v>2541300</v>
      </c>
      <c r="S148" s="333">
        <v>36.790000915527344</v>
      </c>
      <c r="T148" s="197"/>
      <c r="U148" s="333">
        <v>39.830923937152924</v>
      </c>
      <c r="V148" s="200">
        <f t="shared" si="15"/>
        <v>-1.8933308919270919E-2</v>
      </c>
      <c r="W148" s="332">
        <v>1170506</v>
      </c>
      <c r="X148" s="333">
        <v>34.959999084472656</v>
      </c>
      <c r="Y148" s="197"/>
      <c r="Z148" s="333">
        <v>35.578462545491405</v>
      </c>
      <c r="AA148" s="200">
        <f t="shared" si="16"/>
        <v>-9.6317325760996164E-3</v>
      </c>
      <c r="AB148" s="332">
        <v>0</v>
      </c>
      <c r="AC148" s="333">
        <v>63.599998474121094</v>
      </c>
      <c r="AD148" s="197"/>
      <c r="AE148" s="333">
        <v>63.59999847412108</v>
      </c>
      <c r="AF148" s="200">
        <f t="shared" si="17"/>
        <v>0</v>
      </c>
    </row>
    <row r="149" spans="2:32" x14ac:dyDescent="0.3">
      <c r="B149" s="331">
        <v>40466.770833333336</v>
      </c>
      <c r="C149" s="332">
        <v>243705000</v>
      </c>
      <c r="D149" s="333">
        <v>117.69999694824219</v>
      </c>
      <c r="E149" s="197"/>
      <c r="F149" s="333">
        <v>125.07665617561905</v>
      </c>
      <c r="G149" s="200">
        <f t="shared" si="12"/>
        <v>9.9536298575770843E-3</v>
      </c>
      <c r="H149" s="332">
        <v>18896907</v>
      </c>
      <c r="I149" s="333">
        <v>6.2513880729675293</v>
      </c>
      <c r="J149" s="197"/>
      <c r="K149" s="333">
        <v>6.4344784289613983</v>
      </c>
      <c r="L149" s="200">
        <f t="shared" si="13"/>
        <v>-5.6085947722724128E-2</v>
      </c>
      <c r="M149" s="332">
        <v>2072727</v>
      </c>
      <c r="N149" s="333">
        <v>59</v>
      </c>
      <c r="O149" s="197"/>
      <c r="P149" s="333">
        <v>64.741627114033875</v>
      </c>
      <c r="Q149" s="200">
        <f t="shared" si="14"/>
        <v>1.6168086970658191E-3</v>
      </c>
      <c r="R149" s="332">
        <v>1278100</v>
      </c>
      <c r="S149" s="333">
        <v>36.529998779296875</v>
      </c>
      <c r="T149" s="197"/>
      <c r="U149" s="333">
        <v>39.549431002823525</v>
      </c>
      <c r="V149" s="200">
        <f t="shared" si="15"/>
        <v>-7.0671956988381801E-3</v>
      </c>
      <c r="W149" s="332">
        <v>1626857</v>
      </c>
      <c r="X149" s="333">
        <v>35.25</v>
      </c>
      <c r="Y149" s="197"/>
      <c r="Z149" s="333">
        <v>35.873593752054575</v>
      </c>
      <c r="AA149" s="200">
        <f t="shared" si="16"/>
        <v>8.2952209130962018E-3</v>
      </c>
      <c r="AB149" s="332">
        <v>0</v>
      </c>
      <c r="AC149" s="333">
        <v>65.199996948242188</v>
      </c>
      <c r="AD149" s="197"/>
      <c r="AE149" s="333">
        <v>65.199996948242173</v>
      </c>
      <c r="AF149" s="200">
        <f t="shared" si="17"/>
        <v>2.5157209316162721E-2</v>
      </c>
    </row>
    <row r="150" spans="2:32" x14ac:dyDescent="0.3">
      <c r="B150" s="331">
        <v>40473.770833333336</v>
      </c>
      <c r="C150" s="332">
        <v>108212400</v>
      </c>
      <c r="D150" s="333">
        <v>118.34999847412109</v>
      </c>
      <c r="E150" s="197"/>
      <c r="F150" s="333">
        <v>125.76739550844786</v>
      </c>
      <c r="G150" s="200">
        <f t="shared" si="12"/>
        <v>5.5225279756356827E-3</v>
      </c>
      <c r="H150" s="332">
        <v>6383788</v>
      </c>
      <c r="I150" s="333">
        <v>6.4726758003234863</v>
      </c>
      <c r="J150" s="197"/>
      <c r="K150" s="333">
        <v>6.6622472207314924</v>
      </c>
      <c r="L150" s="200">
        <f t="shared" si="13"/>
        <v>3.5398174737040655E-2</v>
      </c>
      <c r="M150" s="332">
        <v>1401213</v>
      </c>
      <c r="N150" s="333">
        <v>57.571426391601563</v>
      </c>
      <c r="O150" s="197"/>
      <c r="P150" s="333">
        <v>63.174030845222319</v>
      </c>
      <c r="Q150" s="200">
        <f t="shared" si="14"/>
        <v>-2.4213112006753246E-2</v>
      </c>
      <c r="R150" s="332">
        <v>881000</v>
      </c>
      <c r="S150" s="333">
        <v>36.700000762939453</v>
      </c>
      <c r="T150" s="197"/>
      <c r="U150" s="333">
        <v>39.733484710655176</v>
      </c>
      <c r="V150" s="200">
        <f t="shared" si="15"/>
        <v>4.6537637372965346E-3</v>
      </c>
      <c r="W150" s="332">
        <v>673839</v>
      </c>
      <c r="X150" s="333">
        <v>36.619998931884766</v>
      </c>
      <c r="Y150" s="197"/>
      <c r="Z150" s="333">
        <v>37.267828791010118</v>
      </c>
      <c r="AA150" s="200">
        <f t="shared" si="16"/>
        <v>3.8865217925809104E-2</v>
      </c>
      <c r="AB150" s="332">
        <v>1100</v>
      </c>
      <c r="AC150" s="333">
        <v>61.400001525878906</v>
      </c>
      <c r="AD150" s="197"/>
      <c r="AE150" s="333">
        <v>61.400001525878892</v>
      </c>
      <c r="AF150" s="200">
        <f t="shared" si="17"/>
        <v>-5.8282141107764751E-2</v>
      </c>
    </row>
    <row r="151" spans="2:32" x14ac:dyDescent="0.3">
      <c r="B151" s="331">
        <v>40480.770833333336</v>
      </c>
      <c r="C151" s="332">
        <v>144305500</v>
      </c>
      <c r="D151" s="333">
        <v>118.48999786376953</v>
      </c>
      <c r="E151" s="197"/>
      <c r="F151" s="333">
        <v>125.91616913612734</v>
      </c>
      <c r="G151" s="200">
        <f t="shared" si="12"/>
        <v>1.1829268394882853E-3</v>
      </c>
      <c r="H151" s="332">
        <v>6653933</v>
      </c>
      <c r="I151" s="333">
        <v>6.9310579299926758</v>
      </c>
      <c r="J151" s="197"/>
      <c r="K151" s="333">
        <v>7.1340544243718966</v>
      </c>
      <c r="L151" s="200">
        <f t="shared" si="13"/>
        <v>7.0818027012303109E-2</v>
      </c>
      <c r="M151" s="332">
        <v>1333343</v>
      </c>
      <c r="N151" s="333">
        <v>58.428569793701172</v>
      </c>
      <c r="O151" s="197"/>
      <c r="P151" s="333">
        <v>64.114587769323805</v>
      </c>
      <c r="Q151" s="200">
        <f t="shared" si="14"/>
        <v>1.488834749845025E-2</v>
      </c>
      <c r="R151" s="332">
        <v>987100</v>
      </c>
      <c r="S151" s="333">
        <v>36.509998321533203</v>
      </c>
      <c r="T151" s="197"/>
      <c r="U151" s="333">
        <v>39.527777382490051</v>
      </c>
      <c r="V151" s="200">
        <f t="shared" si="15"/>
        <v>-5.1771781323263211E-3</v>
      </c>
      <c r="W151" s="332">
        <v>902050</v>
      </c>
      <c r="X151" s="333">
        <v>37.584999084472656</v>
      </c>
      <c r="Y151" s="197"/>
      <c r="Z151" s="333">
        <v>38.249900378091212</v>
      </c>
      <c r="AA151" s="200">
        <f t="shared" si="16"/>
        <v>2.6351725306787754E-2</v>
      </c>
      <c r="AB151" s="332">
        <v>0</v>
      </c>
      <c r="AC151" s="333">
        <v>61.400001525878906</v>
      </c>
      <c r="AD151" s="197"/>
      <c r="AE151" s="333">
        <v>61.400001525878892</v>
      </c>
      <c r="AF151" s="200">
        <f t="shared" si="17"/>
        <v>0</v>
      </c>
    </row>
    <row r="152" spans="2:32" x14ac:dyDescent="0.3">
      <c r="B152" s="331">
        <v>40487.770833333336</v>
      </c>
      <c r="C152" s="332">
        <v>180654100</v>
      </c>
      <c r="D152" s="333">
        <v>122.72000122070313</v>
      </c>
      <c r="E152" s="197"/>
      <c r="F152" s="333">
        <v>130.41128119402785</v>
      </c>
      <c r="G152" s="200">
        <f t="shared" si="12"/>
        <v>3.5699244098197358E-2</v>
      </c>
      <c r="H152" s="332">
        <v>12736828</v>
      </c>
      <c r="I152" s="333">
        <v>7.6344380378723145</v>
      </c>
      <c r="J152" s="197"/>
      <c r="K152" s="333">
        <v>7.8580350953340892</v>
      </c>
      <c r="L152" s="200">
        <f t="shared" si="13"/>
        <v>0.10148235882373924</v>
      </c>
      <c r="M152" s="332">
        <v>2133067</v>
      </c>
      <c r="N152" s="333">
        <v>62.857143402099609</v>
      </c>
      <c r="O152" s="197"/>
      <c r="P152" s="333">
        <v>68.974131179526921</v>
      </c>
      <c r="Q152" s="200">
        <f t="shared" si="14"/>
        <v>7.5794660455232643E-2</v>
      </c>
      <c r="R152" s="332">
        <v>3053100</v>
      </c>
      <c r="S152" s="333">
        <v>42.389999389648438</v>
      </c>
      <c r="T152" s="333">
        <v>0.25</v>
      </c>
      <c r="U152" s="333">
        <v>46.164461269489195</v>
      </c>
      <c r="V152" s="200">
        <f t="shared" si="15"/>
        <v>0.16789924267128287</v>
      </c>
      <c r="W152" s="332">
        <v>2374183</v>
      </c>
      <c r="X152" s="333">
        <v>41.860000610351563</v>
      </c>
      <c r="Y152" s="197"/>
      <c r="Z152" s="333">
        <v>42.600529258340671</v>
      </c>
      <c r="AA152" s="200">
        <f t="shared" si="16"/>
        <v>0.11374222775077913</v>
      </c>
      <c r="AB152" s="332">
        <v>0</v>
      </c>
      <c r="AC152" s="333">
        <v>64.400001525878906</v>
      </c>
      <c r="AD152" s="197"/>
      <c r="AE152" s="333">
        <v>64.400001525878892</v>
      </c>
      <c r="AF152" s="200">
        <f t="shared" si="17"/>
        <v>4.8859933639180175E-2</v>
      </c>
    </row>
    <row r="153" spans="2:32" x14ac:dyDescent="0.3">
      <c r="B153" s="331">
        <v>40494.8125</v>
      </c>
      <c r="C153" s="332">
        <v>239068800</v>
      </c>
      <c r="D153" s="333">
        <v>120.19999694824219</v>
      </c>
      <c r="E153" s="197"/>
      <c r="F153" s="333">
        <v>127.73333968068785</v>
      </c>
      <c r="G153" s="200">
        <f t="shared" si="12"/>
        <v>-2.0534584806016332E-2</v>
      </c>
      <c r="H153" s="332">
        <v>13256874</v>
      </c>
      <c r="I153" s="333">
        <v>7.3262162208557129</v>
      </c>
      <c r="J153" s="197"/>
      <c r="K153" s="333">
        <v>7.5407860924278971</v>
      </c>
      <c r="L153" s="200">
        <f t="shared" si="13"/>
        <v>-4.0372561213752656E-2</v>
      </c>
      <c r="M153" s="332">
        <v>2335924</v>
      </c>
      <c r="N153" s="333">
        <v>61.904762268066406</v>
      </c>
      <c r="O153" s="197"/>
      <c r="P153" s="333">
        <v>67.929068395628306</v>
      </c>
      <c r="Q153" s="200">
        <f t="shared" si="14"/>
        <v>-1.5151517910077184E-2</v>
      </c>
      <c r="R153" s="332">
        <v>1271500</v>
      </c>
      <c r="S153" s="333">
        <v>40.659999847412109</v>
      </c>
      <c r="T153" s="197"/>
      <c r="U153" s="333">
        <v>44.280420268929383</v>
      </c>
      <c r="V153" s="200">
        <f t="shared" si="15"/>
        <v>-4.0811501937855432E-2</v>
      </c>
      <c r="W153" s="332">
        <v>1164991</v>
      </c>
      <c r="X153" s="333">
        <v>41.099998474121094</v>
      </c>
      <c r="Y153" s="197"/>
      <c r="Z153" s="333">
        <v>41.827082226118677</v>
      </c>
      <c r="AA153" s="200">
        <f t="shared" si="16"/>
        <v>-1.8155808054205358E-2</v>
      </c>
      <c r="AB153" s="332">
        <v>0</v>
      </c>
      <c r="AC153" s="333">
        <v>68.300003051757813</v>
      </c>
      <c r="AD153" s="197"/>
      <c r="AE153" s="333">
        <v>68.300003051757798</v>
      </c>
      <c r="AF153" s="200">
        <f t="shared" si="17"/>
        <v>6.0559028470080101E-2</v>
      </c>
    </row>
    <row r="154" spans="2:32" x14ac:dyDescent="0.3">
      <c r="B154" s="331">
        <v>40501.8125</v>
      </c>
      <c r="C154" s="332">
        <v>156852900</v>
      </c>
      <c r="D154" s="333">
        <v>120.29000091552734</v>
      </c>
      <c r="E154" s="197"/>
      <c r="F154" s="333">
        <v>127.82898450279875</v>
      </c>
      <c r="G154" s="200">
        <f t="shared" si="12"/>
        <v>7.4878510457798697E-4</v>
      </c>
      <c r="H154" s="332">
        <v>4420645</v>
      </c>
      <c r="I154" s="333">
        <v>7.3420219421386719</v>
      </c>
      <c r="J154" s="197"/>
      <c r="K154" s="333">
        <v>7.5570547309226273</v>
      </c>
      <c r="L154" s="200">
        <f t="shared" si="13"/>
        <v>2.1574194381492884E-3</v>
      </c>
      <c r="M154" s="332">
        <v>1183732</v>
      </c>
      <c r="N154" s="333">
        <v>63.571426391601563</v>
      </c>
      <c r="O154" s="197"/>
      <c r="P154" s="333">
        <v>69.757925128005439</v>
      </c>
      <c r="Q154" s="200">
        <f t="shared" si="14"/>
        <v>2.6923035683716678E-2</v>
      </c>
      <c r="R154" s="332">
        <v>841200</v>
      </c>
      <c r="S154" s="333">
        <v>39.549999237060547</v>
      </c>
      <c r="T154" s="197"/>
      <c r="U154" s="333">
        <v>43.071583729096886</v>
      </c>
      <c r="V154" s="200">
        <f t="shared" si="15"/>
        <v>-2.729957241803127E-2</v>
      </c>
      <c r="W154" s="332">
        <v>1369392</v>
      </c>
      <c r="X154" s="333">
        <v>43.099998474121094</v>
      </c>
      <c r="Y154" s="197"/>
      <c r="Z154" s="333">
        <v>43.862463431909006</v>
      </c>
      <c r="AA154" s="200">
        <f t="shared" si="16"/>
        <v>4.8661802293236356E-2</v>
      </c>
      <c r="AB154" s="332">
        <v>0</v>
      </c>
      <c r="AC154" s="333">
        <v>68.300003051757813</v>
      </c>
      <c r="AD154" s="197"/>
      <c r="AE154" s="333">
        <v>68.300003051757798</v>
      </c>
      <c r="AF154" s="200">
        <f t="shared" si="17"/>
        <v>0</v>
      </c>
    </row>
    <row r="155" spans="2:32" x14ac:dyDescent="0.3">
      <c r="B155" s="331">
        <v>40508.8125</v>
      </c>
      <c r="C155" s="332">
        <v>76007800</v>
      </c>
      <c r="D155" s="333">
        <v>118.80000305175781</v>
      </c>
      <c r="E155" s="197"/>
      <c r="F155" s="333">
        <v>126.24560340389301</v>
      </c>
      <c r="G155" s="200">
        <f t="shared" si="12"/>
        <v>-1.2386714210899985E-2</v>
      </c>
      <c r="H155" s="332">
        <v>5630037</v>
      </c>
      <c r="I155" s="333">
        <v>7.1681528091430664</v>
      </c>
      <c r="J155" s="197"/>
      <c r="K155" s="333">
        <v>7.3780933270449482</v>
      </c>
      <c r="L155" s="200">
        <f t="shared" si="13"/>
        <v>-2.368136929661091E-2</v>
      </c>
      <c r="M155" s="332">
        <v>941102</v>
      </c>
      <c r="N155" s="333">
        <v>62.952381134033203</v>
      </c>
      <c r="O155" s="197"/>
      <c r="P155" s="333">
        <v>69.078637039324036</v>
      </c>
      <c r="Q155" s="200">
        <f t="shared" si="14"/>
        <v>-9.7377909023944609E-3</v>
      </c>
      <c r="R155" s="332">
        <v>513200</v>
      </c>
      <c r="S155" s="333">
        <v>38.759998321533203</v>
      </c>
      <c r="T155" s="197"/>
      <c r="U155" s="333">
        <v>42.211240082179337</v>
      </c>
      <c r="V155" s="200">
        <f t="shared" si="15"/>
        <v>-1.9974739083864823E-2</v>
      </c>
      <c r="W155" s="332">
        <v>834716</v>
      </c>
      <c r="X155" s="333">
        <v>42.575000762939453</v>
      </c>
      <c r="Y155" s="197"/>
      <c r="Z155" s="333">
        <v>43.328178194697976</v>
      </c>
      <c r="AA155" s="200">
        <f t="shared" si="16"/>
        <v>-1.2180921804367917E-2</v>
      </c>
      <c r="AB155" s="332">
        <v>0</v>
      </c>
      <c r="AC155" s="333">
        <v>68.300003051757813</v>
      </c>
      <c r="AD155" s="197"/>
      <c r="AE155" s="333">
        <v>68.300003051757798</v>
      </c>
      <c r="AF155" s="200">
        <f t="shared" si="17"/>
        <v>0</v>
      </c>
    </row>
    <row r="156" spans="2:32" x14ac:dyDescent="0.3">
      <c r="B156" s="331">
        <v>40515.8125</v>
      </c>
      <c r="C156" s="332">
        <v>151288900</v>
      </c>
      <c r="D156" s="333">
        <v>122.88999938964844</v>
      </c>
      <c r="E156" s="197"/>
      <c r="F156" s="333">
        <v>130.5919337265594</v>
      </c>
      <c r="G156" s="200">
        <f t="shared" si="12"/>
        <v>3.4427577717390578E-2</v>
      </c>
      <c r="H156" s="332">
        <v>8498642</v>
      </c>
      <c r="I156" s="333">
        <v>7.6818571090698242</v>
      </c>
      <c r="J156" s="197"/>
      <c r="K156" s="333">
        <v>7.9068429740292476</v>
      </c>
      <c r="L156" s="200">
        <f t="shared" si="13"/>
        <v>7.1664808717738504E-2</v>
      </c>
      <c r="M156" s="332">
        <v>1508148</v>
      </c>
      <c r="N156" s="333">
        <v>64.857139587402344</v>
      </c>
      <c r="O156" s="197"/>
      <c r="P156" s="333">
        <v>71.168758421194013</v>
      </c>
      <c r="Q156" s="200">
        <f t="shared" si="14"/>
        <v>3.0257131168933471E-2</v>
      </c>
      <c r="R156" s="332">
        <v>1909700</v>
      </c>
      <c r="S156" s="333">
        <v>42</v>
      </c>
      <c r="T156" s="197"/>
      <c r="U156" s="333">
        <v>45.739735815896807</v>
      </c>
      <c r="V156" s="200">
        <f t="shared" si="15"/>
        <v>8.3591378193295984E-2</v>
      </c>
      <c r="W156" s="332">
        <v>1239952</v>
      </c>
      <c r="X156" s="333">
        <v>44.330001831054688</v>
      </c>
      <c r="Y156" s="197"/>
      <c r="Z156" s="333">
        <v>45.114226289789833</v>
      </c>
      <c r="AA156" s="200">
        <f t="shared" si="16"/>
        <v>4.1221398394968967E-2</v>
      </c>
      <c r="AB156" s="332">
        <v>200</v>
      </c>
      <c r="AC156" s="333">
        <v>69.550003051757813</v>
      </c>
      <c r="AD156" s="197"/>
      <c r="AE156" s="333">
        <v>69.550003051757798</v>
      </c>
      <c r="AF156" s="200">
        <f t="shared" si="17"/>
        <v>1.8301609723981205E-2</v>
      </c>
    </row>
    <row r="157" spans="2:32" x14ac:dyDescent="0.3">
      <c r="B157" s="331">
        <v>40522.8125</v>
      </c>
      <c r="C157" s="332">
        <v>117571700</v>
      </c>
      <c r="D157" s="333">
        <v>124.48000335693359</v>
      </c>
      <c r="E157" s="197"/>
      <c r="F157" s="333">
        <v>132.28158865171162</v>
      </c>
      <c r="G157" s="200">
        <f t="shared" si="12"/>
        <v>1.2938432542779488E-2</v>
      </c>
      <c r="H157" s="332">
        <v>6392139</v>
      </c>
      <c r="I157" s="333">
        <v>7.7371788024902344</v>
      </c>
      <c r="J157" s="197"/>
      <c r="K157" s="333">
        <v>7.9637849265704004</v>
      </c>
      <c r="L157" s="200">
        <f t="shared" si="13"/>
        <v>7.2016040698144046E-3</v>
      </c>
      <c r="M157" s="332">
        <v>1724940</v>
      </c>
      <c r="N157" s="333">
        <v>66.571426391601563</v>
      </c>
      <c r="O157" s="197"/>
      <c r="P157" s="333">
        <v>73.049872269396971</v>
      </c>
      <c r="Q157" s="200">
        <f t="shared" si="14"/>
        <v>2.6431736199050482E-2</v>
      </c>
      <c r="R157" s="332">
        <v>968400</v>
      </c>
      <c r="S157" s="333">
        <v>43.279998779296875</v>
      </c>
      <c r="T157" s="197"/>
      <c r="U157" s="333">
        <v>47.133707387556555</v>
      </c>
      <c r="V157" s="200">
        <f t="shared" si="15"/>
        <v>3.0476161411830294E-2</v>
      </c>
      <c r="W157" s="332">
        <v>1878697</v>
      </c>
      <c r="X157" s="333">
        <v>45.904998779296875</v>
      </c>
      <c r="Y157" s="197"/>
      <c r="Z157" s="333">
        <v>46.717085883604469</v>
      </c>
      <c r="AA157" s="200">
        <f t="shared" si="16"/>
        <v>3.5528916832546775E-2</v>
      </c>
      <c r="AB157" s="332">
        <v>0</v>
      </c>
      <c r="AC157" s="333">
        <v>69.550003051757813</v>
      </c>
      <c r="AD157" s="197"/>
      <c r="AE157" s="333">
        <v>69.550003051757798</v>
      </c>
      <c r="AF157" s="200">
        <f t="shared" si="17"/>
        <v>0</v>
      </c>
    </row>
    <row r="158" spans="2:32" x14ac:dyDescent="0.3">
      <c r="B158" s="331">
        <v>40529.8125</v>
      </c>
      <c r="C158" s="332">
        <v>141075300</v>
      </c>
      <c r="D158" s="333">
        <v>124.30000305175781</v>
      </c>
      <c r="E158" s="333">
        <v>0.65300000000000002</v>
      </c>
      <c r="F158" s="333">
        <v>132.78423284656847</v>
      </c>
      <c r="G158" s="200">
        <f t="shared" si="12"/>
        <v>3.7998046438667554E-3</v>
      </c>
      <c r="H158" s="332">
        <v>4885397</v>
      </c>
      <c r="I158" s="333">
        <v>7.9742741584777832</v>
      </c>
      <c r="J158" s="197"/>
      <c r="K158" s="333">
        <v>8.2078243200461944</v>
      </c>
      <c r="L158" s="200">
        <f t="shared" si="13"/>
        <v>3.064364441354761E-2</v>
      </c>
      <c r="M158" s="332">
        <v>2446239</v>
      </c>
      <c r="N158" s="333">
        <v>67.476188659667969</v>
      </c>
      <c r="O158" s="197"/>
      <c r="P158" s="333">
        <v>74.042682123397014</v>
      </c>
      <c r="Q158" s="200">
        <f t="shared" si="14"/>
        <v>1.3590849965332108E-2</v>
      </c>
      <c r="R158" s="332">
        <v>2131100</v>
      </c>
      <c r="S158" s="333">
        <v>46.060001373291016</v>
      </c>
      <c r="T158" s="197"/>
      <c r="U158" s="333">
        <v>50.161245107004163</v>
      </c>
      <c r="V158" s="200">
        <f t="shared" si="15"/>
        <v>6.4232963780118224E-2</v>
      </c>
      <c r="W158" s="332">
        <v>1221437</v>
      </c>
      <c r="X158" s="333">
        <v>48.229999542236328</v>
      </c>
      <c r="Y158" s="197"/>
      <c r="Z158" s="333">
        <v>49.083217311772053</v>
      </c>
      <c r="AA158" s="200">
        <f t="shared" si="16"/>
        <v>5.0648095518260661E-2</v>
      </c>
      <c r="AB158" s="332">
        <v>0</v>
      </c>
      <c r="AC158" s="333">
        <v>71.550003051757813</v>
      </c>
      <c r="AD158" s="197"/>
      <c r="AE158" s="333">
        <v>71.550003051757798</v>
      </c>
      <c r="AF158" s="200">
        <f t="shared" si="17"/>
        <v>2.8756289176747218E-2</v>
      </c>
    </row>
    <row r="159" spans="2:32" x14ac:dyDescent="0.3">
      <c r="B159" s="331">
        <v>40535.8125</v>
      </c>
      <c r="C159" s="332">
        <v>70053700</v>
      </c>
      <c r="D159" s="333">
        <v>125.59999847412109</v>
      </c>
      <c r="E159" s="197"/>
      <c r="F159" s="333">
        <v>134.17296084837454</v>
      </c>
      <c r="G159" s="200">
        <f t="shared" si="12"/>
        <v>1.0458530896591878E-2</v>
      </c>
      <c r="H159" s="332">
        <v>4881095</v>
      </c>
      <c r="I159" s="333">
        <v>8.4010429382324219</v>
      </c>
      <c r="J159" s="197"/>
      <c r="K159" s="333">
        <v>8.6470922834861703</v>
      </c>
      <c r="L159" s="200">
        <f t="shared" si="13"/>
        <v>5.3518197552929969E-2</v>
      </c>
      <c r="M159" s="332">
        <v>584148</v>
      </c>
      <c r="N159" s="333">
        <v>67.952377319335938</v>
      </c>
      <c r="O159" s="197"/>
      <c r="P159" s="333">
        <v>74.565211422382689</v>
      </c>
      <c r="Q159" s="200">
        <f t="shared" si="14"/>
        <v>7.0571362895099909E-3</v>
      </c>
      <c r="R159" s="332">
        <v>1034500</v>
      </c>
      <c r="S159" s="333">
        <v>44.819999694824219</v>
      </c>
      <c r="T159" s="197"/>
      <c r="U159" s="333">
        <v>48.810832031186543</v>
      </c>
      <c r="V159" s="200">
        <f t="shared" si="15"/>
        <v>-2.6921442498823778E-2</v>
      </c>
      <c r="W159" s="332">
        <v>500239</v>
      </c>
      <c r="X159" s="333">
        <v>46.744998931884766</v>
      </c>
      <c r="Y159" s="197"/>
      <c r="Z159" s="333">
        <v>47.571946145323679</v>
      </c>
      <c r="AA159" s="200">
        <f t="shared" si="16"/>
        <v>-3.0789977699483662E-2</v>
      </c>
      <c r="AB159" s="332">
        <v>200</v>
      </c>
      <c r="AC159" s="333">
        <v>73.699996948242188</v>
      </c>
      <c r="AD159" s="197"/>
      <c r="AE159" s="333">
        <v>73.699996948242173</v>
      </c>
      <c r="AF159" s="200">
        <f t="shared" si="17"/>
        <v>3.0048830255522407E-2</v>
      </c>
    </row>
    <row r="160" spans="2:32" x14ac:dyDescent="0.3">
      <c r="B160" s="331">
        <v>40543.8125</v>
      </c>
      <c r="C160" s="332">
        <v>91218900</v>
      </c>
      <c r="D160" s="333">
        <v>125.75</v>
      </c>
      <c r="E160" s="197"/>
      <c r="F160" s="333">
        <v>134.33320088900714</v>
      </c>
      <c r="G160" s="200">
        <f t="shared" si="12"/>
        <v>1.1942796791499788E-3</v>
      </c>
      <c r="H160" s="332">
        <v>2603520</v>
      </c>
      <c r="I160" s="333">
        <v>8.464268684387207</v>
      </c>
      <c r="J160" s="197"/>
      <c r="K160" s="333">
        <v>8.712169782281542</v>
      </c>
      <c r="L160" s="200">
        <f t="shared" si="13"/>
        <v>7.5259401266773995E-3</v>
      </c>
      <c r="M160" s="332">
        <v>525485</v>
      </c>
      <c r="N160" s="333">
        <v>67.285713195800781</v>
      </c>
      <c r="O160" s="197"/>
      <c r="P160" s="333">
        <v>73.833670403802728</v>
      </c>
      <c r="Q160" s="200">
        <f t="shared" si="14"/>
        <v>-9.8107549703851937E-3</v>
      </c>
      <c r="R160" s="332">
        <v>866900</v>
      </c>
      <c r="S160" s="333">
        <v>44.360000610351563</v>
      </c>
      <c r="T160" s="197"/>
      <c r="U160" s="333">
        <v>48.309874016916694</v>
      </c>
      <c r="V160" s="200">
        <f t="shared" si="15"/>
        <v>-1.0263254966638824E-2</v>
      </c>
      <c r="W160" s="332">
        <v>307716</v>
      </c>
      <c r="X160" s="333">
        <v>46.900001525878906</v>
      </c>
      <c r="Y160" s="197"/>
      <c r="Z160" s="333">
        <v>47.729690828655883</v>
      </c>
      <c r="AA160" s="200">
        <f t="shared" si="16"/>
        <v>3.3159182273165833E-3</v>
      </c>
      <c r="AB160" s="332">
        <v>0</v>
      </c>
      <c r="AC160" s="333">
        <v>73.699996948242188</v>
      </c>
      <c r="AD160" s="197"/>
      <c r="AE160" s="333">
        <v>73.699996948242173</v>
      </c>
      <c r="AF160" s="200">
        <f t="shared" si="17"/>
        <v>0</v>
      </c>
    </row>
    <row r="161" spans="2:32" x14ac:dyDescent="0.3">
      <c r="B161" s="331">
        <v>40550.8125</v>
      </c>
      <c r="C161" s="332">
        <v>156034600</v>
      </c>
      <c r="D161" s="333">
        <v>127.13999938964844</v>
      </c>
      <c r="E161" s="197"/>
      <c r="F161" s="333">
        <v>135.8180761752516</v>
      </c>
      <c r="G161" s="200">
        <f t="shared" si="12"/>
        <v>1.1053673078715187E-2</v>
      </c>
      <c r="H161" s="332">
        <v>16441049</v>
      </c>
      <c r="I161" s="333">
        <v>8.5037841796875</v>
      </c>
      <c r="J161" s="197"/>
      <c r="K161" s="333">
        <v>8.752842605525224</v>
      </c>
      <c r="L161" s="200">
        <f t="shared" si="13"/>
        <v>4.6685067279566006E-3</v>
      </c>
      <c r="M161" s="332">
        <v>1645926</v>
      </c>
      <c r="N161" s="333">
        <v>65.857139587402344</v>
      </c>
      <c r="O161" s="197"/>
      <c r="P161" s="333">
        <v>72.266074134991186</v>
      </c>
      <c r="Q161" s="200">
        <f t="shared" si="14"/>
        <v>-2.1231455245800723E-2</v>
      </c>
      <c r="R161" s="332">
        <v>1498600</v>
      </c>
      <c r="S161" s="333">
        <v>40.5</v>
      </c>
      <c r="T161" s="197"/>
      <c r="U161" s="333">
        <v>44.106173822471909</v>
      </c>
      <c r="V161" s="200">
        <f t="shared" si="15"/>
        <v>-8.7015341687141867E-2</v>
      </c>
      <c r="W161" s="332">
        <v>926592</v>
      </c>
      <c r="X161" s="333">
        <v>45.455001831054688</v>
      </c>
      <c r="Y161" s="197"/>
      <c r="Z161" s="333">
        <v>46.259128218046904</v>
      </c>
      <c r="AA161" s="200">
        <f t="shared" si="16"/>
        <v>-3.081022703222891E-2</v>
      </c>
      <c r="AB161" s="332">
        <v>0</v>
      </c>
      <c r="AC161" s="333">
        <v>72.269996643066406</v>
      </c>
      <c r="AD161" s="197"/>
      <c r="AE161" s="333">
        <v>72.269996643066392</v>
      </c>
      <c r="AF161" s="200">
        <f t="shared" si="17"/>
        <v>-1.9402990018846822E-2</v>
      </c>
    </row>
    <row r="162" spans="2:32" x14ac:dyDescent="0.3">
      <c r="B162" s="331">
        <v>40557.8125</v>
      </c>
      <c r="C162" s="332">
        <v>117677900</v>
      </c>
      <c r="D162" s="333">
        <v>129.30000305175781</v>
      </c>
      <c r="E162" s="197"/>
      <c r="F162" s="333">
        <v>138.1255132000081</v>
      </c>
      <c r="G162" s="200">
        <f t="shared" si="12"/>
        <v>1.6989174708815113E-2</v>
      </c>
      <c r="H162" s="332">
        <v>8397037</v>
      </c>
      <c r="I162" s="333">
        <v>8.3062057495117188</v>
      </c>
      <c r="J162" s="197"/>
      <c r="K162" s="333">
        <v>8.5494775077013365</v>
      </c>
      <c r="L162" s="200">
        <f t="shared" si="13"/>
        <v>-2.3234177396896594E-2</v>
      </c>
      <c r="M162" s="332">
        <v>1844257</v>
      </c>
      <c r="N162" s="333">
        <v>65.666664123535156</v>
      </c>
      <c r="O162" s="197"/>
      <c r="P162" s="333">
        <v>72.057062415396899</v>
      </c>
      <c r="Q162" s="200">
        <f t="shared" si="14"/>
        <v>-2.8922523064399686E-3</v>
      </c>
      <c r="R162" s="332">
        <v>1003800</v>
      </c>
      <c r="S162" s="333">
        <v>41.060001373291016</v>
      </c>
      <c r="T162" s="197"/>
      <c r="U162" s="333">
        <v>44.716038462254538</v>
      </c>
      <c r="V162" s="200">
        <f t="shared" si="15"/>
        <v>1.3827194402247223E-2</v>
      </c>
      <c r="W162" s="332">
        <v>1875312</v>
      </c>
      <c r="X162" s="333">
        <v>47.595001220703125</v>
      </c>
      <c r="Y162" s="197"/>
      <c r="Z162" s="333">
        <v>48.436985487093509</v>
      </c>
      <c r="AA162" s="200">
        <f t="shared" si="16"/>
        <v>4.7079513880613266E-2</v>
      </c>
      <c r="AB162" s="332">
        <v>0</v>
      </c>
      <c r="AC162" s="333">
        <v>72.269996643066406</v>
      </c>
      <c r="AD162" s="197"/>
      <c r="AE162" s="333">
        <v>72.269996643066392</v>
      </c>
      <c r="AF162" s="200">
        <f t="shared" si="17"/>
        <v>0</v>
      </c>
    </row>
    <row r="163" spans="2:32" x14ac:dyDescent="0.3">
      <c r="B163" s="331">
        <v>40564.8125</v>
      </c>
      <c r="C163" s="332">
        <v>151462900</v>
      </c>
      <c r="D163" s="333">
        <v>128.3699951171875</v>
      </c>
      <c r="E163" s="197"/>
      <c r="F163" s="333">
        <v>137.13202657811544</v>
      </c>
      <c r="G163" s="200">
        <f t="shared" si="12"/>
        <v>-7.1926366018569832E-3</v>
      </c>
      <c r="H163" s="332">
        <v>8864192</v>
      </c>
      <c r="I163" s="333">
        <v>7.9663701057434082</v>
      </c>
      <c r="J163" s="197"/>
      <c r="K163" s="333">
        <v>8.1996887737919728</v>
      </c>
      <c r="L163" s="200">
        <f t="shared" si="13"/>
        <v>-4.0913463260681793E-2</v>
      </c>
      <c r="M163" s="332">
        <v>1842852</v>
      </c>
      <c r="N163" s="333">
        <v>65.714286804199219</v>
      </c>
      <c r="O163" s="197"/>
      <c r="P163" s="333">
        <v>72.109319531222724</v>
      </c>
      <c r="Q163" s="200">
        <f t="shared" si="14"/>
        <v>7.2521851535611859E-4</v>
      </c>
      <c r="R163" s="332">
        <v>1199900</v>
      </c>
      <c r="S163" s="333">
        <v>40.509998321533203</v>
      </c>
      <c r="T163" s="197"/>
      <c r="U163" s="333">
        <v>44.117062407841694</v>
      </c>
      <c r="V163" s="200">
        <f t="shared" si="15"/>
        <v>-1.3395105537321927E-2</v>
      </c>
      <c r="W163" s="332">
        <v>902262</v>
      </c>
      <c r="X163" s="333">
        <v>47.639999389648438</v>
      </c>
      <c r="Y163" s="197"/>
      <c r="Z163" s="333">
        <v>48.482779700776639</v>
      </c>
      <c r="AA163" s="200">
        <f t="shared" si="16"/>
        <v>9.4543897029542023E-4</v>
      </c>
      <c r="AB163" s="332">
        <v>0</v>
      </c>
      <c r="AC163" s="333">
        <v>70.400001525878906</v>
      </c>
      <c r="AD163" s="197"/>
      <c r="AE163" s="333">
        <v>70.400001525878892</v>
      </c>
      <c r="AF163" s="200">
        <f t="shared" si="17"/>
        <v>-2.5875123897171393E-2</v>
      </c>
    </row>
    <row r="164" spans="2:32" x14ac:dyDescent="0.3">
      <c r="B164" s="331">
        <v>40571.8125</v>
      </c>
      <c r="C164" s="332">
        <v>295637300</v>
      </c>
      <c r="D164" s="333">
        <v>127.72000122070313</v>
      </c>
      <c r="E164" s="197"/>
      <c r="F164" s="333">
        <v>136.43766665228591</v>
      </c>
      <c r="G164" s="200">
        <f t="shared" si="12"/>
        <v>-5.0634410002976526E-3</v>
      </c>
      <c r="H164" s="332">
        <v>35325429</v>
      </c>
      <c r="I164" s="333">
        <v>7.4842791557312012</v>
      </c>
      <c r="J164" s="197"/>
      <c r="K164" s="333">
        <v>7.7034783670081026</v>
      </c>
      <c r="L164" s="200">
        <f t="shared" si="13"/>
        <v>-6.0515761082282626E-2</v>
      </c>
      <c r="M164" s="332">
        <v>1128627</v>
      </c>
      <c r="N164" s="333">
        <v>63.476188659667969</v>
      </c>
      <c r="O164" s="197"/>
      <c r="P164" s="333">
        <v>69.653419268208253</v>
      </c>
      <c r="Q164" s="200">
        <f t="shared" si="14"/>
        <v>-3.4058014677992965E-2</v>
      </c>
      <c r="R164" s="332">
        <v>1524900</v>
      </c>
      <c r="S164" s="333">
        <v>41.720001220703125</v>
      </c>
      <c r="T164" s="197"/>
      <c r="U164" s="333">
        <v>45.434805573186956</v>
      </c>
      <c r="V164" s="200">
        <f t="shared" si="15"/>
        <v>2.9869240910995964E-2</v>
      </c>
      <c r="W164" s="332">
        <v>886711</v>
      </c>
      <c r="X164" s="333">
        <v>48.130001068115234</v>
      </c>
      <c r="Y164" s="197"/>
      <c r="Z164" s="333">
        <v>48.981449804355158</v>
      </c>
      <c r="AA164" s="200">
        <f t="shared" si="16"/>
        <v>1.0285509755343814E-2</v>
      </c>
      <c r="AB164" s="332">
        <v>0</v>
      </c>
      <c r="AC164" s="333">
        <v>71.169998168945313</v>
      </c>
      <c r="AD164" s="197"/>
      <c r="AE164" s="333">
        <v>71.169998168945298</v>
      </c>
      <c r="AF164" s="200">
        <f t="shared" si="17"/>
        <v>1.0937452079221366E-2</v>
      </c>
    </row>
    <row r="165" spans="2:32" x14ac:dyDescent="0.3">
      <c r="B165" s="331">
        <v>40578.8125</v>
      </c>
      <c r="C165" s="332">
        <v>134634800</v>
      </c>
      <c r="D165" s="333">
        <v>131.14999389648438</v>
      </c>
      <c r="E165" s="197"/>
      <c r="F165" s="333">
        <v>140.10177715060436</v>
      </c>
      <c r="G165" s="200">
        <f t="shared" si="12"/>
        <v>2.6855564069829141E-2</v>
      </c>
      <c r="H165" s="332">
        <v>7163097</v>
      </c>
      <c r="I165" s="333">
        <v>7.5158910751342773</v>
      </c>
      <c r="J165" s="197"/>
      <c r="K165" s="333">
        <v>7.7360161348003045</v>
      </c>
      <c r="L165" s="200">
        <f t="shared" si="13"/>
        <v>4.22377609724367E-3</v>
      </c>
      <c r="M165" s="332">
        <v>1962434</v>
      </c>
      <c r="N165" s="333">
        <v>64.619049072265625</v>
      </c>
      <c r="O165" s="197"/>
      <c r="P165" s="333">
        <v>70.907497957628394</v>
      </c>
      <c r="Q165" s="200">
        <f t="shared" si="14"/>
        <v>1.8004553151815372E-2</v>
      </c>
      <c r="R165" s="332">
        <v>1604100</v>
      </c>
      <c r="S165" s="333">
        <v>42.950000762939453</v>
      </c>
      <c r="T165" s="197"/>
      <c r="U165" s="333">
        <v>46.774325909271802</v>
      </c>
      <c r="V165" s="200">
        <f t="shared" si="15"/>
        <v>2.9482250868821946E-2</v>
      </c>
      <c r="W165" s="332">
        <v>987770</v>
      </c>
      <c r="X165" s="333">
        <v>47.985000610351563</v>
      </c>
      <c r="Y165" s="197"/>
      <c r="Z165" s="333">
        <v>48.833884201073566</v>
      </c>
      <c r="AA165" s="200">
        <f t="shared" si="16"/>
        <v>-3.0126834520213253E-3</v>
      </c>
      <c r="AB165" s="332">
        <v>200</v>
      </c>
      <c r="AC165" s="333">
        <v>70.5</v>
      </c>
      <c r="AD165" s="197"/>
      <c r="AE165" s="333">
        <v>70.499999999999986</v>
      </c>
      <c r="AF165" s="200">
        <f t="shared" si="17"/>
        <v>-9.4140534801595566E-3</v>
      </c>
    </row>
    <row r="166" spans="2:32" x14ac:dyDescent="0.3">
      <c r="B166" s="331">
        <v>40585.8125</v>
      </c>
      <c r="C166" s="332">
        <v>137710300</v>
      </c>
      <c r="D166" s="333">
        <v>133.11000061035156</v>
      </c>
      <c r="E166" s="197"/>
      <c r="F166" s="333">
        <v>142.19556622128206</v>
      </c>
      <c r="G166" s="200">
        <f t="shared" si="12"/>
        <v>1.4944771674287649E-2</v>
      </c>
      <c r="H166" s="332">
        <v>16083344</v>
      </c>
      <c r="I166" s="333">
        <v>7.4526658058166504</v>
      </c>
      <c r="J166" s="197"/>
      <c r="K166" s="333">
        <v>7.6709391268076734</v>
      </c>
      <c r="L166" s="200">
        <f t="shared" si="13"/>
        <v>-8.4122120298952829E-3</v>
      </c>
      <c r="M166" s="332">
        <v>1157221</v>
      </c>
      <c r="N166" s="333">
        <v>65.809524536132813</v>
      </c>
      <c r="O166" s="197"/>
      <c r="P166" s="333">
        <v>72.213825391019867</v>
      </c>
      <c r="Q166" s="200">
        <f t="shared" si="14"/>
        <v>1.8422980235067499E-2</v>
      </c>
      <c r="R166" s="332">
        <v>1113200</v>
      </c>
      <c r="S166" s="333">
        <v>44.470001220703125</v>
      </c>
      <c r="T166" s="197"/>
      <c r="U166" s="333">
        <v>48.429669227799245</v>
      </c>
      <c r="V166" s="200">
        <f t="shared" si="15"/>
        <v>3.5389998387968413E-2</v>
      </c>
      <c r="W166" s="332">
        <v>1167414</v>
      </c>
      <c r="X166" s="333">
        <v>49.549999237060547</v>
      </c>
      <c r="Y166" s="197"/>
      <c r="Z166" s="333">
        <v>50.426568597019141</v>
      </c>
      <c r="AA166" s="200">
        <f t="shared" si="16"/>
        <v>3.2614329619730764E-2</v>
      </c>
      <c r="AB166" s="332">
        <v>1000</v>
      </c>
      <c r="AC166" s="333">
        <v>70.949996948242188</v>
      </c>
      <c r="AD166" s="197"/>
      <c r="AE166" s="333">
        <v>70.949996948242173</v>
      </c>
      <c r="AF166" s="200">
        <f t="shared" si="17"/>
        <v>6.3829354360593893E-3</v>
      </c>
    </row>
    <row r="167" spans="2:32" x14ac:dyDescent="0.3">
      <c r="B167" s="331">
        <v>40592.8125</v>
      </c>
      <c r="C167" s="332">
        <v>130002400</v>
      </c>
      <c r="D167" s="333">
        <v>134.52999877929688</v>
      </c>
      <c r="E167" s="197"/>
      <c r="F167" s="333">
        <v>143.71248788562363</v>
      </c>
      <c r="G167" s="200">
        <f t="shared" si="12"/>
        <v>1.0667854875172189E-2</v>
      </c>
      <c r="H167" s="332">
        <v>10910593</v>
      </c>
      <c r="I167" s="333">
        <v>7.6581478118896484</v>
      </c>
      <c r="J167" s="197"/>
      <c r="K167" s="333">
        <v>7.8824392800830392</v>
      </c>
      <c r="L167" s="200">
        <f t="shared" si="13"/>
        <v>2.7571611477952507E-2</v>
      </c>
      <c r="M167" s="332">
        <v>3757874</v>
      </c>
      <c r="N167" s="333">
        <v>67.76190185546875</v>
      </c>
      <c r="O167" s="197"/>
      <c r="P167" s="333">
        <v>74.356199702788402</v>
      </c>
      <c r="Q167" s="200">
        <f t="shared" si="14"/>
        <v>2.9667093526317245E-2</v>
      </c>
      <c r="R167" s="332">
        <v>1016200</v>
      </c>
      <c r="S167" s="333">
        <v>46.729999542236328</v>
      </c>
      <c r="T167" s="197"/>
      <c r="U167" s="333">
        <v>50.890900803306366</v>
      </c>
      <c r="V167" s="200">
        <f t="shared" si="15"/>
        <v>5.0820738913788466E-2</v>
      </c>
      <c r="W167" s="332">
        <v>1611670</v>
      </c>
      <c r="X167" s="333">
        <v>52.599998474121094</v>
      </c>
      <c r="Y167" s="197"/>
      <c r="Z167" s="333">
        <v>53.530524159413083</v>
      </c>
      <c r="AA167" s="200">
        <f t="shared" si="16"/>
        <v>6.1553971423259357E-2</v>
      </c>
      <c r="AB167" s="332">
        <v>0</v>
      </c>
      <c r="AC167" s="333">
        <v>72.849998474121094</v>
      </c>
      <c r="AD167" s="197"/>
      <c r="AE167" s="333">
        <v>72.84999847412108</v>
      </c>
      <c r="AF167" s="200">
        <f t="shared" si="17"/>
        <v>2.6779444786515727E-2</v>
      </c>
    </row>
    <row r="168" spans="2:32" x14ac:dyDescent="0.3">
      <c r="B168" s="331">
        <v>40599.8125</v>
      </c>
      <c r="C168" s="332">
        <v>141686900</v>
      </c>
      <c r="D168" s="333">
        <v>132.33000183105469</v>
      </c>
      <c r="E168" s="197"/>
      <c r="F168" s="333">
        <v>141.36232779016899</v>
      </c>
      <c r="G168" s="200">
        <f t="shared" si="12"/>
        <v>-1.6353207226675104E-2</v>
      </c>
      <c r="H168" s="332">
        <v>11326630</v>
      </c>
      <c r="I168" s="333">
        <v>7.152346134185791</v>
      </c>
      <c r="J168" s="197"/>
      <c r="K168" s="333">
        <v>7.3618237069447341</v>
      </c>
      <c r="L168" s="200">
        <f t="shared" si="13"/>
        <v>-6.6047520905587076E-2</v>
      </c>
      <c r="M168" s="332">
        <v>944092</v>
      </c>
      <c r="N168" s="333">
        <v>64.23809814453125</v>
      </c>
      <c r="O168" s="197"/>
      <c r="P168" s="333">
        <v>70.489474518439849</v>
      </c>
      <c r="Q168" s="200">
        <f t="shared" si="14"/>
        <v>-5.2002727409474536E-2</v>
      </c>
      <c r="R168" s="332">
        <v>793300</v>
      </c>
      <c r="S168" s="333">
        <v>44.970001220703125</v>
      </c>
      <c r="T168" s="333">
        <v>0.25</v>
      </c>
      <c r="U168" s="333">
        <v>49.246450224511698</v>
      </c>
      <c r="V168" s="200">
        <f t="shared" si="15"/>
        <v>-3.2313253505778516E-2</v>
      </c>
      <c r="W168" s="332">
        <v>693609</v>
      </c>
      <c r="X168" s="333">
        <v>50.759998321533203</v>
      </c>
      <c r="Y168" s="197"/>
      <c r="Z168" s="333">
        <v>51.657973294798715</v>
      </c>
      <c r="AA168" s="200">
        <f t="shared" si="16"/>
        <v>-3.4980992508833686E-2</v>
      </c>
      <c r="AB168" s="332">
        <v>0</v>
      </c>
      <c r="AC168" s="333">
        <v>72.849998474121094</v>
      </c>
      <c r="AD168" s="197"/>
      <c r="AE168" s="333">
        <v>72.84999847412108</v>
      </c>
      <c r="AF168" s="200">
        <f t="shared" si="17"/>
        <v>0</v>
      </c>
    </row>
    <row r="169" spans="2:32" x14ac:dyDescent="0.3">
      <c r="B169" s="331">
        <v>40606.8125</v>
      </c>
      <c r="C169" s="332">
        <v>277202300</v>
      </c>
      <c r="D169" s="333">
        <v>132.47000122070313</v>
      </c>
      <c r="E169" s="197"/>
      <c r="F169" s="333">
        <v>141.51188298805354</v>
      </c>
      <c r="G169" s="200">
        <f t="shared" si="12"/>
        <v>1.0579565307282657E-3</v>
      </c>
      <c r="H169" s="332">
        <v>13756422</v>
      </c>
      <c r="I169" s="333">
        <v>7.0258960723876953</v>
      </c>
      <c r="J169" s="197"/>
      <c r="K169" s="333">
        <v>7.2316701817622144</v>
      </c>
      <c r="L169" s="200">
        <f t="shared" si="13"/>
        <v>-1.7679522135220394E-2</v>
      </c>
      <c r="M169" s="332">
        <v>1700391</v>
      </c>
      <c r="N169" s="333">
        <v>65.809524536132813</v>
      </c>
      <c r="O169" s="197"/>
      <c r="P169" s="333">
        <v>72.213825391019867</v>
      </c>
      <c r="Q169" s="200">
        <f t="shared" si="14"/>
        <v>2.4462529822504742E-2</v>
      </c>
      <c r="R169" s="332">
        <v>1041300</v>
      </c>
      <c r="S169" s="333">
        <v>43.669998168945313</v>
      </c>
      <c r="T169" s="197"/>
      <c r="U169" s="333">
        <v>47.822822609606696</v>
      </c>
      <c r="V169" s="200">
        <f t="shared" si="15"/>
        <v>-2.890822807359239E-2</v>
      </c>
      <c r="W169" s="332">
        <v>706161</v>
      </c>
      <c r="X169" s="333">
        <v>49.944999694824219</v>
      </c>
      <c r="Y169" s="197"/>
      <c r="Z169" s="333">
        <v>50.828556851024523</v>
      </c>
      <c r="AA169" s="200">
        <f t="shared" si="16"/>
        <v>-1.6055923042913922E-2</v>
      </c>
      <c r="AB169" s="332">
        <v>0</v>
      </c>
      <c r="AC169" s="333">
        <v>73.199996948242188</v>
      </c>
      <c r="AD169" s="197"/>
      <c r="AE169" s="333">
        <v>73.199996948242173</v>
      </c>
      <c r="AF169" s="200">
        <f t="shared" si="17"/>
        <v>4.8043717426491384E-3</v>
      </c>
    </row>
    <row r="170" spans="2:32" x14ac:dyDescent="0.3">
      <c r="B170" s="331">
        <v>40613.8125</v>
      </c>
      <c r="C170" s="332">
        <v>225621800</v>
      </c>
      <c r="D170" s="333">
        <v>130.83999633789063</v>
      </c>
      <c r="E170" s="197"/>
      <c r="F170" s="333">
        <v>139.77062037673812</v>
      </c>
      <c r="G170" s="200">
        <f t="shared" si="12"/>
        <v>-1.2304709502469313E-2</v>
      </c>
      <c r="H170" s="332">
        <v>35128546</v>
      </c>
      <c r="I170" s="333">
        <v>6.9389619827270508</v>
      </c>
      <c r="J170" s="197"/>
      <c r="K170" s="333">
        <v>7.1421899706261174</v>
      </c>
      <c r="L170" s="200">
        <f t="shared" si="13"/>
        <v>-1.237338109829178E-2</v>
      </c>
      <c r="M170" s="332">
        <v>1360501</v>
      </c>
      <c r="N170" s="333">
        <v>64.666664123535156</v>
      </c>
      <c r="O170" s="197"/>
      <c r="P170" s="333">
        <v>70.959746701599727</v>
      </c>
      <c r="Q170" s="200">
        <f t="shared" si="14"/>
        <v>-1.7366185527904365E-2</v>
      </c>
      <c r="R170" s="332">
        <v>1380800</v>
      </c>
      <c r="S170" s="333">
        <v>42.139999389648438</v>
      </c>
      <c r="T170" s="197"/>
      <c r="U170" s="333">
        <v>46.147327686704202</v>
      </c>
      <c r="V170" s="200">
        <f t="shared" si="15"/>
        <v>-3.5035466989895347E-2</v>
      </c>
      <c r="W170" s="332">
        <v>1483597</v>
      </c>
      <c r="X170" s="333">
        <v>47</v>
      </c>
      <c r="Y170" s="197"/>
      <c r="Z170" s="333">
        <v>47.831458336072778</v>
      </c>
      <c r="AA170" s="200">
        <f t="shared" si="16"/>
        <v>-5.8964855597534727E-2</v>
      </c>
      <c r="AB170" s="332">
        <v>0</v>
      </c>
      <c r="AC170" s="333">
        <v>74.25</v>
      </c>
      <c r="AD170" s="197"/>
      <c r="AE170" s="333">
        <v>74.249999999999986</v>
      </c>
      <c r="AF170" s="200">
        <f t="shared" si="17"/>
        <v>1.4344304583786327E-2</v>
      </c>
    </row>
    <row r="171" spans="2:32" x14ac:dyDescent="0.3">
      <c r="B171" s="331">
        <v>40620.770833333336</v>
      </c>
      <c r="C171" s="332">
        <v>230435400</v>
      </c>
      <c r="D171" s="333">
        <v>127.76000213623047</v>
      </c>
      <c r="E171" s="333">
        <v>0.55300000000000005</v>
      </c>
      <c r="F171" s="333">
        <v>137.07114348022145</v>
      </c>
      <c r="G171" s="200">
        <f t="shared" si="12"/>
        <v>-1.9313621770014944E-2</v>
      </c>
      <c r="H171" s="332">
        <v>7249645</v>
      </c>
      <c r="I171" s="333">
        <v>6.7808990478515625</v>
      </c>
      <c r="J171" s="197"/>
      <c r="K171" s="333">
        <v>6.979497696045911</v>
      </c>
      <c r="L171" s="200">
        <f t="shared" si="13"/>
        <v>-2.2779046097809674E-2</v>
      </c>
      <c r="M171" s="332">
        <v>2703283</v>
      </c>
      <c r="N171" s="333">
        <v>62.095237731933594</v>
      </c>
      <c r="O171" s="197"/>
      <c r="P171" s="333">
        <v>68.138080115222536</v>
      </c>
      <c r="Q171" s="200">
        <f t="shared" si="14"/>
        <v>-3.9764327207125971E-2</v>
      </c>
      <c r="R171" s="332">
        <v>981000</v>
      </c>
      <c r="S171" s="333">
        <v>43.020000457763672</v>
      </c>
      <c r="T171" s="197"/>
      <c r="U171" s="333">
        <v>47.111012979612369</v>
      </c>
      <c r="V171" s="200">
        <f t="shared" si="15"/>
        <v>2.0882797362626437E-2</v>
      </c>
      <c r="W171" s="332">
        <v>2078149</v>
      </c>
      <c r="X171" s="333">
        <v>47.569999694824219</v>
      </c>
      <c r="Y171" s="197"/>
      <c r="Z171" s="333">
        <v>48.411541669148498</v>
      </c>
      <c r="AA171" s="200">
        <f t="shared" si="16"/>
        <v>1.2127653081366319E-2</v>
      </c>
      <c r="AB171" s="332">
        <v>0</v>
      </c>
      <c r="AC171" s="333">
        <v>74.25</v>
      </c>
      <c r="AD171" s="197"/>
      <c r="AE171" s="333">
        <v>74.249999999999986</v>
      </c>
      <c r="AF171" s="200">
        <f t="shared" si="17"/>
        <v>0</v>
      </c>
    </row>
    <row r="172" spans="2:32" x14ac:dyDescent="0.3">
      <c r="B172" s="331">
        <v>40627.770833333336</v>
      </c>
      <c r="C172" s="332">
        <v>155642800</v>
      </c>
      <c r="D172" s="333">
        <v>131.30000305175781</v>
      </c>
      <c r="E172" s="197"/>
      <c r="F172" s="333">
        <v>140.8691394515659</v>
      </c>
      <c r="G172" s="200">
        <f t="shared" si="12"/>
        <v>2.7708209583094945E-2</v>
      </c>
      <c r="H172" s="332">
        <v>26059751</v>
      </c>
      <c r="I172" s="333">
        <v>6.9626708030700684</v>
      </c>
      <c r="J172" s="197"/>
      <c r="K172" s="333">
        <v>7.1665931737695834</v>
      </c>
      <c r="L172" s="200">
        <f t="shared" si="13"/>
        <v>2.6806438782789099E-2</v>
      </c>
      <c r="M172" s="332">
        <v>1332045</v>
      </c>
      <c r="N172" s="333">
        <v>65.857139587402344</v>
      </c>
      <c r="O172" s="197"/>
      <c r="P172" s="333">
        <v>72.266074134991186</v>
      </c>
      <c r="Q172" s="200">
        <f t="shared" si="14"/>
        <v>6.0582775634243635E-2</v>
      </c>
      <c r="R172" s="332">
        <v>1514800</v>
      </c>
      <c r="S172" s="333">
        <v>45.290000915527344</v>
      </c>
      <c r="T172" s="197"/>
      <c r="U172" s="333">
        <v>49.596880480576814</v>
      </c>
      <c r="V172" s="200">
        <f t="shared" si="15"/>
        <v>5.2766165355863315E-2</v>
      </c>
      <c r="W172" s="332">
        <v>977793</v>
      </c>
      <c r="X172" s="333">
        <v>49.909999847412109</v>
      </c>
      <c r="Y172" s="197"/>
      <c r="Z172" s="333">
        <v>50.792937835210438</v>
      </c>
      <c r="AA172" s="200">
        <f t="shared" si="16"/>
        <v>4.9190669909600304E-2</v>
      </c>
      <c r="AB172" s="332">
        <v>0</v>
      </c>
      <c r="AC172" s="333">
        <v>73.150001525878906</v>
      </c>
      <c r="AD172" s="197"/>
      <c r="AE172" s="333">
        <v>73.150001525878892</v>
      </c>
      <c r="AF172" s="200">
        <f t="shared" si="17"/>
        <v>-1.4814794264257136E-2</v>
      </c>
    </row>
    <row r="173" spans="2:32" x14ac:dyDescent="0.3">
      <c r="B173" s="331">
        <v>40634.770833333336</v>
      </c>
      <c r="C173" s="332">
        <v>153850100</v>
      </c>
      <c r="D173" s="333">
        <v>133.14999389648438</v>
      </c>
      <c r="E173" s="197"/>
      <c r="F173" s="333">
        <v>142.85395751883721</v>
      </c>
      <c r="G173" s="200">
        <f t="shared" si="12"/>
        <v>1.4089800470128644E-2</v>
      </c>
      <c r="H173" s="332">
        <v>18688129</v>
      </c>
      <c r="I173" s="333">
        <v>7.2550868988037109</v>
      </c>
      <c r="J173" s="197"/>
      <c r="K173" s="333">
        <v>7.4675735381810453</v>
      </c>
      <c r="L173" s="200">
        <f t="shared" si="13"/>
        <v>4.1997690829316037E-2</v>
      </c>
      <c r="M173" s="332">
        <v>979971</v>
      </c>
      <c r="N173" s="333">
        <v>66.523811340332031</v>
      </c>
      <c r="O173" s="197"/>
      <c r="P173" s="333">
        <v>72.997623525425638</v>
      </c>
      <c r="Q173" s="200">
        <f t="shared" si="14"/>
        <v>1.012299892018409E-2</v>
      </c>
      <c r="R173" s="332">
        <v>794700</v>
      </c>
      <c r="S173" s="333">
        <v>46.279998779296875</v>
      </c>
      <c r="T173" s="197"/>
      <c r="U173" s="333">
        <v>50.681022779822612</v>
      </c>
      <c r="V173" s="200">
        <f t="shared" si="15"/>
        <v>2.1859082441089583E-2</v>
      </c>
      <c r="W173" s="332">
        <v>785311</v>
      </c>
      <c r="X173" s="333">
        <v>50</v>
      </c>
      <c r="Y173" s="197"/>
      <c r="Z173" s="333">
        <v>50.884530144758259</v>
      </c>
      <c r="AA173" s="200">
        <f t="shared" si="16"/>
        <v>1.8032489052903777E-3</v>
      </c>
      <c r="AB173" s="332">
        <v>0</v>
      </c>
      <c r="AC173" s="333">
        <v>73.150001525878906</v>
      </c>
      <c r="AD173" s="197"/>
      <c r="AE173" s="333">
        <v>73.150001525878892</v>
      </c>
      <c r="AF173" s="200">
        <f t="shared" si="17"/>
        <v>0</v>
      </c>
    </row>
    <row r="174" spans="2:32" x14ac:dyDescent="0.3">
      <c r="B174" s="331">
        <v>40641.770833333336</v>
      </c>
      <c r="C174" s="332">
        <v>147945400</v>
      </c>
      <c r="D174" s="333">
        <v>132.86000061035156</v>
      </c>
      <c r="E174" s="197"/>
      <c r="F174" s="333">
        <v>142.54282953928828</v>
      </c>
      <c r="G174" s="200">
        <f t="shared" si="12"/>
        <v>-2.177944419270994E-3</v>
      </c>
      <c r="H174" s="332">
        <v>12241962</v>
      </c>
      <c r="I174" s="333">
        <v>6.9863801002502441</v>
      </c>
      <c r="J174" s="197"/>
      <c r="K174" s="333">
        <v>7.1909968677157918</v>
      </c>
      <c r="L174" s="200">
        <f t="shared" si="13"/>
        <v>-3.7037019997344656E-2</v>
      </c>
      <c r="M174" s="332">
        <v>1616193</v>
      </c>
      <c r="N174" s="333">
        <v>69.23809814453125</v>
      </c>
      <c r="O174" s="197"/>
      <c r="P174" s="333">
        <v>75.976053087425782</v>
      </c>
      <c r="Q174" s="200">
        <f t="shared" si="14"/>
        <v>4.0801733236736526E-2</v>
      </c>
      <c r="R174" s="332">
        <v>688900</v>
      </c>
      <c r="S174" s="333">
        <v>45</v>
      </c>
      <c r="T174" s="197"/>
      <c r="U174" s="333">
        <v>49.27930175556213</v>
      </c>
      <c r="V174" s="200">
        <f t="shared" si="15"/>
        <v>-2.7657709875944736E-2</v>
      </c>
      <c r="W174" s="332">
        <v>467362</v>
      </c>
      <c r="X174" s="333">
        <v>50.130001068115234</v>
      </c>
      <c r="Y174" s="197"/>
      <c r="Z174" s="333">
        <v>51.016831010145474</v>
      </c>
      <c r="AA174" s="200">
        <f t="shared" si="16"/>
        <v>2.6000213623047497E-3</v>
      </c>
      <c r="AB174" s="332">
        <v>0</v>
      </c>
      <c r="AC174" s="333">
        <v>73.150001525878906</v>
      </c>
      <c r="AD174" s="197"/>
      <c r="AE174" s="333">
        <v>73.150001525878892</v>
      </c>
      <c r="AF174" s="200">
        <f t="shared" si="17"/>
        <v>0</v>
      </c>
    </row>
    <row r="175" spans="2:32" x14ac:dyDescent="0.3">
      <c r="B175" s="331">
        <v>40648.770833333336</v>
      </c>
      <c r="C175" s="332">
        <v>170006700</v>
      </c>
      <c r="D175" s="333">
        <v>132.03999328613281</v>
      </c>
      <c r="E175" s="197"/>
      <c r="F175" s="333">
        <v>141.66306013013494</v>
      </c>
      <c r="G175" s="200">
        <f t="shared" si="12"/>
        <v>-6.1719653804883645E-3</v>
      </c>
      <c r="H175" s="332">
        <v>9204310</v>
      </c>
      <c r="I175" s="333">
        <v>7.0021867752075195</v>
      </c>
      <c r="J175" s="197"/>
      <c r="K175" s="333">
        <v>7.207266487816006</v>
      </c>
      <c r="L175" s="200">
        <f t="shared" si="13"/>
        <v>2.2624985658465935E-3</v>
      </c>
      <c r="M175" s="332">
        <v>2253261</v>
      </c>
      <c r="N175" s="333">
        <v>71</v>
      </c>
      <c r="O175" s="197"/>
      <c r="P175" s="333">
        <v>77.909415679600045</v>
      </c>
      <c r="Q175" s="200">
        <f t="shared" si="14"/>
        <v>2.544699959537966E-2</v>
      </c>
      <c r="R175" s="332">
        <v>1004400</v>
      </c>
      <c r="S175" s="333">
        <v>43.619998931884766</v>
      </c>
      <c r="T175" s="197"/>
      <c r="U175" s="333">
        <v>47.768068665369938</v>
      </c>
      <c r="V175" s="200">
        <f t="shared" si="15"/>
        <v>-3.0666690402560759E-2</v>
      </c>
      <c r="W175" s="332">
        <v>943269</v>
      </c>
      <c r="X175" s="333">
        <v>50.490001678466797</v>
      </c>
      <c r="Y175" s="197"/>
      <c r="Z175" s="333">
        <v>51.383200248336777</v>
      </c>
      <c r="AA175" s="200">
        <f t="shared" si="16"/>
        <v>7.1813405681440123E-3</v>
      </c>
      <c r="AB175" s="332">
        <v>200</v>
      </c>
      <c r="AC175" s="333">
        <v>83</v>
      </c>
      <c r="AD175" s="197"/>
      <c r="AE175" s="333">
        <v>82.999999999999986</v>
      </c>
      <c r="AF175" s="200">
        <f t="shared" si="17"/>
        <v>0.13465479519691304</v>
      </c>
    </row>
    <row r="176" spans="2:32" x14ac:dyDescent="0.3">
      <c r="B176" s="331">
        <v>40654.770833333336</v>
      </c>
      <c r="C176" s="332">
        <v>135935400</v>
      </c>
      <c r="D176" s="333">
        <v>133.77999877929688</v>
      </c>
      <c r="E176" s="197"/>
      <c r="F176" s="333">
        <v>143.52987711997457</v>
      </c>
      <c r="G176" s="200">
        <f t="shared" si="12"/>
        <v>1.3177867173875368E-2</v>
      </c>
      <c r="H176" s="332">
        <v>10345248</v>
      </c>
      <c r="I176" s="333">
        <v>6.9942841529846191</v>
      </c>
      <c r="J176" s="197"/>
      <c r="K176" s="333">
        <v>7.1991324139700126</v>
      </c>
      <c r="L176" s="200">
        <f t="shared" si="13"/>
        <v>-1.1285934632421224E-3</v>
      </c>
      <c r="M176" s="332">
        <v>1318100</v>
      </c>
      <c r="N176" s="333">
        <v>72.380950927734375</v>
      </c>
      <c r="O176" s="197"/>
      <c r="P176" s="333">
        <v>79.424754832585762</v>
      </c>
      <c r="Q176" s="200">
        <f t="shared" si="14"/>
        <v>1.945001306668126E-2</v>
      </c>
      <c r="R176" s="332">
        <v>760800</v>
      </c>
      <c r="S176" s="333">
        <v>43.659999847412109</v>
      </c>
      <c r="T176" s="197"/>
      <c r="U176" s="333">
        <v>47.81187349174261</v>
      </c>
      <c r="V176" s="200">
        <f t="shared" si="15"/>
        <v>9.1703155678191095E-4</v>
      </c>
      <c r="W176" s="332">
        <v>1035042</v>
      </c>
      <c r="X176" s="333">
        <v>51.840000152587891</v>
      </c>
      <c r="Y176" s="197"/>
      <c r="Z176" s="333">
        <v>52.757081009372627</v>
      </c>
      <c r="AA176" s="200">
        <f t="shared" si="16"/>
        <v>2.6737936804166251E-2</v>
      </c>
      <c r="AB176" s="332">
        <v>1200</v>
      </c>
      <c r="AC176" s="333">
        <v>86.550003051757813</v>
      </c>
      <c r="AD176" s="197"/>
      <c r="AE176" s="333">
        <v>86.550003051757784</v>
      </c>
      <c r="AF176" s="200">
        <f t="shared" si="17"/>
        <v>4.277112110551573E-2</v>
      </c>
    </row>
    <row r="177" spans="2:32" x14ac:dyDescent="0.3">
      <c r="B177" s="331">
        <v>40662.770833333336</v>
      </c>
      <c r="C177" s="332">
        <v>115094100</v>
      </c>
      <c r="D177" s="333">
        <v>136.42999267578125</v>
      </c>
      <c r="E177" s="197"/>
      <c r="F177" s="333">
        <v>146.37300241375314</v>
      </c>
      <c r="G177" s="200">
        <f t="shared" si="12"/>
        <v>1.9808595609693391E-2</v>
      </c>
      <c r="H177" s="332">
        <v>13665445</v>
      </c>
      <c r="I177" s="333">
        <v>6.8599300384521484</v>
      </c>
      <c r="J177" s="197"/>
      <c r="K177" s="333">
        <v>7.0608433425332722</v>
      </c>
      <c r="L177" s="200">
        <f t="shared" si="13"/>
        <v>-1.9209130140235842E-2</v>
      </c>
      <c r="M177" s="332">
        <v>804092</v>
      </c>
      <c r="N177" s="333">
        <v>71.714286804199219</v>
      </c>
      <c r="O177" s="197"/>
      <c r="P177" s="333">
        <v>78.693213814005802</v>
      </c>
      <c r="Q177" s="200">
        <f t="shared" si="14"/>
        <v>-9.2104913653423548E-3</v>
      </c>
      <c r="R177" s="332">
        <v>1138500</v>
      </c>
      <c r="S177" s="333">
        <v>45.200000762939453</v>
      </c>
      <c r="T177" s="197"/>
      <c r="U177" s="333">
        <v>49.498321709967364</v>
      </c>
      <c r="V177" s="200">
        <f t="shared" si="15"/>
        <v>3.5272581789040691E-2</v>
      </c>
      <c r="W177" s="332">
        <v>389820</v>
      </c>
      <c r="X177" s="333">
        <v>51.630001068115234</v>
      </c>
      <c r="Y177" s="197"/>
      <c r="Z177" s="333">
        <v>52.54336691448821</v>
      </c>
      <c r="AA177" s="200">
        <f t="shared" si="16"/>
        <v>-4.0509082533669583E-3</v>
      </c>
      <c r="AB177" s="332">
        <v>10800</v>
      </c>
      <c r="AC177" s="333">
        <v>87.150001525878906</v>
      </c>
      <c r="AD177" s="197"/>
      <c r="AE177" s="333">
        <v>87.150001525878892</v>
      </c>
      <c r="AF177" s="200">
        <f t="shared" si="17"/>
        <v>6.9323911376675262E-3</v>
      </c>
    </row>
    <row r="178" spans="2:32" x14ac:dyDescent="0.3">
      <c r="B178" s="331">
        <v>40669.770833333336</v>
      </c>
      <c r="C178" s="332">
        <v>222787200</v>
      </c>
      <c r="D178" s="333">
        <v>134.19999694824219</v>
      </c>
      <c r="E178" s="197"/>
      <c r="F178" s="333">
        <v>143.98048473044994</v>
      </c>
      <c r="G178" s="200">
        <f t="shared" si="12"/>
        <v>-1.6345348143780303E-2</v>
      </c>
      <c r="H178" s="332">
        <v>17064345</v>
      </c>
      <c r="I178" s="333">
        <v>6.3541288375854492</v>
      </c>
      <c r="J178" s="197"/>
      <c r="K178" s="333">
        <v>6.5402282601977095</v>
      </c>
      <c r="L178" s="200">
        <f t="shared" si="13"/>
        <v>-7.3732705440364255E-2</v>
      </c>
      <c r="M178" s="332">
        <v>1685815</v>
      </c>
      <c r="N178" s="333">
        <v>68.095237731933594</v>
      </c>
      <c r="O178" s="197"/>
      <c r="P178" s="333">
        <v>74.721974398005614</v>
      </c>
      <c r="Q178" s="200">
        <f t="shared" si="14"/>
        <v>-5.0464826933950824E-2</v>
      </c>
      <c r="R178" s="332">
        <v>1422500</v>
      </c>
      <c r="S178" s="333">
        <v>40.919998168945313</v>
      </c>
      <c r="T178" s="197"/>
      <c r="U178" s="333">
        <v>44.811309724544572</v>
      </c>
      <c r="V178" s="200">
        <f t="shared" si="15"/>
        <v>-9.46903212776804E-2</v>
      </c>
      <c r="W178" s="332">
        <v>1043270</v>
      </c>
      <c r="X178" s="333">
        <v>49.520000457763672</v>
      </c>
      <c r="Y178" s="333">
        <v>0.25</v>
      </c>
      <c r="Z178" s="333">
        <v>50.650461771954149</v>
      </c>
      <c r="AA178" s="200">
        <f t="shared" si="16"/>
        <v>-3.6025577607439407E-2</v>
      </c>
      <c r="AB178" s="332">
        <v>100</v>
      </c>
      <c r="AC178" s="333">
        <v>82</v>
      </c>
      <c r="AD178" s="197"/>
      <c r="AE178" s="333">
        <v>81.999999999999986</v>
      </c>
      <c r="AF178" s="200">
        <f t="shared" si="17"/>
        <v>-5.9093533398844822E-2</v>
      </c>
    </row>
    <row r="179" spans="2:32" x14ac:dyDescent="0.3">
      <c r="B179" s="331">
        <v>40676.770833333336</v>
      </c>
      <c r="C179" s="332">
        <v>157444900</v>
      </c>
      <c r="D179" s="333">
        <v>134.03999328613281</v>
      </c>
      <c r="E179" s="197"/>
      <c r="F179" s="333">
        <v>143.80882001097876</v>
      </c>
      <c r="G179" s="200">
        <f t="shared" si="12"/>
        <v>-1.1922776881364561E-3</v>
      </c>
      <c r="H179" s="332">
        <v>13022916</v>
      </c>
      <c r="I179" s="333">
        <v>6.4647731781005859</v>
      </c>
      <c r="J179" s="197"/>
      <c r="K179" s="333">
        <v>6.654113146885499</v>
      </c>
      <c r="L179" s="200">
        <f t="shared" si="13"/>
        <v>1.7412983485739497E-2</v>
      </c>
      <c r="M179" s="332">
        <v>1146682</v>
      </c>
      <c r="N179" s="333">
        <v>65.476188659667969</v>
      </c>
      <c r="O179" s="333">
        <v>1.428571</v>
      </c>
      <c r="P179" s="333">
        <v>73.41564410237757</v>
      </c>
      <c r="Q179" s="200">
        <f t="shared" si="14"/>
        <v>-1.7482545210460998E-2</v>
      </c>
      <c r="R179" s="332">
        <v>1229700</v>
      </c>
      <c r="S179" s="333">
        <v>39.979999542236328</v>
      </c>
      <c r="T179" s="197"/>
      <c r="U179" s="333">
        <v>43.781921369535546</v>
      </c>
      <c r="V179" s="200">
        <f t="shared" si="15"/>
        <v>-2.2971619471438887E-2</v>
      </c>
      <c r="W179" s="332">
        <v>1059424</v>
      </c>
      <c r="X179" s="333">
        <v>49.200000762939453</v>
      </c>
      <c r="Y179" s="197"/>
      <c r="Z179" s="333">
        <v>50.323157002973879</v>
      </c>
      <c r="AA179" s="200">
        <f t="shared" si="16"/>
        <v>-6.4620293187830358E-3</v>
      </c>
      <c r="AB179" s="332">
        <v>0</v>
      </c>
      <c r="AC179" s="333">
        <v>78.699996948242188</v>
      </c>
      <c r="AD179" s="197"/>
      <c r="AE179" s="333">
        <v>78.699996948242173</v>
      </c>
      <c r="AF179" s="200">
        <f t="shared" si="17"/>
        <v>-4.0243939655583039E-2</v>
      </c>
    </row>
    <row r="180" spans="2:32" x14ac:dyDescent="0.3">
      <c r="B180" s="331">
        <v>40683.770833333336</v>
      </c>
      <c r="C180" s="332">
        <v>182594900</v>
      </c>
      <c r="D180" s="333">
        <v>133.61000061035156</v>
      </c>
      <c r="E180" s="197"/>
      <c r="F180" s="333">
        <v>143.3474894946047</v>
      </c>
      <c r="G180" s="200">
        <f t="shared" si="12"/>
        <v>-3.2079431312964646E-3</v>
      </c>
      <c r="H180" s="332">
        <v>12494140</v>
      </c>
      <c r="I180" s="333">
        <v>6.5359010696411133</v>
      </c>
      <c r="J180" s="197"/>
      <c r="K180" s="333">
        <v>6.7273242287241235</v>
      </c>
      <c r="L180" s="200">
        <f t="shared" si="13"/>
        <v>1.1002380065161965E-2</v>
      </c>
      <c r="M180" s="332">
        <v>1826734</v>
      </c>
      <c r="N180" s="333">
        <v>64.666664123535156</v>
      </c>
      <c r="O180" s="197"/>
      <c r="P180" s="333">
        <v>72.50795893539599</v>
      </c>
      <c r="Q180" s="200">
        <f t="shared" si="14"/>
        <v>-1.2363647803945166E-2</v>
      </c>
      <c r="R180" s="332">
        <v>1025100</v>
      </c>
      <c r="S180" s="333">
        <v>40.259998321533203</v>
      </c>
      <c r="T180" s="197"/>
      <c r="U180" s="333">
        <v>44.088546799227991</v>
      </c>
      <c r="V180" s="200">
        <f t="shared" si="15"/>
        <v>7.0034712982194325E-3</v>
      </c>
      <c r="W180" s="332">
        <v>967178</v>
      </c>
      <c r="X180" s="333">
        <v>48.569999694824219</v>
      </c>
      <c r="Y180" s="197"/>
      <c r="Z180" s="333">
        <v>49.678774032014964</v>
      </c>
      <c r="AA180" s="200">
        <f t="shared" si="16"/>
        <v>-1.2804899559875293E-2</v>
      </c>
      <c r="AB180" s="332">
        <v>0</v>
      </c>
      <c r="AC180" s="333">
        <v>76.849998474121094</v>
      </c>
      <c r="AD180" s="197"/>
      <c r="AE180" s="333">
        <v>76.84999847412108</v>
      </c>
      <c r="AF180" s="200">
        <f t="shared" si="17"/>
        <v>-2.3506970087149637E-2</v>
      </c>
    </row>
    <row r="181" spans="2:32" x14ac:dyDescent="0.3">
      <c r="B181" s="331">
        <v>40690.770833333336</v>
      </c>
      <c r="C181" s="332">
        <v>120921900</v>
      </c>
      <c r="D181" s="333">
        <v>133.50999450683594</v>
      </c>
      <c r="E181" s="197"/>
      <c r="F181" s="333">
        <v>143.24019495222305</v>
      </c>
      <c r="G181" s="200">
        <f t="shared" si="12"/>
        <v>-7.4849265069054649E-4</v>
      </c>
      <c r="H181" s="332">
        <v>4721791</v>
      </c>
      <c r="I181" s="333">
        <v>6.670255184173584</v>
      </c>
      <c r="J181" s="197"/>
      <c r="K181" s="333">
        <v>6.8656133001608639</v>
      </c>
      <c r="L181" s="200">
        <f t="shared" si="13"/>
        <v>2.0556326220501964E-2</v>
      </c>
      <c r="M181" s="332">
        <v>1073189</v>
      </c>
      <c r="N181" s="333">
        <v>64.190475463867188</v>
      </c>
      <c r="O181" s="197"/>
      <c r="P181" s="333">
        <v>71.974029000263613</v>
      </c>
      <c r="Q181" s="200">
        <f t="shared" si="14"/>
        <v>-7.3637424494061854E-3</v>
      </c>
      <c r="R181" s="332">
        <v>673700</v>
      </c>
      <c r="S181" s="333">
        <v>39.529998779296875</v>
      </c>
      <c r="T181" s="333">
        <v>0.25</v>
      </c>
      <c r="U181" s="333">
        <v>43.562901415130312</v>
      </c>
      <c r="V181" s="200">
        <f t="shared" si="15"/>
        <v>-1.1922492852653566E-2</v>
      </c>
      <c r="W181" s="332">
        <v>831299</v>
      </c>
      <c r="X181" s="333">
        <v>47.659999847412109</v>
      </c>
      <c r="Y181" s="197"/>
      <c r="Z181" s="333">
        <v>48.748000363643463</v>
      </c>
      <c r="AA181" s="200">
        <f t="shared" si="16"/>
        <v>-1.8735842148030368E-2</v>
      </c>
      <c r="AB181" s="332">
        <v>0</v>
      </c>
      <c r="AC181" s="333">
        <v>77.150001525878906</v>
      </c>
      <c r="AD181" s="197"/>
      <c r="AE181" s="333">
        <v>77.150001525878892</v>
      </c>
      <c r="AF181" s="200">
        <f t="shared" si="17"/>
        <v>3.9037483111836746E-3</v>
      </c>
    </row>
    <row r="182" spans="2:32" x14ac:dyDescent="0.3">
      <c r="B182" s="331">
        <v>40697.770833333336</v>
      </c>
      <c r="C182" s="332">
        <v>234690200</v>
      </c>
      <c r="D182" s="333">
        <v>130.41999816894531</v>
      </c>
      <c r="E182" s="197"/>
      <c r="F182" s="333">
        <v>139.92499986532306</v>
      </c>
      <c r="G182" s="200">
        <f t="shared" si="12"/>
        <v>-2.3144307280548948E-2</v>
      </c>
      <c r="H182" s="332">
        <v>7150824</v>
      </c>
      <c r="I182" s="333">
        <v>6.583320140838623</v>
      </c>
      <c r="J182" s="197"/>
      <c r="K182" s="333">
        <v>6.776132107419282</v>
      </c>
      <c r="L182" s="200">
        <f t="shared" si="13"/>
        <v>-1.3033240998220119E-2</v>
      </c>
      <c r="M182" s="332">
        <v>1363422</v>
      </c>
      <c r="N182" s="333">
        <v>62.571426391601563</v>
      </c>
      <c r="O182" s="197"/>
      <c r="P182" s="333">
        <v>70.15865866630044</v>
      </c>
      <c r="Q182" s="200">
        <f t="shared" si="14"/>
        <v>-2.5222574853445034E-2</v>
      </c>
      <c r="R182" s="332">
        <v>1138500</v>
      </c>
      <c r="S182" s="333">
        <v>37.779998779296875</v>
      </c>
      <c r="T182" s="197"/>
      <c r="U182" s="333">
        <v>41.634364105981575</v>
      </c>
      <c r="V182" s="200">
        <f t="shared" si="15"/>
        <v>-4.427017591805571E-2</v>
      </c>
      <c r="W182" s="332">
        <v>940256</v>
      </c>
      <c r="X182" s="333">
        <v>47.060001373291016</v>
      </c>
      <c r="Y182" s="197"/>
      <c r="Z182" s="333">
        <v>48.134304897250615</v>
      </c>
      <c r="AA182" s="200">
        <f t="shared" si="16"/>
        <v>-1.2589141335334508E-2</v>
      </c>
      <c r="AB182" s="332">
        <v>0</v>
      </c>
      <c r="AC182" s="333">
        <v>77.150001525878906</v>
      </c>
      <c r="AD182" s="197"/>
      <c r="AE182" s="333">
        <v>77.150001525878892</v>
      </c>
      <c r="AF182" s="200">
        <f t="shared" si="17"/>
        <v>0</v>
      </c>
    </row>
    <row r="183" spans="2:32" x14ac:dyDescent="0.3">
      <c r="B183" s="331">
        <v>40704.770833333336</v>
      </c>
      <c r="C183" s="332">
        <v>238629400</v>
      </c>
      <c r="D183" s="333">
        <v>127.59999847412109</v>
      </c>
      <c r="E183" s="197"/>
      <c r="F183" s="333">
        <v>136.89947876075024</v>
      </c>
      <c r="G183" s="200">
        <f t="shared" si="12"/>
        <v>-2.1622448508021197E-2</v>
      </c>
      <c r="H183" s="332">
        <v>15954661</v>
      </c>
      <c r="I183" s="333">
        <v>6.093325138092041</v>
      </c>
      <c r="J183" s="197"/>
      <c r="K183" s="333">
        <v>6.2717861543811919</v>
      </c>
      <c r="L183" s="200">
        <f t="shared" si="13"/>
        <v>-7.442976982191285E-2</v>
      </c>
      <c r="M183" s="332">
        <v>1088193</v>
      </c>
      <c r="N183" s="333">
        <v>60.571426391601563</v>
      </c>
      <c r="O183" s="197"/>
      <c r="P183" s="333">
        <v>67.916144384231359</v>
      </c>
      <c r="Q183" s="200">
        <f t="shared" si="14"/>
        <v>-3.1963471433159474E-2</v>
      </c>
      <c r="R183" s="332">
        <v>1283500</v>
      </c>
      <c r="S183" s="333">
        <v>36.970001220703125</v>
      </c>
      <c r="T183" s="197"/>
      <c r="U183" s="333">
        <v>40.741729527657327</v>
      </c>
      <c r="V183" s="200">
        <f t="shared" si="15"/>
        <v>-2.1439851370181118E-2</v>
      </c>
      <c r="W183" s="332">
        <v>927494</v>
      </c>
      <c r="X183" s="333">
        <v>45.5</v>
      </c>
      <c r="Y183" s="197"/>
      <c r="Z183" s="333">
        <v>46.538691222136343</v>
      </c>
      <c r="AA183" s="200">
        <f t="shared" si="16"/>
        <v>-3.3149199485072667E-2</v>
      </c>
      <c r="AB183" s="332">
        <v>200</v>
      </c>
      <c r="AC183" s="333">
        <v>74.650001525878906</v>
      </c>
      <c r="AD183" s="197"/>
      <c r="AE183" s="333">
        <v>74.650001525878892</v>
      </c>
      <c r="AF183" s="200">
        <f t="shared" si="17"/>
        <v>-3.2404406358454985E-2</v>
      </c>
    </row>
    <row r="184" spans="2:32" x14ac:dyDescent="0.3">
      <c r="B184" s="331">
        <v>40711.770833333336</v>
      </c>
      <c r="C184" s="332">
        <v>233284900</v>
      </c>
      <c r="D184" s="333">
        <v>127.05000305175781</v>
      </c>
      <c r="E184" s="333">
        <v>0.628</v>
      </c>
      <c r="F184" s="333">
        <v>136.98316830735777</v>
      </c>
      <c r="G184" s="200">
        <f t="shared" si="12"/>
        <v>6.1132114866402354E-4</v>
      </c>
      <c r="H184" s="332">
        <v>13097950</v>
      </c>
      <c r="I184" s="333">
        <v>6.109130859375</v>
      </c>
      <c r="J184" s="197"/>
      <c r="K184" s="333">
        <v>6.2880547928759212</v>
      </c>
      <c r="L184" s="200">
        <f t="shared" si="13"/>
        <v>2.5939402419459245E-3</v>
      </c>
      <c r="M184" s="332">
        <v>2521323</v>
      </c>
      <c r="N184" s="333">
        <v>59.428569793701172</v>
      </c>
      <c r="O184" s="197"/>
      <c r="P184" s="333">
        <v>66.634708262657099</v>
      </c>
      <c r="Q184" s="200">
        <f t="shared" si="14"/>
        <v>-1.8867916210387525E-2</v>
      </c>
      <c r="R184" s="332">
        <v>1710400</v>
      </c>
      <c r="S184" s="333">
        <v>38.869998931884766</v>
      </c>
      <c r="T184" s="197"/>
      <c r="U184" s="333">
        <v>42.83556751240647</v>
      </c>
      <c r="V184" s="200">
        <f t="shared" si="15"/>
        <v>5.1392957761593028E-2</v>
      </c>
      <c r="W184" s="332">
        <v>1359904</v>
      </c>
      <c r="X184" s="333">
        <v>45.560001373291016</v>
      </c>
      <c r="Y184" s="197"/>
      <c r="Z184" s="333">
        <v>46.600062329487869</v>
      </c>
      <c r="AA184" s="200">
        <f t="shared" si="16"/>
        <v>1.3187115009012373E-3</v>
      </c>
      <c r="AB184" s="332">
        <v>21200</v>
      </c>
      <c r="AC184" s="333">
        <v>74.650001525878906</v>
      </c>
      <c r="AD184" s="197"/>
      <c r="AE184" s="333">
        <v>74.650001525878892</v>
      </c>
      <c r="AF184" s="200">
        <f t="shared" si="17"/>
        <v>0</v>
      </c>
    </row>
    <row r="185" spans="2:32" x14ac:dyDescent="0.3">
      <c r="B185" s="331">
        <v>40718.770833333336</v>
      </c>
      <c r="C185" s="332">
        <v>226129300</v>
      </c>
      <c r="D185" s="333">
        <v>126.80999755859375</v>
      </c>
      <c r="E185" s="197"/>
      <c r="F185" s="333">
        <v>136.72439843663696</v>
      </c>
      <c r="G185" s="200">
        <f t="shared" si="12"/>
        <v>-1.8890632617007963E-3</v>
      </c>
      <c r="H185" s="332">
        <v>11405459</v>
      </c>
      <c r="I185" s="333">
        <v>6.3225159645080566</v>
      </c>
      <c r="J185" s="197"/>
      <c r="K185" s="333">
        <v>6.5076895108000228</v>
      </c>
      <c r="L185" s="200">
        <f t="shared" si="13"/>
        <v>3.4928881054429928E-2</v>
      </c>
      <c r="M185" s="332">
        <v>672234</v>
      </c>
      <c r="N185" s="333">
        <v>57.857143402099609</v>
      </c>
      <c r="O185" s="197"/>
      <c r="P185" s="333">
        <v>64.872735199463705</v>
      </c>
      <c r="Q185" s="200">
        <f t="shared" si="14"/>
        <v>-2.6442271739948842E-2</v>
      </c>
      <c r="R185" s="332">
        <v>1045000</v>
      </c>
      <c r="S185" s="333">
        <v>38.330001831054688</v>
      </c>
      <c r="T185" s="197"/>
      <c r="U185" s="333">
        <v>42.24047919481621</v>
      </c>
      <c r="V185" s="200">
        <f t="shared" si="15"/>
        <v>-1.3892387848437049E-2</v>
      </c>
      <c r="W185" s="332">
        <v>955135</v>
      </c>
      <c r="X185" s="333">
        <v>44.340000152587891</v>
      </c>
      <c r="Y185" s="197"/>
      <c r="Z185" s="333">
        <v>45.352210459137716</v>
      </c>
      <c r="AA185" s="200">
        <f t="shared" si="16"/>
        <v>-2.6777901315392261E-2</v>
      </c>
      <c r="AB185" s="332">
        <v>0</v>
      </c>
      <c r="AC185" s="333">
        <v>74.650001525878906</v>
      </c>
      <c r="AD185" s="197"/>
      <c r="AE185" s="333">
        <v>74.650001525878892</v>
      </c>
      <c r="AF185" s="200">
        <f t="shared" si="17"/>
        <v>0</v>
      </c>
    </row>
    <row r="186" spans="2:32" x14ac:dyDescent="0.3">
      <c r="B186" s="331">
        <v>40725.770833333336</v>
      </c>
      <c r="C186" s="332">
        <v>202385700</v>
      </c>
      <c r="D186" s="333">
        <v>133.91999816894531</v>
      </c>
      <c r="E186" s="197"/>
      <c r="F186" s="333">
        <v>144.39028105669826</v>
      </c>
      <c r="G186" s="200">
        <f t="shared" si="12"/>
        <v>5.6068139320532007E-2</v>
      </c>
      <c r="H186" s="332">
        <v>7474239</v>
      </c>
      <c r="I186" s="333">
        <v>6.8441238403320313</v>
      </c>
      <c r="J186" s="197"/>
      <c r="K186" s="333">
        <v>7.0445742132357996</v>
      </c>
      <c r="L186" s="200">
        <f t="shared" si="13"/>
        <v>8.2500048833733519E-2</v>
      </c>
      <c r="M186" s="332">
        <v>1039108</v>
      </c>
      <c r="N186" s="333">
        <v>60.809524536132813</v>
      </c>
      <c r="O186" s="197"/>
      <c r="P186" s="333">
        <v>68.183113629054077</v>
      </c>
      <c r="Q186" s="200">
        <f t="shared" si="14"/>
        <v>5.1028809243389706E-2</v>
      </c>
      <c r="R186" s="332">
        <v>1266100</v>
      </c>
      <c r="S186" s="333">
        <v>39.720001220703125</v>
      </c>
      <c r="T186" s="197"/>
      <c r="U186" s="333">
        <v>43.772288156319618</v>
      </c>
      <c r="V186" s="200">
        <f t="shared" si="15"/>
        <v>3.6264005302558022E-2</v>
      </c>
      <c r="W186" s="332">
        <v>1237735</v>
      </c>
      <c r="X186" s="333">
        <v>44.924999237060547</v>
      </c>
      <c r="Y186" s="197"/>
      <c r="Z186" s="333">
        <v>45.950564124137834</v>
      </c>
      <c r="AA186" s="200">
        <f t="shared" si="16"/>
        <v>1.3193484042839154E-2</v>
      </c>
      <c r="AB186" s="332">
        <v>0</v>
      </c>
      <c r="AC186" s="333">
        <v>75.849998474121094</v>
      </c>
      <c r="AD186" s="197"/>
      <c r="AE186" s="333">
        <v>75.84999847412108</v>
      </c>
      <c r="AF186" s="200">
        <f t="shared" si="17"/>
        <v>1.607497553534798E-2</v>
      </c>
    </row>
    <row r="187" spans="2:32" x14ac:dyDescent="0.3">
      <c r="B187" s="331">
        <v>40732.770833333336</v>
      </c>
      <c r="C187" s="332">
        <v>194100500</v>
      </c>
      <c r="D187" s="333">
        <v>134.39999389648438</v>
      </c>
      <c r="E187" s="197"/>
      <c r="F187" s="333">
        <v>144.90780434637114</v>
      </c>
      <c r="G187" s="200">
        <f t="shared" si="12"/>
        <v>3.5841975366033285E-3</v>
      </c>
      <c r="H187" s="332">
        <v>7922542</v>
      </c>
      <c r="I187" s="333">
        <v>6.6149330139160156</v>
      </c>
      <c r="J187" s="197"/>
      <c r="K187" s="333">
        <v>6.8086708568169687</v>
      </c>
      <c r="L187" s="200">
        <f t="shared" si="13"/>
        <v>-3.3487241283596703E-2</v>
      </c>
      <c r="M187" s="332">
        <v>1396178</v>
      </c>
      <c r="N187" s="333">
        <v>57.809524536132813</v>
      </c>
      <c r="O187" s="197"/>
      <c r="P187" s="333">
        <v>64.819342205950463</v>
      </c>
      <c r="Q187" s="200">
        <f t="shared" si="14"/>
        <v>-4.933437685764841E-2</v>
      </c>
      <c r="R187" s="332">
        <v>1875100</v>
      </c>
      <c r="S187" s="333">
        <v>38.029998779296875</v>
      </c>
      <c r="T187" s="197"/>
      <c r="U187" s="333">
        <v>41.90986943585996</v>
      </c>
      <c r="V187" s="200">
        <f t="shared" si="15"/>
        <v>-4.2547895001709524E-2</v>
      </c>
      <c r="W187" s="332">
        <v>974577</v>
      </c>
      <c r="X187" s="333">
        <v>42.900001525878906</v>
      </c>
      <c r="Y187" s="197"/>
      <c r="Z187" s="333">
        <v>43.879338998726517</v>
      </c>
      <c r="AA187" s="200">
        <f t="shared" si="16"/>
        <v>-4.5075075026626332E-2</v>
      </c>
      <c r="AB187" s="332">
        <v>400</v>
      </c>
      <c r="AC187" s="333">
        <v>71.5</v>
      </c>
      <c r="AD187" s="197"/>
      <c r="AE187" s="333">
        <v>71.499999999999986</v>
      </c>
      <c r="AF187" s="200">
        <f t="shared" si="17"/>
        <v>-5.7350013996443905E-2</v>
      </c>
    </row>
    <row r="188" spans="2:32" x14ac:dyDescent="0.3">
      <c r="B188" s="331">
        <v>40739.770833333336</v>
      </c>
      <c r="C188" s="332">
        <v>220012800</v>
      </c>
      <c r="D188" s="333">
        <v>131.69000244140625</v>
      </c>
      <c r="E188" s="197"/>
      <c r="F188" s="333">
        <v>141.98593731224571</v>
      </c>
      <c r="G188" s="200">
        <f t="shared" si="12"/>
        <v>-2.0163627813594709E-2</v>
      </c>
      <c r="H188" s="332">
        <v>13100607</v>
      </c>
      <c r="I188" s="333">
        <v>6.1881628036499023</v>
      </c>
      <c r="J188" s="197"/>
      <c r="K188" s="333">
        <v>6.3694014209687664</v>
      </c>
      <c r="L188" s="200">
        <f t="shared" si="13"/>
        <v>-6.4516180189323924E-2</v>
      </c>
      <c r="M188" s="332">
        <v>1513340</v>
      </c>
      <c r="N188" s="333">
        <v>53.809524536132813</v>
      </c>
      <c r="O188" s="197"/>
      <c r="P188" s="333">
        <v>60.334313641812294</v>
      </c>
      <c r="Q188" s="200">
        <f t="shared" si="14"/>
        <v>-6.9192750365899891E-2</v>
      </c>
      <c r="R188" s="332">
        <v>1799900</v>
      </c>
      <c r="S188" s="333">
        <v>35.669998168945313</v>
      </c>
      <c r="T188" s="197"/>
      <c r="U188" s="333">
        <v>39.309098449187516</v>
      </c>
      <c r="V188" s="200">
        <f t="shared" si="15"/>
        <v>-6.2056289405834075E-2</v>
      </c>
      <c r="W188" s="332">
        <v>712474</v>
      </c>
      <c r="X188" s="333">
        <v>41.224990844726563</v>
      </c>
      <c r="Y188" s="197"/>
      <c r="Z188" s="333">
        <v>42.166090539739059</v>
      </c>
      <c r="AA188" s="200">
        <f t="shared" si="16"/>
        <v>-3.9044536633452531E-2</v>
      </c>
      <c r="AB188" s="332">
        <v>0</v>
      </c>
      <c r="AC188" s="333">
        <v>71</v>
      </c>
      <c r="AD188" s="197"/>
      <c r="AE188" s="333">
        <v>70.999999999999986</v>
      </c>
      <c r="AF188" s="200">
        <f t="shared" si="17"/>
        <v>-6.9930069930069783E-3</v>
      </c>
    </row>
    <row r="189" spans="2:32" x14ac:dyDescent="0.3">
      <c r="B189" s="331">
        <v>40746.770833333336</v>
      </c>
      <c r="C189" s="332">
        <v>126019400</v>
      </c>
      <c r="D189" s="333">
        <v>134.58000183105469</v>
      </c>
      <c r="E189" s="197"/>
      <c r="F189" s="333">
        <v>145.10188586235398</v>
      </c>
      <c r="G189" s="200">
        <f t="shared" si="12"/>
        <v>2.1945472974945979E-2</v>
      </c>
      <c r="H189" s="332">
        <v>35466766</v>
      </c>
      <c r="I189" s="333">
        <v>5.9273591041564941</v>
      </c>
      <c r="J189" s="197"/>
      <c r="K189" s="333">
        <v>6.1009593151522488</v>
      </c>
      <c r="L189" s="200">
        <f t="shared" si="13"/>
        <v>-4.2145578222276381E-2</v>
      </c>
      <c r="M189" s="332">
        <v>1404031</v>
      </c>
      <c r="N189" s="333">
        <v>54.761905670166016</v>
      </c>
      <c r="O189" s="197"/>
      <c r="P189" s="333">
        <v>61.402177789333592</v>
      </c>
      <c r="Q189" s="200">
        <f t="shared" si="14"/>
        <v>1.7699118181088602E-2</v>
      </c>
      <c r="R189" s="332">
        <v>1050000</v>
      </c>
      <c r="S189" s="333">
        <v>35.849998474121094</v>
      </c>
      <c r="T189" s="197"/>
      <c r="U189" s="333">
        <v>39.507462623010177</v>
      </c>
      <c r="V189" s="200">
        <f t="shared" si="15"/>
        <v>5.0462661736969672E-3</v>
      </c>
      <c r="W189" s="332">
        <v>721258</v>
      </c>
      <c r="X189" s="333">
        <v>42.060001373291016</v>
      </c>
      <c r="Y189" s="197"/>
      <c r="Z189" s="333">
        <v>43.020163004708159</v>
      </c>
      <c r="AA189" s="200">
        <f t="shared" si="16"/>
        <v>2.0254959709015141E-2</v>
      </c>
      <c r="AB189" s="332">
        <v>700</v>
      </c>
      <c r="AC189" s="333">
        <v>70</v>
      </c>
      <c r="AD189" s="197"/>
      <c r="AE189" s="333">
        <v>69.999999999999986</v>
      </c>
      <c r="AF189" s="200">
        <f t="shared" si="17"/>
        <v>-1.4084507042253502E-2</v>
      </c>
    </row>
    <row r="190" spans="2:32" x14ac:dyDescent="0.3">
      <c r="B190" s="331">
        <v>40753.770833333336</v>
      </c>
      <c r="C190" s="332">
        <v>307038400</v>
      </c>
      <c r="D190" s="333">
        <v>129.33000183105469</v>
      </c>
      <c r="E190" s="197"/>
      <c r="F190" s="333">
        <v>139.44142449801498</v>
      </c>
      <c r="G190" s="200">
        <f t="shared" si="12"/>
        <v>-3.9010253593179334E-2</v>
      </c>
      <c r="H190" s="332">
        <v>33037606</v>
      </c>
      <c r="I190" s="333">
        <v>5.5638141632080078</v>
      </c>
      <c r="J190" s="197"/>
      <c r="K190" s="333">
        <v>5.7267668872966784</v>
      </c>
      <c r="L190" s="200">
        <f t="shared" si="13"/>
        <v>-6.133337538020156E-2</v>
      </c>
      <c r="M190" s="332">
        <v>1443044</v>
      </c>
      <c r="N190" s="333">
        <v>51.619045257568359</v>
      </c>
      <c r="O190" s="197"/>
      <c r="P190" s="333">
        <v>57.878223108433708</v>
      </c>
      <c r="Q190" s="200">
        <f t="shared" si="14"/>
        <v>-5.7391363104258519E-2</v>
      </c>
      <c r="R190" s="332">
        <v>2365600</v>
      </c>
      <c r="S190" s="333">
        <v>34.290000915527344</v>
      </c>
      <c r="T190" s="197"/>
      <c r="U190" s="333">
        <v>37.78831205505076</v>
      </c>
      <c r="V190" s="200">
        <f t="shared" si="15"/>
        <v>-4.3514578102976875E-2</v>
      </c>
      <c r="W190" s="332">
        <v>1572188</v>
      </c>
      <c r="X190" s="333">
        <v>38.450000762939453</v>
      </c>
      <c r="Y190" s="197"/>
      <c r="Z190" s="333">
        <v>39.327751934007608</v>
      </c>
      <c r="AA190" s="200">
        <f t="shared" si="16"/>
        <v>-8.5829778708566229E-2</v>
      </c>
      <c r="AB190" s="332">
        <v>1500</v>
      </c>
      <c r="AC190" s="333">
        <v>68.120002746582031</v>
      </c>
      <c r="AD190" s="197"/>
      <c r="AE190" s="333">
        <v>68.120002746582017</v>
      </c>
      <c r="AF190" s="200">
        <f t="shared" si="17"/>
        <v>-2.6857103620256728E-2</v>
      </c>
    </row>
    <row r="191" spans="2:32" x14ac:dyDescent="0.3">
      <c r="B191" s="331">
        <v>40760.770833333336</v>
      </c>
      <c r="C191" s="332">
        <v>655619200</v>
      </c>
      <c r="D191" s="333">
        <v>120.08000183105469</v>
      </c>
      <c r="E191" s="197"/>
      <c r="F191" s="333">
        <v>129.46823066560816</v>
      </c>
      <c r="G191" s="200">
        <f t="shared" si="12"/>
        <v>-7.1522460906506269E-2</v>
      </c>
      <c r="H191" s="332">
        <v>31946522</v>
      </c>
      <c r="I191" s="333">
        <v>4.5680179595947266</v>
      </c>
      <c r="J191" s="197"/>
      <c r="K191" s="333">
        <v>4.7018058519230239</v>
      </c>
      <c r="L191" s="200">
        <f t="shared" si="13"/>
        <v>-0.17897725811875809</v>
      </c>
      <c r="M191" s="332">
        <v>2627138</v>
      </c>
      <c r="N191" s="333">
        <v>45.857143402099609</v>
      </c>
      <c r="O191" s="197"/>
      <c r="P191" s="333">
        <v>51.417649507049191</v>
      </c>
      <c r="Q191" s="200">
        <f t="shared" si="14"/>
        <v>-0.11162356503724657</v>
      </c>
      <c r="R191" s="332">
        <v>6151200</v>
      </c>
      <c r="S191" s="333">
        <v>33.75</v>
      </c>
      <c r="T191" s="197"/>
      <c r="U191" s="333">
        <v>37.193219533582784</v>
      </c>
      <c r="V191" s="200">
        <f t="shared" si="15"/>
        <v>-1.5748057775140434E-2</v>
      </c>
      <c r="W191" s="332">
        <v>2608381</v>
      </c>
      <c r="X191" s="333">
        <v>34.615001678466797</v>
      </c>
      <c r="Y191" s="197"/>
      <c r="Z191" s="333">
        <v>35.405206038854892</v>
      </c>
      <c r="AA191" s="200">
        <f t="shared" si="16"/>
        <v>-9.9739896186662014E-2</v>
      </c>
      <c r="AB191" s="332">
        <v>0</v>
      </c>
      <c r="AC191" s="333">
        <v>68.120002746582031</v>
      </c>
      <c r="AD191" s="197"/>
      <c r="AE191" s="333">
        <v>68.120002746582017</v>
      </c>
      <c r="AF191" s="200">
        <f t="shared" si="17"/>
        <v>0</v>
      </c>
    </row>
    <row r="192" spans="2:32" x14ac:dyDescent="0.3">
      <c r="B192" s="331">
        <v>40767.770833333336</v>
      </c>
      <c r="C192" s="332">
        <v>313731600</v>
      </c>
      <c r="D192" s="333">
        <v>118.12000274658203</v>
      </c>
      <c r="E192" s="197"/>
      <c r="F192" s="333">
        <v>127.35499274336105</v>
      </c>
      <c r="G192" s="200">
        <f t="shared" si="12"/>
        <v>-1.6322443825660948E-2</v>
      </c>
      <c r="H192" s="332">
        <v>13970893</v>
      </c>
      <c r="I192" s="333">
        <v>4.0780229568481445</v>
      </c>
      <c r="J192" s="197"/>
      <c r="K192" s="333">
        <v>4.197459898884933</v>
      </c>
      <c r="L192" s="200">
        <f t="shared" si="13"/>
        <v>-0.10726643526376467</v>
      </c>
      <c r="M192" s="332">
        <v>2815829</v>
      </c>
      <c r="N192" s="333">
        <v>45.714286804199219</v>
      </c>
      <c r="O192" s="197"/>
      <c r="P192" s="333">
        <v>51.257470526509472</v>
      </c>
      <c r="Q192" s="200">
        <f t="shared" si="14"/>
        <v>-3.1152528766947851E-3</v>
      </c>
      <c r="R192" s="332">
        <v>2641300</v>
      </c>
      <c r="S192" s="333">
        <v>30.25</v>
      </c>
      <c r="T192" s="197"/>
      <c r="U192" s="333">
        <v>33.33614491528531</v>
      </c>
      <c r="V192" s="200">
        <f t="shared" si="15"/>
        <v>-0.10370370370370374</v>
      </c>
      <c r="W192" s="332">
        <v>1484252</v>
      </c>
      <c r="X192" s="333">
        <v>33.494998931884766</v>
      </c>
      <c r="Y192" s="197"/>
      <c r="Z192" s="333">
        <v>34.259635445643333</v>
      </c>
      <c r="AA192" s="200">
        <f t="shared" si="16"/>
        <v>-3.2355992843379311E-2</v>
      </c>
      <c r="AB192" s="332">
        <v>0</v>
      </c>
      <c r="AC192" s="333">
        <v>68.120002746582031</v>
      </c>
      <c r="AD192" s="197"/>
      <c r="AE192" s="333">
        <v>68.120002746582017</v>
      </c>
      <c r="AF192" s="200">
        <f t="shared" si="17"/>
        <v>0</v>
      </c>
    </row>
    <row r="193" spans="2:32" x14ac:dyDescent="0.3">
      <c r="B193" s="331">
        <v>40774.770833333336</v>
      </c>
      <c r="C193" s="332">
        <v>428281300</v>
      </c>
      <c r="D193" s="333">
        <v>112.63999938964844</v>
      </c>
      <c r="E193" s="197"/>
      <c r="F193" s="333">
        <v>121.44654564271902</v>
      </c>
      <c r="G193" s="200">
        <f t="shared" si="12"/>
        <v>-4.6393525478411579E-2</v>
      </c>
      <c r="H193" s="332">
        <v>9877586</v>
      </c>
      <c r="I193" s="333">
        <v>3.9357659816741943</v>
      </c>
      <c r="J193" s="197"/>
      <c r="K193" s="333">
        <v>4.0510365082008279</v>
      </c>
      <c r="L193" s="200">
        <f t="shared" si="13"/>
        <v>-3.4883809306433866E-2</v>
      </c>
      <c r="M193" s="332">
        <v>2567678</v>
      </c>
      <c r="N193" s="333">
        <v>41.866664886474609</v>
      </c>
      <c r="O193" s="197"/>
      <c r="P193" s="333">
        <v>46.943296975259742</v>
      </c>
      <c r="Q193" s="200">
        <f t="shared" si="14"/>
        <v>-8.4166727443534595E-2</v>
      </c>
      <c r="R193" s="332">
        <v>2257800</v>
      </c>
      <c r="S193" s="333">
        <v>29.559999465942383</v>
      </c>
      <c r="T193" s="197"/>
      <c r="U193" s="333">
        <v>32.575749616278067</v>
      </c>
      <c r="V193" s="200">
        <f t="shared" si="15"/>
        <v>-2.2809935010169258E-2</v>
      </c>
      <c r="W193" s="332">
        <v>2646730</v>
      </c>
      <c r="X193" s="333">
        <v>28.5</v>
      </c>
      <c r="Y193" s="197"/>
      <c r="Z193" s="333">
        <v>29.150608787491997</v>
      </c>
      <c r="AA193" s="200">
        <f t="shared" si="16"/>
        <v>-0.1491267082003066</v>
      </c>
      <c r="AB193" s="332">
        <v>0</v>
      </c>
      <c r="AC193" s="333">
        <v>54.700000762939453</v>
      </c>
      <c r="AD193" s="197"/>
      <c r="AE193" s="333">
        <v>54.700000762939446</v>
      </c>
      <c r="AF193" s="200">
        <f t="shared" si="17"/>
        <v>-0.19700530596816412</v>
      </c>
    </row>
    <row r="194" spans="2:32" x14ac:dyDescent="0.3">
      <c r="B194" s="331">
        <v>40781.770833333336</v>
      </c>
      <c r="C194" s="332">
        <v>314495900</v>
      </c>
      <c r="D194" s="333">
        <v>117.97000122070313</v>
      </c>
      <c r="E194" s="197"/>
      <c r="F194" s="333">
        <v>127.19326363063165</v>
      </c>
      <c r="G194" s="200">
        <f t="shared" si="12"/>
        <v>4.7318908557669292E-2</v>
      </c>
      <c r="H194" s="332">
        <v>22681603</v>
      </c>
      <c r="I194" s="333">
        <v>3.9515728950500488</v>
      </c>
      <c r="J194" s="197"/>
      <c r="K194" s="333">
        <v>4.0673063737024133</v>
      </c>
      <c r="L194" s="200">
        <f t="shared" si="13"/>
        <v>4.016222877441189E-3</v>
      </c>
      <c r="M194" s="332">
        <v>1454233</v>
      </c>
      <c r="N194" s="333">
        <v>44.066665649414063</v>
      </c>
      <c r="O194" s="197"/>
      <c r="P194" s="333">
        <v>49.410063540987046</v>
      </c>
      <c r="Q194" s="200">
        <f t="shared" si="14"/>
        <v>5.2547791158072066E-2</v>
      </c>
      <c r="R194" s="332">
        <v>1534400</v>
      </c>
      <c r="S194" s="333">
        <v>34.490001678466797</v>
      </c>
      <c r="T194" s="333">
        <v>0.25</v>
      </c>
      <c r="U194" s="333">
        <v>38.284222489607401</v>
      </c>
      <c r="V194" s="200">
        <f t="shared" si="15"/>
        <v>0.17523688450984465</v>
      </c>
      <c r="W194" s="332">
        <v>992495</v>
      </c>
      <c r="X194" s="333">
        <v>27.614999771118164</v>
      </c>
      <c r="Y194" s="197"/>
      <c r="Z194" s="333">
        <v>28.245405438405143</v>
      </c>
      <c r="AA194" s="200">
        <f t="shared" si="16"/>
        <v>-3.1052639609889021E-2</v>
      </c>
      <c r="AB194" s="332">
        <v>0</v>
      </c>
      <c r="AC194" s="333">
        <v>56</v>
      </c>
      <c r="AD194" s="197"/>
      <c r="AE194" s="333">
        <v>55.999999999999986</v>
      </c>
      <c r="AF194" s="200">
        <f t="shared" si="17"/>
        <v>2.3765982064507085E-2</v>
      </c>
    </row>
    <row r="195" spans="2:32" x14ac:dyDescent="0.3">
      <c r="B195" s="331">
        <v>40788.770833333336</v>
      </c>
      <c r="C195" s="332">
        <v>255517200</v>
      </c>
      <c r="D195" s="333">
        <v>117.84999847412109</v>
      </c>
      <c r="E195" s="197"/>
      <c r="F195" s="333">
        <v>127.06387869527123</v>
      </c>
      <c r="G195" s="200">
        <f t="shared" si="12"/>
        <v>-1.0172310361982184E-3</v>
      </c>
      <c r="H195" s="332">
        <v>12400000</v>
      </c>
      <c r="I195" s="333">
        <v>3.9910879135131836</v>
      </c>
      <c r="J195" s="197"/>
      <c r="K195" s="333">
        <v>4.107978706143351</v>
      </c>
      <c r="L195" s="200">
        <f t="shared" si="13"/>
        <v>9.9998202013766857E-3</v>
      </c>
      <c r="M195" s="332">
        <v>1713846</v>
      </c>
      <c r="N195" s="333">
        <v>46.24761962890625</v>
      </c>
      <c r="O195" s="197"/>
      <c r="P195" s="333">
        <v>51.855473764760355</v>
      </c>
      <c r="Q195" s="200">
        <f t="shared" si="14"/>
        <v>4.9492148937326785E-2</v>
      </c>
      <c r="R195" s="332">
        <v>1820500</v>
      </c>
      <c r="S195" s="333">
        <v>32.470001220703125</v>
      </c>
      <c r="T195" s="197"/>
      <c r="U195" s="333">
        <v>36.042003203128928</v>
      </c>
      <c r="V195" s="200">
        <f t="shared" si="15"/>
        <v>-5.8567711204978612E-2</v>
      </c>
      <c r="W195" s="332">
        <v>1241892</v>
      </c>
      <c r="X195" s="333">
        <v>28.239999771118164</v>
      </c>
      <c r="Y195" s="197"/>
      <c r="Z195" s="333">
        <v>28.884673174972949</v>
      </c>
      <c r="AA195" s="200">
        <f t="shared" si="16"/>
        <v>2.2632627382951132E-2</v>
      </c>
      <c r="AB195" s="332">
        <v>0</v>
      </c>
      <c r="AC195" s="333">
        <v>56</v>
      </c>
      <c r="AD195" s="197"/>
      <c r="AE195" s="333">
        <v>55.999999999999986</v>
      </c>
      <c r="AF195" s="200">
        <f t="shared" si="17"/>
        <v>0</v>
      </c>
    </row>
    <row r="196" spans="2:32" x14ac:dyDescent="0.3">
      <c r="B196" s="331">
        <v>40795.770833333336</v>
      </c>
      <c r="C196" s="332">
        <v>380195100</v>
      </c>
      <c r="D196" s="333">
        <v>115.91999816894531</v>
      </c>
      <c r="E196" s="197"/>
      <c r="F196" s="333">
        <v>124.98298495039313</v>
      </c>
      <c r="G196" s="200">
        <f t="shared" si="12"/>
        <v>-1.6376752907634518E-2</v>
      </c>
      <c r="H196" s="332">
        <v>25222616</v>
      </c>
      <c r="I196" s="333">
        <v>3.9120569229125977</v>
      </c>
      <c r="J196" s="197"/>
      <c r="K196" s="333">
        <v>4.0266330596559907</v>
      </c>
      <c r="L196" s="200">
        <f t="shared" si="13"/>
        <v>-1.980186663716399E-2</v>
      </c>
      <c r="M196" s="332">
        <v>1636118</v>
      </c>
      <c r="N196" s="333">
        <v>43.419048309326172</v>
      </c>
      <c r="O196" s="197"/>
      <c r="P196" s="333">
        <v>48.68391797375569</v>
      </c>
      <c r="Q196" s="200">
        <f t="shared" si="14"/>
        <v>-6.1161446627452709E-2</v>
      </c>
      <c r="R196" s="332">
        <v>3392100</v>
      </c>
      <c r="S196" s="333">
        <v>31.809999465942383</v>
      </c>
      <c r="T196" s="197"/>
      <c r="U196" s="333">
        <v>35.30939511982556</v>
      </c>
      <c r="V196" s="200">
        <f t="shared" si="15"/>
        <v>-2.0326508467758186E-2</v>
      </c>
      <c r="W196" s="332">
        <v>1466721</v>
      </c>
      <c r="X196" s="333">
        <v>27.084999084472656</v>
      </c>
      <c r="Y196" s="197"/>
      <c r="Z196" s="333">
        <v>27.70330569547513</v>
      </c>
      <c r="AA196" s="200">
        <f t="shared" si="16"/>
        <v>-4.0899458073889949E-2</v>
      </c>
      <c r="AB196" s="332">
        <v>0</v>
      </c>
      <c r="AC196" s="333">
        <v>54.599998474121094</v>
      </c>
      <c r="AD196" s="197"/>
      <c r="AE196" s="333">
        <v>54.59999847412108</v>
      </c>
      <c r="AF196" s="200">
        <f t="shared" si="17"/>
        <v>-2.5000027247837564E-2</v>
      </c>
    </row>
    <row r="197" spans="2:32" x14ac:dyDescent="0.3">
      <c r="B197" s="331">
        <v>40802.770833333336</v>
      </c>
      <c r="C197" s="332">
        <v>284528300</v>
      </c>
      <c r="D197" s="333">
        <v>121.51999664306641</v>
      </c>
      <c r="E197" s="333">
        <v>0.625</v>
      </c>
      <c r="F197" s="333">
        <v>131.6946732086468</v>
      </c>
      <c r="G197" s="200">
        <f t="shared" ref="G197:G260" si="18">(F197/F196)-1</f>
        <v>5.3700815842393279E-2</v>
      </c>
      <c r="H197" s="332">
        <v>9886317</v>
      </c>
      <c r="I197" s="333">
        <v>3.8409290313720703</v>
      </c>
      <c r="J197" s="197"/>
      <c r="K197" s="333">
        <v>3.9534219778173654</v>
      </c>
      <c r="L197" s="200">
        <f t="shared" ref="L197:L260" si="19">(K197/K196)-1</f>
        <v>-1.8181711805862921E-2</v>
      </c>
      <c r="M197" s="332">
        <v>3345189</v>
      </c>
      <c r="N197" s="333">
        <v>45.085712432861328</v>
      </c>
      <c r="O197" s="197"/>
      <c r="P197" s="333">
        <v>50.552677023975555</v>
      </c>
      <c r="Q197" s="200">
        <f t="shared" ref="Q197:Q260" si="20">(P197/P196)-1</f>
        <v>3.8385551697529108E-2</v>
      </c>
      <c r="R197" s="332">
        <v>1624300</v>
      </c>
      <c r="S197" s="333">
        <v>33.180000305175781</v>
      </c>
      <c r="T197" s="197"/>
      <c r="U197" s="333">
        <v>36.830108787198505</v>
      </c>
      <c r="V197" s="200">
        <f t="shared" ref="V197:V260" si="21">(U197/U196)-1</f>
        <v>4.3068244647416654E-2</v>
      </c>
      <c r="W197" s="332">
        <v>2422571</v>
      </c>
      <c r="X197" s="333">
        <v>29.295000076293945</v>
      </c>
      <c r="Y197" s="197"/>
      <c r="Z197" s="333">
        <v>29.963757426441855</v>
      </c>
      <c r="AA197" s="200">
        <f t="shared" ref="AA197:AA260" si="22">(Z197/Z196)-1</f>
        <v>8.1595018147452736E-2</v>
      </c>
      <c r="AB197" s="332">
        <v>0</v>
      </c>
      <c r="AC197" s="333">
        <v>50.540000915527344</v>
      </c>
      <c r="AD197" s="197"/>
      <c r="AE197" s="333">
        <v>50.54000091552733</v>
      </c>
      <c r="AF197" s="200">
        <f t="shared" ref="AF197:AF260" si="23">(AE197/AE196)-1</f>
        <v>-7.4358931722646071E-2</v>
      </c>
    </row>
    <row r="198" spans="2:32" x14ac:dyDescent="0.3">
      <c r="B198" s="331">
        <v>40809.770833333336</v>
      </c>
      <c r="C198" s="332">
        <v>307242500</v>
      </c>
      <c r="D198" s="333">
        <v>113.54000091552734</v>
      </c>
      <c r="E198" s="197"/>
      <c r="F198" s="333">
        <v>123.04652509660011</v>
      </c>
      <c r="G198" s="200">
        <f t="shared" si="18"/>
        <v>-6.5668169420529554E-2</v>
      </c>
      <c r="H198" s="332">
        <v>24156585</v>
      </c>
      <c r="I198" s="333">
        <v>2.797713041305542</v>
      </c>
      <c r="J198" s="197"/>
      <c r="K198" s="333">
        <v>2.8796523275444401</v>
      </c>
      <c r="L198" s="200">
        <f t="shared" si="19"/>
        <v>-0.27160511989305525</v>
      </c>
      <c r="M198" s="332">
        <v>1424656</v>
      </c>
      <c r="N198" s="333">
        <v>42.114284515380859</v>
      </c>
      <c r="O198" s="197"/>
      <c r="P198" s="333">
        <v>47.220942252431186</v>
      </c>
      <c r="Q198" s="200">
        <f t="shared" si="20"/>
        <v>-6.5906198596846433E-2</v>
      </c>
      <c r="R198" s="332">
        <v>1938600</v>
      </c>
      <c r="S198" s="333">
        <v>28.879999160766602</v>
      </c>
      <c r="T198" s="197"/>
      <c r="U198" s="333">
        <v>32.057067543164408</v>
      </c>
      <c r="V198" s="200">
        <f t="shared" si="21"/>
        <v>-0.12959617555333214</v>
      </c>
      <c r="W198" s="332">
        <v>1460213</v>
      </c>
      <c r="X198" s="333">
        <v>25.745000839233398</v>
      </c>
      <c r="Y198" s="197"/>
      <c r="Z198" s="333">
        <v>26.332717463092834</v>
      </c>
      <c r="AA198" s="200">
        <f t="shared" si="22"/>
        <v>-0.12118106256409511</v>
      </c>
      <c r="AB198" s="332">
        <v>1200</v>
      </c>
      <c r="AC198" s="333">
        <v>48.5</v>
      </c>
      <c r="AD198" s="197"/>
      <c r="AE198" s="333">
        <v>48.499999999999986</v>
      </c>
      <c r="AF198" s="200">
        <f t="shared" si="23"/>
        <v>-4.0364085448613363E-2</v>
      </c>
    </row>
    <row r="199" spans="2:32" x14ac:dyDescent="0.3">
      <c r="B199" s="331">
        <v>40816.770833333336</v>
      </c>
      <c r="C199" s="332">
        <v>288392300</v>
      </c>
      <c r="D199" s="333">
        <v>113.15000152587891</v>
      </c>
      <c r="E199" s="197"/>
      <c r="F199" s="333">
        <v>122.62387167666806</v>
      </c>
      <c r="G199" s="200">
        <f t="shared" si="18"/>
        <v>-3.434907402709908E-3</v>
      </c>
      <c r="H199" s="332">
        <v>38082813</v>
      </c>
      <c r="I199" s="333">
        <v>2.4973940849304199</v>
      </c>
      <c r="J199" s="197"/>
      <c r="K199" s="333">
        <v>2.5705376438856131</v>
      </c>
      <c r="L199" s="200">
        <f t="shared" si="19"/>
        <v>-0.10734444596039749</v>
      </c>
      <c r="M199" s="332">
        <v>2605054</v>
      </c>
      <c r="N199" s="333">
        <v>46.380950927734375</v>
      </c>
      <c r="O199" s="197"/>
      <c r="P199" s="333">
        <v>52.004972435694789</v>
      </c>
      <c r="Q199" s="200">
        <f t="shared" si="20"/>
        <v>0.10131162054516807</v>
      </c>
      <c r="R199" s="332">
        <v>1673300</v>
      </c>
      <c r="S199" s="333">
        <v>27.559999465942383</v>
      </c>
      <c r="T199" s="197"/>
      <c r="U199" s="333">
        <v>30.591855610907096</v>
      </c>
      <c r="V199" s="200">
        <f t="shared" si="21"/>
        <v>-4.5706361952303487E-2</v>
      </c>
      <c r="W199" s="332">
        <v>1195964</v>
      </c>
      <c r="X199" s="333">
        <v>27.405000686645508</v>
      </c>
      <c r="Y199" s="197"/>
      <c r="Z199" s="333">
        <v>28.030612415345704</v>
      </c>
      <c r="AA199" s="200">
        <f t="shared" si="22"/>
        <v>6.4478531493477265E-2</v>
      </c>
      <c r="AB199" s="332">
        <v>0</v>
      </c>
      <c r="AC199" s="333">
        <v>53.599998474121094</v>
      </c>
      <c r="AD199" s="197"/>
      <c r="AE199" s="333">
        <v>53.59999847412108</v>
      </c>
      <c r="AF199" s="200">
        <f t="shared" si="23"/>
        <v>0.105154607713837</v>
      </c>
    </row>
    <row r="200" spans="2:32" x14ac:dyDescent="0.3">
      <c r="B200" s="331">
        <v>40823.770833333336</v>
      </c>
      <c r="C200" s="332">
        <v>312657900</v>
      </c>
      <c r="D200" s="333">
        <v>115.70999908447266</v>
      </c>
      <c r="E200" s="197"/>
      <c r="F200" s="333">
        <v>125.39821377021001</v>
      </c>
      <c r="G200" s="200">
        <f t="shared" si="18"/>
        <v>2.2624812408935213E-2</v>
      </c>
      <c r="H200" s="332">
        <v>14871041</v>
      </c>
      <c r="I200" s="333">
        <v>2.228687047958374</v>
      </c>
      <c r="J200" s="197"/>
      <c r="K200" s="333">
        <v>2.2939607280189884</v>
      </c>
      <c r="L200" s="200">
        <f t="shared" si="19"/>
        <v>-0.107594968128361</v>
      </c>
      <c r="M200" s="332">
        <v>2995706</v>
      </c>
      <c r="N200" s="333">
        <v>49.095237731933594</v>
      </c>
      <c r="O200" s="197"/>
      <c r="P200" s="333">
        <v>55.048385897718987</v>
      </c>
      <c r="Q200" s="200">
        <f t="shared" si="20"/>
        <v>5.8521585907721496E-2</v>
      </c>
      <c r="R200" s="332">
        <v>988900</v>
      </c>
      <c r="S200" s="333">
        <v>28.040000915527344</v>
      </c>
      <c r="T200" s="197"/>
      <c r="U200" s="333">
        <v>31.124661682143611</v>
      </c>
      <c r="V200" s="200">
        <f t="shared" si="21"/>
        <v>1.7416598653353654E-2</v>
      </c>
      <c r="W200" s="332">
        <v>1333109</v>
      </c>
      <c r="X200" s="333">
        <v>26.799999237060547</v>
      </c>
      <c r="Y200" s="197"/>
      <c r="Z200" s="333">
        <v>27.411799763671432</v>
      </c>
      <c r="AA200" s="200">
        <f t="shared" si="22"/>
        <v>-2.2076315797349255E-2</v>
      </c>
      <c r="AB200" s="332">
        <v>0</v>
      </c>
      <c r="AC200" s="333">
        <v>56.810001373291016</v>
      </c>
      <c r="AD200" s="197"/>
      <c r="AE200" s="333">
        <v>56.810001373291001</v>
      </c>
      <c r="AF200" s="200">
        <f t="shared" si="23"/>
        <v>5.9888115495371874E-2</v>
      </c>
    </row>
    <row r="201" spans="2:32" x14ac:dyDescent="0.3">
      <c r="B201" s="331">
        <v>40830.770833333336</v>
      </c>
      <c r="C201" s="332">
        <v>211397600</v>
      </c>
      <c r="D201" s="333">
        <v>122.56999969482422</v>
      </c>
      <c r="E201" s="197"/>
      <c r="F201" s="333">
        <v>132.83259135042789</v>
      </c>
      <c r="G201" s="200">
        <f t="shared" si="18"/>
        <v>5.9286152144409687E-2</v>
      </c>
      <c r="H201" s="332">
        <v>24859470</v>
      </c>
      <c r="I201" s="333">
        <v>2.9636790752410889</v>
      </c>
      <c r="J201" s="197"/>
      <c r="K201" s="333">
        <v>3.0504791667733824</v>
      </c>
      <c r="L201" s="200">
        <f t="shared" si="19"/>
        <v>0.3297870052935501</v>
      </c>
      <c r="M201" s="332">
        <v>828887</v>
      </c>
      <c r="N201" s="333">
        <v>51.428569793701172</v>
      </c>
      <c r="O201" s="197"/>
      <c r="P201" s="333">
        <v>57.664651134380726</v>
      </c>
      <c r="Q201" s="200">
        <f t="shared" si="20"/>
        <v>4.7526647584596127E-2</v>
      </c>
      <c r="R201" s="332">
        <v>725100</v>
      </c>
      <c r="S201" s="333">
        <v>32.119998931884766</v>
      </c>
      <c r="T201" s="197"/>
      <c r="U201" s="333">
        <v>35.653497408843641</v>
      </c>
      <c r="V201" s="200">
        <f t="shared" si="21"/>
        <v>0.14550634390664707</v>
      </c>
      <c r="W201" s="332">
        <v>1615329</v>
      </c>
      <c r="X201" s="333">
        <v>30.254999160766602</v>
      </c>
      <c r="Y201" s="197"/>
      <c r="Z201" s="333">
        <v>30.945671733382653</v>
      </c>
      <c r="AA201" s="200">
        <f t="shared" si="22"/>
        <v>0.12891791127099306</v>
      </c>
      <c r="AB201" s="332">
        <v>0</v>
      </c>
      <c r="AC201" s="333">
        <v>59.919998168945313</v>
      </c>
      <c r="AD201" s="197"/>
      <c r="AE201" s="333">
        <v>59.919998168945298</v>
      </c>
      <c r="AF201" s="200">
        <f t="shared" si="23"/>
        <v>5.4743825391218026E-2</v>
      </c>
    </row>
    <row r="202" spans="2:32" x14ac:dyDescent="0.3">
      <c r="B202" s="331">
        <v>40837.770833333336</v>
      </c>
      <c r="C202" s="332">
        <v>278999400</v>
      </c>
      <c r="D202" s="333">
        <v>123.97000122070313</v>
      </c>
      <c r="E202" s="197"/>
      <c r="F202" s="333">
        <v>134.34981278340553</v>
      </c>
      <c r="G202" s="200">
        <f t="shared" si="18"/>
        <v>1.1422057023453114E-2</v>
      </c>
      <c r="H202" s="332">
        <v>13794761</v>
      </c>
      <c r="I202" s="333">
        <v>2.7819070816040039</v>
      </c>
      <c r="J202" s="197"/>
      <c r="K202" s="333">
        <v>2.8633834436483392</v>
      </c>
      <c r="L202" s="200">
        <f t="shared" si="19"/>
        <v>-6.133322435469768E-2</v>
      </c>
      <c r="M202" s="332">
        <v>1262416</v>
      </c>
      <c r="N202" s="333">
        <v>52.190475463867188</v>
      </c>
      <c r="O202" s="197"/>
      <c r="P202" s="333">
        <v>58.518943307849071</v>
      </c>
      <c r="Q202" s="200">
        <f t="shared" si="20"/>
        <v>1.4814832946401069E-2</v>
      </c>
      <c r="R202" s="332">
        <v>1306800</v>
      </c>
      <c r="S202" s="333">
        <v>30.870000839233398</v>
      </c>
      <c r="T202" s="197"/>
      <c r="U202" s="333">
        <v>34.265987905748219</v>
      </c>
      <c r="V202" s="200">
        <f t="shared" si="21"/>
        <v>-3.8916504801328689E-2</v>
      </c>
      <c r="W202" s="332">
        <v>1131905</v>
      </c>
      <c r="X202" s="333">
        <v>30.100000381469727</v>
      </c>
      <c r="Y202" s="197"/>
      <c r="Z202" s="333">
        <v>30.787134583283638</v>
      </c>
      <c r="AA202" s="200">
        <f t="shared" si="22"/>
        <v>-5.1230799403844118E-3</v>
      </c>
      <c r="AB202" s="332">
        <v>0</v>
      </c>
      <c r="AC202" s="333">
        <v>59.919998168945313</v>
      </c>
      <c r="AD202" s="197"/>
      <c r="AE202" s="333">
        <v>59.919998168945298</v>
      </c>
      <c r="AF202" s="200">
        <f t="shared" si="23"/>
        <v>0</v>
      </c>
    </row>
    <row r="203" spans="2:32" x14ac:dyDescent="0.3">
      <c r="B203" s="331">
        <v>40844.770833333336</v>
      </c>
      <c r="C203" s="332">
        <v>225906500</v>
      </c>
      <c r="D203" s="333">
        <v>128.60000610351563</v>
      </c>
      <c r="E203" s="197"/>
      <c r="F203" s="333">
        <v>139.367480631006</v>
      </c>
      <c r="G203" s="200">
        <f t="shared" si="18"/>
        <v>3.7347784441574161E-2</v>
      </c>
      <c r="H203" s="332">
        <v>22851915</v>
      </c>
      <c r="I203" s="333">
        <v>3.5010929107666016</v>
      </c>
      <c r="J203" s="197"/>
      <c r="K203" s="333">
        <v>3.603632753105261</v>
      </c>
      <c r="L203" s="200">
        <f t="shared" si="19"/>
        <v>0.25852259190049098</v>
      </c>
      <c r="M203" s="332">
        <v>1070682</v>
      </c>
      <c r="N203" s="333">
        <v>55</v>
      </c>
      <c r="O203" s="197"/>
      <c r="P203" s="333">
        <v>61.669142756899738</v>
      </c>
      <c r="Q203" s="200">
        <f t="shared" si="20"/>
        <v>5.3832131460038513E-2</v>
      </c>
      <c r="R203" s="332">
        <v>1598500</v>
      </c>
      <c r="S203" s="333">
        <v>33.209999084472656</v>
      </c>
      <c r="T203" s="197"/>
      <c r="U203" s="333">
        <v>36.863407711093188</v>
      </c>
      <c r="V203" s="200">
        <f t="shared" si="21"/>
        <v>7.5801690366827046E-2</v>
      </c>
      <c r="W203" s="332">
        <v>1972272</v>
      </c>
      <c r="X203" s="333">
        <v>34.555000305175781</v>
      </c>
      <c r="Y203" s="197"/>
      <c r="Z203" s="333">
        <v>35.343834931503352</v>
      </c>
      <c r="AA203" s="200">
        <f t="shared" si="22"/>
        <v>0.14800664010784059</v>
      </c>
      <c r="AB203" s="332">
        <v>400</v>
      </c>
      <c r="AC203" s="333">
        <v>66</v>
      </c>
      <c r="AD203" s="197"/>
      <c r="AE203" s="333">
        <v>65.999999999999986</v>
      </c>
      <c r="AF203" s="200">
        <f t="shared" si="23"/>
        <v>0.10146865849214537</v>
      </c>
    </row>
    <row r="204" spans="2:32" x14ac:dyDescent="0.3">
      <c r="B204" s="331">
        <v>40851.770833333336</v>
      </c>
      <c r="C204" s="332">
        <v>249401600</v>
      </c>
      <c r="D204" s="333">
        <v>125.48000335693359</v>
      </c>
      <c r="E204" s="197"/>
      <c r="F204" s="333">
        <v>135.98624500335802</v>
      </c>
      <c r="G204" s="200">
        <f t="shared" si="18"/>
        <v>-2.4261295478248956E-2</v>
      </c>
      <c r="H204" s="332">
        <v>31405218</v>
      </c>
      <c r="I204" s="333">
        <v>3.6986720561981201</v>
      </c>
      <c r="J204" s="197"/>
      <c r="K204" s="333">
        <v>3.8069985871332608</v>
      </c>
      <c r="L204" s="200">
        <f t="shared" si="19"/>
        <v>5.643356245243325E-2</v>
      </c>
      <c r="M204" s="332">
        <v>1451277</v>
      </c>
      <c r="N204" s="333">
        <v>50.380950927734375</v>
      </c>
      <c r="O204" s="197"/>
      <c r="P204" s="333">
        <v>56.490000999832937</v>
      </c>
      <c r="Q204" s="200">
        <f t="shared" si="20"/>
        <v>-8.3982710404829519E-2</v>
      </c>
      <c r="R204" s="332">
        <v>1144200</v>
      </c>
      <c r="S204" s="333">
        <v>30.600000381469727</v>
      </c>
      <c r="T204" s="197"/>
      <c r="U204" s="333">
        <v>33.966284887647944</v>
      </c>
      <c r="V204" s="200">
        <f t="shared" si="21"/>
        <v>-7.8590749020021389E-2</v>
      </c>
      <c r="W204" s="332">
        <v>1736078</v>
      </c>
      <c r="X204" s="333">
        <v>32.799999237060547</v>
      </c>
      <c r="Y204" s="197"/>
      <c r="Z204" s="333">
        <v>33.548770034722381</v>
      </c>
      <c r="AA204" s="200">
        <f t="shared" si="22"/>
        <v>-5.0788628349465292E-2</v>
      </c>
      <c r="AB204" s="332">
        <v>0</v>
      </c>
      <c r="AC204" s="333">
        <v>60.700000762939453</v>
      </c>
      <c r="AD204" s="197"/>
      <c r="AE204" s="333">
        <v>60.700000762939432</v>
      </c>
      <c r="AF204" s="200">
        <f t="shared" si="23"/>
        <v>-8.0303018743341781E-2</v>
      </c>
    </row>
    <row r="205" spans="2:32" x14ac:dyDescent="0.3">
      <c r="B205" s="331">
        <v>40858.8125</v>
      </c>
      <c r="C205" s="332">
        <v>189924400</v>
      </c>
      <c r="D205" s="333">
        <v>126.66000366210938</v>
      </c>
      <c r="E205" s="197"/>
      <c r="F205" s="333">
        <v>137.26504486238593</v>
      </c>
      <c r="G205" s="200">
        <f t="shared" si="18"/>
        <v>9.4038912464737834E-3</v>
      </c>
      <c r="H205" s="332">
        <v>12423029</v>
      </c>
      <c r="I205" s="333">
        <v>3.6591560840606689</v>
      </c>
      <c r="J205" s="197"/>
      <c r="K205" s="333">
        <v>3.7663252730868382</v>
      </c>
      <c r="L205" s="200">
        <f t="shared" si="19"/>
        <v>-1.0683826934921536E-2</v>
      </c>
      <c r="M205" s="332">
        <v>1637438</v>
      </c>
      <c r="N205" s="333">
        <v>48.238094329833984</v>
      </c>
      <c r="O205" s="197"/>
      <c r="P205" s="333">
        <v>54.087307737224144</v>
      </c>
      <c r="Q205" s="200">
        <f t="shared" si="20"/>
        <v>-4.2533071695571412E-2</v>
      </c>
      <c r="R205" s="332">
        <v>1124400</v>
      </c>
      <c r="S205" s="333">
        <v>30.510000228881836</v>
      </c>
      <c r="T205" s="197"/>
      <c r="U205" s="333">
        <v>33.866383881614517</v>
      </c>
      <c r="V205" s="200">
        <f t="shared" si="21"/>
        <v>-2.9411814204548525E-3</v>
      </c>
      <c r="W205" s="332">
        <v>1031257</v>
      </c>
      <c r="X205" s="333">
        <v>32.270000457763672</v>
      </c>
      <c r="Y205" s="197"/>
      <c r="Z205" s="333">
        <v>33.006672242682676</v>
      </c>
      <c r="AA205" s="200">
        <f t="shared" si="22"/>
        <v>-1.6158499744659549E-2</v>
      </c>
      <c r="AB205" s="332">
        <v>0</v>
      </c>
      <c r="AC205" s="333">
        <v>56.849998474121094</v>
      </c>
      <c r="AD205" s="197"/>
      <c r="AE205" s="333">
        <v>56.849998474121072</v>
      </c>
      <c r="AF205" s="200">
        <f t="shared" si="23"/>
        <v>-6.3426725542464757E-2</v>
      </c>
    </row>
    <row r="206" spans="2:32" x14ac:dyDescent="0.3">
      <c r="B206" s="331">
        <v>40865.8125</v>
      </c>
      <c r="C206" s="332">
        <v>215580400</v>
      </c>
      <c r="D206" s="333">
        <v>121.98000335693359</v>
      </c>
      <c r="E206" s="197"/>
      <c r="F206" s="333">
        <v>132.19319555500974</v>
      </c>
      <c r="G206" s="200">
        <f t="shared" si="18"/>
        <v>-3.6949314462840444E-2</v>
      </c>
      <c r="H206" s="332">
        <v>12519952</v>
      </c>
      <c r="I206" s="333">
        <v>3.374643087387085</v>
      </c>
      <c r="J206" s="197"/>
      <c r="K206" s="333">
        <v>3.4734794733241126</v>
      </c>
      <c r="L206" s="200">
        <f t="shared" si="19"/>
        <v>-7.7753719747819972E-2</v>
      </c>
      <c r="M206" s="332">
        <v>1931422</v>
      </c>
      <c r="N206" s="333">
        <v>48.857143402099609</v>
      </c>
      <c r="O206" s="197"/>
      <c r="P206" s="333">
        <v>54.781420930152784</v>
      </c>
      <c r="Q206" s="200">
        <f t="shared" si="20"/>
        <v>1.2833199173101661E-2</v>
      </c>
      <c r="R206" s="332">
        <v>1907900</v>
      </c>
      <c r="S206" s="333">
        <v>32.180000305175781</v>
      </c>
      <c r="T206" s="197"/>
      <c r="U206" s="333">
        <v>35.720099490982413</v>
      </c>
      <c r="V206" s="200">
        <f t="shared" si="21"/>
        <v>5.4736154171282747E-2</v>
      </c>
      <c r="W206" s="332">
        <v>843160</v>
      </c>
      <c r="X206" s="333">
        <v>30.014999389648438</v>
      </c>
      <c r="Y206" s="197"/>
      <c r="Z206" s="333">
        <v>30.700193156647455</v>
      </c>
      <c r="AA206" s="200">
        <f t="shared" si="22"/>
        <v>-6.9879176824514611E-2</v>
      </c>
      <c r="AB206" s="332">
        <v>400</v>
      </c>
      <c r="AC206" s="333">
        <v>55.939998626708984</v>
      </c>
      <c r="AD206" s="197"/>
      <c r="AE206" s="333">
        <v>55.939998626708963</v>
      </c>
      <c r="AF206" s="200">
        <f t="shared" si="23"/>
        <v>-1.6007033805398474E-2</v>
      </c>
    </row>
    <row r="207" spans="2:32" x14ac:dyDescent="0.3">
      <c r="B207" s="331">
        <v>40872.8125</v>
      </c>
      <c r="C207" s="332">
        <v>99557000</v>
      </c>
      <c r="D207" s="333">
        <v>116.33999633789063</v>
      </c>
      <c r="E207" s="197"/>
      <c r="F207" s="333">
        <v>126.0809596943637</v>
      </c>
      <c r="G207" s="200">
        <f t="shared" si="18"/>
        <v>-4.623714431733017E-2</v>
      </c>
      <c r="H207" s="332">
        <v>12060894</v>
      </c>
      <c r="I207" s="333">
        <v>2.7502949237823486</v>
      </c>
      <c r="J207" s="197"/>
      <c r="K207" s="333">
        <v>2.8308454304547657</v>
      </c>
      <c r="L207" s="200">
        <f t="shared" si="19"/>
        <v>-0.18501161380244102</v>
      </c>
      <c r="M207" s="332">
        <v>1302261</v>
      </c>
      <c r="N207" s="333">
        <v>44.876190185546875</v>
      </c>
      <c r="O207" s="197"/>
      <c r="P207" s="333">
        <v>50.317748707968605</v>
      </c>
      <c r="Q207" s="200">
        <f t="shared" si="20"/>
        <v>-8.1481497675561121E-2</v>
      </c>
      <c r="R207" s="332">
        <v>488500</v>
      </c>
      <c r="S207" s="333">
        <v>29.420000076293945</v>
      </c>
      <c r="T207" s="333">
        <v>0.01</v>
      </c>
      <c r="U207" s="333">
        <v>32.667573672327144</v>
      </c>
      <c r="V207" s="200">
        <f t="shared" si="21"/>
        <v>-8.5456811771363772E-2</v>
      </c>
      <c r="W207" s="332">
        <v>1186778</v>
      </c>
      <c r="X207" s="333">
        <v>27.139999389648438</v>
      </c>
      <c r="Y207" s="197"/>
      <c r="Z207" s="333">
        <v>27.75956156843554</v>
      </c>
      <c r="AA207" s="200">
        <f t="shared" si="22"/>
        <v>-9.5785442560812895E-2</v>
      </c>
      <c r="AB207" s="332">
        <v>3000</v>
      </c>
      <c r="AC207" s="333">
        <v>49.75</v>
      </c>
      <c r="AD207" s="197"/>
      <c r="AE207" s="333">
        <v>49.749999999999979</v>
      </c>
      <c r="AF207" s="200">
        <f t="shared" si="23"/>
        <v>-0.1106542506018855</v>
      </c>
    </row>
    <row r="208" spans="2:32" x14ac:dyDescent="0.3">
      <c r="B208" s="331">
        <v>40879.8125</v>
      </c>
      <c r="C208" s="332">
        <v>221109700</v>
      </c>
      <c r="D208" s="333">
        <v>124.86000061035156</v>
      </c>
      <c r="E208" s="197"/>
      <c r="F208" s="333">
        <v>135.31433041024445</v>
      </c>
      <c r="G208" s="200">
        <f t="shared" si="18"/>
        <v>7.323366460934011E-2</v>
      </c>
      <c r="H208" s="332">
        <v>10175442</v>
      </c>
      <c r="I208" s="333">
        <v>3.7777030467987061</v>
      </c>
      <c r="J208" s="197"/>
      <c r="K208" s="333">
        <v>3.8883442336206215</v>
      </c>
      <c r="L208" s="200">
        <f t="shared" si="19"/>
        <v>0.37356289106748308</v>
      </c>
      <c r="M208" s="332">
        <v>1158484</v>
      </c>
      <c r="N208" s="333">
        <v>50.095237731933594</v>
      </c>
      <c r="O208" s="197"/>
      <c r="P208" s="333">
        <v>56.169643038753513</v>
      </c>
      <c r="Q208" s="200">
        <f t="shared" si="20"/>
        <v>0.116298810679067</v>
      </c>
      <c r="R208" s="332">
        <v>1387800</v>
      </c>
      <c r="S208" s="333">
        <v>32.659999847412109</v>
      </c>
      <c r="T208" s="197"/>
      <c r="U208" s="333">
        <v>36.265225981873257</v>
      </c>
      <c r="V208" s="200">
        <f t="shared" si="21"/>
        <v>0.11012915576872806</v>
      </c>
      <c r="W208" s="332">
        <v>1084545</v>
      </c>
      <c r="X208" s="333">
        <v>32.154998779296875</v>
      </c>
      <c r="Y208" s="197"/>
      <c r="Z208" s="333">
        <v>32.889045262370722</v>
      </c>
      <c r="AA208" s="200">
        <f t="shared" si="22"/>
        <v>0.18478259036222466</v>
      </c>
      <c r="AB208" s="332">
        <v>0</v>
      </c>
      <c r="AC208" s="333">
        <v>55.799999237060547</v>
      </c>
      <c r="AD208" s="197"/>
      <c r="AE208" s="333">
        <v>55.799999237060526</v>
      </c>
      <c r="AF208" s="200">
        <f t="shared" si="23"/>
        <v>0.12160802486553868</v>
      </c>
    </row>
    <row r="209" spans="2:32" x14ac:dyDescent="0.3">
      <c r="B209" s="331">
        <v>40886.8125</v>
      </c>
      <c r="C209" s="332">
        <v>209111400</v>
      </c>
      <c r="D209" s="333">
        <v>126.05000305175781</v>
      </c>
      <c r="E209" s="197"/>
      <c r="F209" s="333">
        <v>136.60396986850421</v>
      </c>
      <c r="G209" s="200">
        <f t="shared" si="18"/>
        <v>9.5306938618389125E-3</v>
      </c>
      <c r="H209" s="332">
        <v>11283609</v>
      </c>
      <c r="I209" s="333">
        <v>4.0068950653076172</v>
      </c>
      <c r="J209" s="197"/>
      <c r="K209" s="333">
        <v>4.1242488170463085</v>
      </c>
      <c r="L209" s="200">
        <f t="shared" si="19"/>
        <v>6.0669675638780785E-2</v>
      </c>
      <c r="M209" s="332">
        <v>780994</v>
      </c>
      <c r="N209" s="333">
        <v>50</v>
      </c>
      <c r="O209" s="197"/>
      <c r="P209" s="333">
        <v>56.062857051727036</v>
      </c>
      <c r="Q209" s="200">
        <f t="shared" si="20"/>
        <v>-1.9011334459220208E-3</v>
      </c>
      <c r="R209" s="332">
        <v>1120900</v>
      </c>
      <c r="S209" s="333">
        <v>33.549999237060547</v>
      </c>
      <c r="T209" s="197"/>
      <c r="U209" s="333">
        <v>37.253469372569029</v>
      </c>
      <c r="V209" s="200">
        <f t="shared" si="21"/>
        <v>2.7250440716672486E-2</v>
      </c>
      <c r="W209" s="332">
        <v>1272614</v>
      </c>
      <c r="X209" s="333">
        <v>31.754999160766602</v>
      </c>
      <c r="Y209" s="197"/>
      <c r="Z209" s="333">
        <v>32.479914301145385</v>
      </c>
      <c r="AA209" s="200">
        <f t="shared" si="22"/>
        <v>-1.2439733594013291E-2</v>
      </c>
      <c r="AB209" s="332">
        <v>0</v>
      </c>
      <c r="AC209" s="333">
        <v>56.650001525878906</v>
      </c>
      <c r="AD209" s="197"/>
      <c r="AE209" s="333">
        <v>56.650001525878885</v>
      </c>
      <c r="AF209" s="200">
        <f t="shared" si="23"/>
        <v>1.5233016136921629E-2</v>
      </c>
    </row>
    <row r="210" spans="2:32" x14ac:dyDescent="0.3">
      <c r="B210" s="331">
        <v>40893.8125</v>
      </c>
      <c r="C210" s="332">
        <v>220481400</v>
      </c>
      <c r="D210" s="333">
        <v>121.58999633789063</v>
      </c>
      <c r="E210" s="333">
        <v>0.77</v>
      </c>
      <c r="F210" s="333">
        <v>132.60500474552268</v>
      </c>
      <c r="G210" s="200">
        <f t="shared" si="18"/>
        <v>-2.9274150135101928E-2</v>
      </c>
      <c r="H210" s="332">
        <v>19252082</v>
      </c>
      <c r="I210" s="333">
        <v>3.9752819538116455</v>
      </c>
      <c r="J210" s="197"/>
      <c r="K210" s="333">
        <v>4.0917098222472514</v>
      </c>
      <c r="L210" s="200">
        <f t="shared" si="19"/>
        <v>-7.8896779128764249E-3</v>
      </c>
      <c r="M210" s="332">
        <v>2300568</v>
      </c>
      <c r="N210" s="333">
        <v>46.866664886474609</v>
      </c>
      <c r="O210" s="197"/>
      <c r="P210" s="333">
        <v>52.549582680432415</v>
      </c>
      <c r="Q210" s="200">
        <f t="shared" si="20"/>
        <v>-6.2666702270507857E-2</v>
      </c>
      <c r="R210" s="332">
        <v>2211800</v>
      </c>
      <c r="S210" s="333">
        <v>38.779998779296875</v>
      </c>
      <c r="T210" s="197"/>
      <c r="U210" s="333">
        <v>43.060790749495574</v>
      </c>
      <c r="V210" s="200">
        <f t="shared" si="21"/>
        <v>0.1558867261153043</v>
      </c>
      <c r="W210" s="332">
        <v>1474765</v>
      </c>
      <c r="X210" s="333">
        <v>30.190000534057617</v>
      </c>
      <c r="Y210" s="197"/>
      <c r="Z210" s="333">
        <v>30.87918929342062</v>
      </c>
      <c r="AA210" s="200">
        <f t="shared" si="22"/>
        <v>-4.9283535445421967E-2</v>
      </c>
      <c r="AB210" s="332">
        <v>900</v>
      </c>
      <c r="AC210" s="333">
        <v>52</v>
      </c>
      <c r="AD210" s="197"/>
      <c r="AE210" s="333">
        <v>51.999999999999979</v>
      </c>
      <c r="AF210" s="200">
        <f t="shared" si="23"/>
        <v>-8.2082990302386638E-2</v>
      </c>
    </row>
    <row r="211" spans="2:32" x14ac:dyDescent="0.3">
      <c r="B211" s="331">
        <v>40900.8125</v>
      </c>
      <c r="C211" s="332">
        <v>92187200</v>
      </c>
      <c r="D211" s="333">
        <v>126.38999938964844</v>
      </c>
      <c r="E211" s="197"/>
      <c r="F211" s="333">
        <v>137.83984681006282</v>
      </c>
      <c r="G211" s="200">
        <f t="shared" si="18"/>
        <v>3.9476956956384424E-2</v>
      </c>
      <c r="H211" s="332">
        <v>13044427</v>
      </c>
      <c r="I211" s="333">
        <v>4.2993111610412598</v>
      </c>
      <c r="J211" s="197"/>
      <c r="K211" s="333">
        <v>4.4252291814577704</v>
      </c>
      <c r="L211" s="200">
        <f t="shared" si="19"/>
        <v>8.1510999972951081E-2</v>
      </c>
      <c r="M211" s="332">
        <v>548510</v>
      </c>
      <c r="N211" s="333">
        <v>47.666664123535156</v>
      </c>
      <c r="O211" s="197"/>
      <c r="P211" s="333">
        <v>53.446587537808732</v>
      </c>
      <c r="Q211" s="200">
        <f t="shared" si="20"/>
        <v>1.706968564966993E-2</v>
      </c>
      <c r="R211" s="332">
        <v>609500</v>
      </c>
      <c r="S211" s="333">
        <v>39.569999694824219</v>
      </c>
      <c r="T211" s="197"/>
      <c r="U211" s="333">
        <v>43.937997175133575</v>
      </c>
      <c r="V211" s="200">
        <f t="shared" si="21"/>
        <v>2.037134967495402E-2</v>
      </c>
      <c r="W211" s="332">
        <v>396909</v>
      </c>
      <c r="X211" s="333">
        <v>32.369998931884766</v>
      </c>
      <c r="Y211" s="197"/>
      <c r="Z211" s="333">
        <v>33.10895351982127</v>
      </c>
      <c r="AA211" s="200">
        <f t="shared" si="22"/>
        <v>7.2209286494310465E-2</v>
      </c>
      <c r="AB211" s="332">
        <v>600</v>
      </c>
      <c r="AC211" s="333">
        <v>53.75</v>
      </c>
      <c r="AD211" s="197"/>
      <c r="AE211" s="333">
        <v>53.749999999999986</v>
      </c>
      <c r="AF211" s="200">
        <f t="shared" si="23"/>
        <v>3.3653846153846256E-2</v>
      </c>
    </row>
    <row r="212" spans="2:32" x14ac:dyDescent="0.3">
      <c r="B212" s="331">
        <v>40907.8125</v>
      </c>
      <c r="C212" s="332">
        <v>95599000</v>
      </c>
      <c r="D212" s="333">
        <v>125.5</v>
      </c>
      <c r="E212" s="197"/>
      <c r="F212" s="333">
        <v>136.86922112668111</v>
      </c>
      <c r="G212" s="200">
        <f t="shared" si="18"/>
        <v>-7.0416915416279258E-3</v>
      </c>
      <c r="H212" s="332">
        <v>6478180</v>
      </c>
      <c r="I212" s="333">
        <v>4.2597951889038086</v>
      </c>
      <c r="J212" s="197"/>
      <c r="K212" s="333">
        <v>4.3845558674113478</v>
      </c>
      <c r="L212" s="200">
        <f t="shared" si="19"/>
        <v>-9.1912333528054724E-3</v>
      </c>
      <c r="M212" s="332">
        <v>371920</v>
      </c>
      <c r="N212" s="333">
        <v>47.857143402099609</v>
      </c>
      <c r="O212" s="197"/>
      <c r="P212" s="333">
        <v>53.660163789118236</v>
      </c>
      <c r="Q212" s="200">
        <f t="shared" si="20"/>
        <v>3.9960689942724059E-3</v>
      </c>
      <c r="R212" s="332">
        <v>509300</v>
      </c>
      <c r="S212" s="333">
        <v>39.349998474121094</v>
      </c>
      <c r="T212" s="197"/>
      <c r="U212" s="333">
        <v>43.693710769060033</v>
      </c>
      <c r="V212" s="200">
        <f t="shared" si="21"/>
        <v>-5.5597983927176964E-3</v>
      </c>
      <c r="W212" s="332">
        <v>323444</v>
      </c>
      <c r="X212" s="333">
        <v>32.790000915527344</v>
      </c>
      <c r="Y212" s="197"/>
      <c r="Z212" s="333">
        <v>33.53854346772075</v>
      </c>
      <c r="AA212" s="200">
        <f t="shared" si="22"/>
        <v>1.2975038538813877E-2</v>
      </c>
      <c r="AB212" s="332">
        <v>4600</v>
      </c>
      <c r="AC212" s="333">
        <v>54.099998474121094</v>
      </c>
      <c r="AD212" s="197"/>
      <c r="AE212" s="333">
        <v>54.099998474121087</v>
      </c>
      <c r="AF212" s="200">
        <f t="shared" si="23"/>
        <v>6.5115995185320852E-3</v>
      </c>
    </row>
    <row r="213" spans="2:32" x14ac:dyDescent="0.3">
      <c r="B213" s="331">
        <v>40914.8125</v>
      </c>
      <c r="C213" s="332">
        <v>148050000</v>
      </c>
      <c r="D213" s="333">
        <v>127.70999908447266</v>
      </c>
      <c r="E213" s="197"/>
      <c r="F213" s="333">
        <v>139.27942712972856</v>
      </c>
      <c r="G213" s="200">
        <f t="shared" si="18"/>
        <v>1.7609554457949761E-2</v>
      </c>
      <c r="H213" s="332">
        <v>29589232</v>
      </c>
      <c r="I213" s="333">
        <v>4.2914080619812012</v>
      </c>
      <c r="J213" s="197"/>
      <c r="K213" s="333">
        <v>4.4170946168090346</v>
      </c>
      <c r="L213" s="200">
        <f t="shared" si="19"/>
        <v>7.4212190200457773E-3</v>
      </c>
      <c r="M213" s="332">
        <v>563464</v>
      </c>
      <c r="N213" s="333">
        <v>48.333332061767578</v>
      </c>
      <c r="O213" s="197"/>
      <c r="P213" s="333">
        <v>54.194093724250614</v>
      </c>
      <c r="Q213" s="200">
        <f t="shared" si="20"/>
        <v>9.9502106857276562E-3</v>
      </c>
      <c r="R213" s="332">
        <v>739600</v>
      </c>
      <c r="S213" s="333">
        <v>39.290000915527344</v>
      </c>
      <c r="T213" s="197"/>
      <c r="U213" s="333">
        <v>43.627090284340852</v>
      </c>
      <c r="V213" s="200">
        <f t="shared" si="21"/>
        <v>-1.5247156523577887E-3</v>
      </c>
      <c r="W213" s="332">
        <v>724026</v>
      </c>
      <c r="X213" s="333">
        <v>33.779998779296875</v>
      </c>
      <c r="Y213" s="197"/>
      <c r="Z213" s="333">
        <v>34.55114137744701</v>
      </c>
      <c r="AA213" s="200">
        <f t="shared" si="22"/>
        <v>3.0192065755653363E-2</v>
      </c>
      <c r="AB213" s="332">
        <v>0</v>
      </c>
      <c r="AC213" s="333">
        <v>54.099998474121094</v>
      </c>
      <c r="AD213" s="197"/>
      <c r="AE213" s="333">
        <v>54.099998474121087</v>
      </c>
      <c r="AF213" s="200">
        <f t="shared" si="23"/>
        <v>0</v>
      </c>
    </row>
    <row r="214" spans="2:32" x14ac:dyDescent="0.3">
      <c r="B214" s="331">
        <v>40921.8125</v>
      </c>
      <c r="C214" s="332">
        <v>179836200</v>
      </c>
      <c r="D214" s="333">
        <v>128.83999633789063</v>
      </c>
      <c r="E214" s="197"/>
      <c r="F214" s="333">
        <v>140.51179242017164</v>
      </c>
      <c r="G214" s="200">
        <f t="shared" si="18"/>
        <v>8.848150195902349E-3</v>
      </c>
      <c r="H214" s="332">
        <v>16442061</v>
      </c>
      <c r="I214" s="333">
        <v>4.457374095916748</v>
      </c>
      <c r="J214" s="197"/>
      <c r="K214" s="333">
        <v>4.5879214560379769</v>
      </c>
      <c r="L214" s="200">
        <f t="shared" si="19"/>
        <v>3.8674027624146623E-2</v>
      </c>
      <c r="M214" s="332">
        <v>916573</v>
      </c>
      <c r="N214" s="333">
        <v>49.380950927734375</v>
      </c>
      <c r="O214" s="197"/>
      <c r="P214" s="333">
        <v>55.368743858798389</v>
      </c>
      <c r="Q214" s="200">
        <f t="shared" si="20"/>
        <v>2.1674873659196292E-2</v>
      </c>
      <c r="R214" s="332">
        <v>892600</v>
      </c>
      <c r="S214" s="333">
        <v>40.659999847412109</v>
      </c>
      <c r="T214" s="197"/>
      <c r="U214" s="333">
        <v>45.148318731733596</v>
      </c>
      <c r="V214" s="200">
        <f t="shared" si="21"/>
        <v>3.4868895392245802E-2</v>
      </c>
      <c r="W214" s="332">
        <v>1280753</v>
      </c>
      <c r="X214" s="333">
        <v>35.139999389648438</v>
      </c>
      <c r="Y214" s="197"/>
      <c r="Z214" s="333">
        <v>35.942188596503449</v>
      </c>
      <c r="AA214" s="200">
        <f t="shared" si="22"/>
        <v>4.0260528700346576E-2</v>
      </c>
      <c r="AB214" s="332">
        <v>0</v>
      </c>
      <c r="AC214" s="333">
        <v>54.75</v>
      </c>
      <c r="AD214" s="197"/>
      <c r="AE214" s="333">
        <v>54.749999999999993</v>
      </c>
      <c r="AF214" s="200">
        <f t="shared" si="23"/>
        <v>1.201481597434495E-2</v>
      </c>
    </row>
    <row r="215" spans="2:32" x14ac:dyDescent="0.3">
      <c r="B215" s="331">
        <v>40928.8125</v>
      </c>
      <c r="C215" s="332">
        <v>138230200</v>
      </c>
      <c r="D215" s="333">
        <v>131.94999694824219</v>
      </c>
      <c r="E215" s="197"/>
      <c r="F215" s="333">
        <v>143.90353235038936</v>
      </c>
      <c r="G215" s="200">
        <f t="shared" si="18"/>
        <v>2.4138471738196943E-2</v>
      </c>
      <c r="H215" s="332">
        <v>19182363</v>
      </c>
      <c r="I215" s="333">
        <v>5.0817217826843262</v>
      </c>
      <c r="J215" s="197"/>
      <c r="K215" s="333">
        <v>5.23055500810458</v>
      </c>
      <c r="L215" s="200">
        <f t="shared" si="19"/>
        <v>0.14007073970738082</v>
      </c>
      <c r="M215" s="332">
        <v>1206098</v>
      </c>
      <c r="N215" s="333">
        <v>51.428569793701172</v>
      </c>
      <c r="O215" s="197"/>
      <c r="P215" s="333">
        <v>57.664651134380705</v>
      </c>
      <c r="Q215" s="200">
        <f t="shared" si="20"/>
        <v>4.1465764176217279E-2</v>
      </c>
      <c r="R215" s="332">
        <v>2153000</v>
      </c>
      <c r="S215" s="333">
        <v>42.720001220703125</v>
      </c>
      <c r="T215" s="197"/>
      <c r="U215" s="333">
        <v>47.435716639706563</v>
      </c>
      <c r="V215" s="200">
        <f t="shared" si="21"/>
        <v>5.0664077250903494E-2</v>
      </c>
      <c r="W215" s="332">
        <v>1055927</v>
      </c>
      <c r="X215" s="333">
        <v>37.700000762939453</v>
      </c>
      <c r="Y215" s="197"/>
      <c r="Z215" s="333">
        <v>38.560630650126214</v>
      </c>
      <c r="AA215" s="200">
        <f t="shared" si="22"/>
        <v>7.2851491683438852E-2</v>
      </c>
      <c r="AB215" s="332">
        <v>0</v>
      </c>
      <c r="AC215" s="333">
        <v>54.75</v>
      </c>
      <c r="AD215" s="197"/>
      <c r="AE215" s="333">
        <v>54.749999999999993</v>
      </c>
      <c r="AF215" s="200">
        <f t="shared" si="23"/>
        <v>0</v>
      </c>
    </row>
    <row r="216" spans="2:32" x14ac:dyDescent="0.3">
      <c r="B216" s="331">
        <v>40935.8125</v>
      </c>
      <c r="C216" s="332">
        <v>135259100</v>
      </c>
      <c r="D216" s="333">
        <v>131.82000732421875</v>
      </c>
      <c r="E216" s="197"/>
      <c r="F216" s="333">
        <v>143.76176678389822</v>
      </c>
      <c r="G216" s="200">
        <f t="shared" si="18"/>
        <v>-9.8514306199204427E-4</v>
      </c>
      <c r="H216" s="332">
        <v>20236753</v>
      </c>
      <c r="I216" s="333">
        <v>5.318817138671875</v>
      </c>
      <c r="J216" s="197"/>
      <c r="K216" s="333">
        <v>5.474594401580374</v>
      </c>
      <c r="L216" s="200">
        <f t="shared" si="19"/>
        <v>4.6656500715060334E-2</v>
      </c>
      <c r="M216" s="332">
        <v>814098</v>
      </c>
      <c r="N216" s="333">
        <v>52.904762268066406</v>
      </c>
      <c r="O216" s="197"/>
      <c r="P216" s="333">
        <v>59.319842487804166</v>
      </c>
      <c r="Q216" s="200">
        <f t="shared" si="20"/>
        <v>2.8703743469569165E-2</v>
      </c>
      <c r="R216" s="332">
        <v>506000</v>
      </c>
      <c r="S216" s="333">
        <v>43.450000762939453</v>
      </c>
      <c r="T216" s="197"/>
      <c r="U216" s="333">
        <v>48.246298344836667</v>
      </c>
      <c r="V216" s="200">
        <f t="shared" si="21"/>
        <v>1.7088003777550265E-2</v>
      </c>
      <c r="W216" s="332">
        <v>1308743</v>
      </c>
      <c r="X216" s="333">
        <v>38.395000457763672</v>
      </c>
      <c r="Y216" s="197"/>
      <c r="Z216" s="333">
        <v>39.271496061047159</v>
      </c>
      <c r="AA216" s="200">
        <f t="shared" si="22"/>
        <v>1.8435004794679521E-2</v>
      </c>
      <c r="AB216" s="332">
        <v>200</v>
      </c>
      <c r="AC216" s="333">
        <v>60.540000915527344</v>
      </c>
      <c r="AD216" s="197"/>
      <c r="AE216" s="333">
        <v>60.540000915527337</v>
      </c>
      <c r="AF216" s="200">
        <f t="shared" si="23"/>
        <v>0.10575344137949494</v>
      </c>
    </row>
    <row r="217" spans="2:32" x14ac:dyDescent="0.3">
      <c r="B217" s="331">
        <v>40942.8125</v>
      </c>
      <c r="C217" s="332">
        <v>160598500</v>
      </c>
      <c r="D217" s="333">
        <v>134.53999328613281</v>
      </c>
      <c r="E217" s="197"/>
      <c r="F217" s="333">
        <v>146.72816009132995</v>
      </c>
      <c r="G217" s="200">
        <f t="shared" si="18"/>
        <v>2.0634090508158565E-2</v>
      </c>
      <c r="H217" s="332">
        <v>40929148</v>
      </c>
      <c r="I217" s="333">
        <v>6.4805788993835449</v>
      </c>
      <c r="J217" s="197"/>
      <c r="K217" s="333">
        <v>6.6703817853802292</v>
      </c>
      <c r="L217" s="200">
        <f t="shared" si="19"/>
        <v>0.21842483590285022</v>
      </c>
      <c r="M217" s="332">
        <v>1019112</v>
      </c>
      <c r="N217" s="333">
        <v>53.428569793701172</v>
      </c>
      <c r="O217" s="197"/>
      <c r="P217" s="333">
        <v>59.907165416449779</v>
      </c>
      <c r="Q217" s="200">
        <f t="shared" si="20"/>
        <v>9.9009522617388157E-3</v>
      </c>
      <c r="R217" s="332">
        <v>1197900</v>
      </c>
      <c r="S217" s="333">
        <v>44.790000915527344</v>
      </c>
      <c r="T217" s="197"/>
      <c r="U217" s="333">
        <v>49.734216549869821</v>
      </c>
      <c r="V217" s="200">
        <f t="shared" si="21"/>
        <v>3.0840049000202541E-2</v>
      </c>
      <c r="W217" s="332">
        <v>899446</v>
      </c>
      <c r="X217" s="333">
        <v>39.369998931884766</v>
      </c>
      <c r="Y217" s="197"/>
      <c r="Z217" s="333">
        <v>40.268752169380683</v>
      </c>
      <c r="AA217" s="200">
        <f t="shared" si="22"/>
        <v>2.5393891457134776E-2</v>
      </c>
      <c r="AB217" s="332">
        <v>0</v>
      </c>
      <c r="AC217" s="333">
        <v>60.400001525878906</v>
      </c>
      <c r="AD217" s="197"/>
      <c r="AE217" s="333">
        <v>60.400001525878899</v>
      </c>
      <c r="AF217" s="200">
        <f t="shared" si="23"/>
        <v>-2.3125105307444382E-3</v>
      </c>
    </row>
    <row r="218" spans="2:32" x14ac:dyDescent="0.3">
      <c r="B218" s="331">
        <v>40949.8125</v>
      </c>
      <c r="C218" s="332">
        <v>167907500</v>
      </c>
      <c r="D218" s="333">
        <v>134.36000061035156</v>
      </c>
      <c r="E218" s="197"/>
      <c r="F218" s="333">
        <v>146.53186162644798</v>
      </c>
      <c r="G218" s="200">
        <f t="shared" si="18"/>
        <v>-1.3378377044992451E-3</v>
      </c>
      <c r="H218" s="332">
        <v>18014220</v>
      </c>
      <c r="I218" s="333">
        <v>6.6544480323791504</v>
      </c>
      <c r="J218" s="197"/>
      <c r="K218" s="333">
        <v>6.8493431892579082</v>
      </c>
      <c r="L218" s="200">
        <f t="shared" si="19"/>
        <v>2.6829259499046465E-2</v>
      </c>
      <c r="M218" s="332">
        <v>803479</v>
      </c>
      <c r="N218" s="333">
        <v>53.333332061767578</v>
      </c>
      <c r="O218" s="197"/>
      <c r="P218" s="333">
        <v>59.800379429423302</v>
      </c>
      <c r="Q218" s="200">
        <f t="shared" si="20"/>
        <v>-1.7825244490228265E-3</v>
      </c>
      <c r="R218" s="332">
        <v>926900</v>
      </c>
      <c r="S218" s="333">
        <v>46.939998626708984</v>
      </c>
      <c r="T218" s="197"/>
      <c r="U218" s="333">
        <v>52.121545184921565</v>
      </c>
      <c r="V218" s="200">
        <f t="shared" si="21"/>
        <v>4.8001734030693077E-2</v>
      </c>
      <c r="W218" s="332">
        <v>925568</v>
      </c>
      <c r="X218" s="333">
        <v>37.794990539550781</v>
      </c>
      <c r="Y218" s="197"/>
      <c r="Z218" s="333">
        <v>38.657788889312449</v>
      </c>
      <c r="AA218" s="200">
        <f t="shared" si="22"/>
        <v>-4.0005294261220459E-2</v>
      </c>
      <c r="AB218" s="332">
        <v>0</v>
      </c>
      <c r="AC218" s="333">
        <v>61.849998474121094</v>
      </c>
      <c r="AD218" s="197"/>
      <c r="AE218" s="333">
        <v>61.849998474121087</v>
      </c>
      <c r="AF218" s="200">
        <f t="shared" si="23"/>
        <v>2.4006571384289188E-2</v>
      </c>
    </row>
    <row r="219" spans="2:32" x14ac:dyDescent="0.3">
      <c r="B219" s="331">
        <v>40956.8125</v>
      </c>
      <c r="C219" s="332">
        <v>129869400</v>
      </c>
      <c r="D219" s="333">
        <v>136.41000366210938</v>
      </c>
      <c r="E219" s="197"/>
      <c r="F219" s="333">
        <v>148.76757733163848</v>
      </c>
      <c r="G219" s="200">
        <f t="shared" si="18"/>
        <v>1.5257539762171257E-2</v>
      </c>
      <c r="H219" s="332">
        <v>20138944</v>
      </c>
      <c r="I219" s="333">
        <v>6.7334799766540527</v>
      </c>
      <c r="J219" s="197"/>
      <c r="K219" s="333">
        <v>6.9306898173507525</v>
      </c>
      <c r="L219" s="200">
        <f t="shared" si="19"/>
        <v>1.1876558940778992E-2</v>
      </c>
      <c r="M219" s="332">
        <v>3496989</v>
      </c>
      <c r="N219" s="333">
        <v>55.809524536132813</v>
      </c>
      <c r="O219" s="197"/>
      <c r="P219" s="333">
        <v>62.576827923881311</v>
      </c>
      <c r="Q219" s="200">
        <f t="shared" si="20"/>
        <v>4.6428610001292503E-2</v>
      </c>
      <c r="R219" s="332">
        <v>960700</v>
      </c>
      <c r="S219" s="333">
        <v>47.680000305175781</v>
      </c>
      <c r="T219" s="197"/>
      <c r="U219" s="333">
        <v>52.94323312803067</v>
      </c>
      <c r="V219" s="200">
        <f t="shared" si="21"/>
        <v>1.5764842354420772E-2</v>
      </c>
      <c r="W219" s="332">
        <v>1970343</v>
      </c>
      <c r="X219" s="333">
        <v>39.799999237060547</v>
      </c>
      <c r="Y219" s="197"/>
      <c r="Z219" s="333">
        <v>40.708568684281786</v>
      </c>
      <c r="AA219" s="200">
        <f t="shared" si="22"/>
        <v>5.3049588553583993E-2</v>
      </c>
      <c r="AB219" s="332">
        <v>0</v>
      </c>
      <c r="AC219" s="333">
        <v>59.599998474121094</v>
      </c>
      <c r="AD219" s="197"/>
      <c r="AE219" s="333">
        <v>59.599998474121094</v>
      </c>
      <c r="AF219" s="200">
        <f t="shared" si="23"/>
        <v>-3.6378335578155618E-2</v>
      </c>
    </row>
    <row r="220" spans="2:32" x14ac:dyDescent="0.3">
      <c r="B220" s="331">
        <v>40963.8125</v>
      </c>
      <c r="C220" s="332">
        <v>105539100</v>
      </c>
      <c r="D220" s="333">
        <v>136.92999267578125</v>
      </c>
      <c r="E220" s="197"/>
      <c r="F220" s="333">
        <v>149.33467287981139</v>
      </c>
      <c r="G220" s="200">
        <f t="shared" si="18"/>
        <v>3.8119565993115501E-3</v>
      </c>
      <c r="H220" s="332">
        <v>50586442</v>
      </c>
      <c r="I220" s="333">
        <v>5.8167147636413574</v>
      </c>
      <c r="J220" s="197"/>
      <c r="K220" s="333">
        <v>5.9870744284644593</v>
      </c>
      <c r="L220" s="200">
        <f t="shared" si="19"/>
        <v>-0.13615028427963738</v>
      </c>
      <c r="M220" s="332">
        <v>480376</v>
      </c>
      <c r="N220" s="333">
        <v>55.857143402099609</v>
      </c>
      <c r="O220" s="197"/>
      <c r="P220" s="333">
        <v>62.630220917394546</v>
      </c>
      <c r="Q220" s="200">
        <f t="shared" si="20"/>
        <v>8.532390548492419E-4</v>
      </c>
      <c r="R220" s="332">
        <v>442300</v>
      </c>
      <c r="S220" s="333">
        <v>46.169998168945313</v>
      </c>
      <c r="T220" s="333">
        <v>0.01</v>
      </c>
      <c r="U220" s="333">
        <v>51.277650865390186</v>
      </c>
      <c r="V220" s="200">
        <f t="shared" si="21"/>
        <v>-3.1459776145757234E-2</v>
      </c>
      <c r="W220" s="332">
        <v>541157</v>
      </c>
      <c r="X220" s="333">
        <v>39.735000610351563</v>
      </c>
      <c r="Y220" s="197"/>
      <c r="Z220" s="333">
        <v>40.642086244319756</v>
      </c>
      <c r="AA220" s="200">
        <f t="shared" si="22"/>
        <v>-1.6331313556523508E-3</v>
      </c>
      <c r="AB220" s="332">
        <v>200</v>
      </c>
      <c r="AC220" s="333">
        <v>64.75</v>
      </c>
      <c r="AD220" s="197"/>
      <c r="AE220" s="333">
        <v>64.75</v>
      </c>
      <c r="AF220" s="200">
        <f t="shared" si="23"/>
        <v>8.6409423787403128E-2</v>
      </c>
    </row>
    <row r="221" spans="2:32" x14ac:dyDescent="0.3">
      <c r="B221" s="331">
        <v>40970.8125</v>
      </c>
      <c r="C221" s="332">
        <v>120638300</v>
      </c>
      <c r="D221" s="333">
        <v>137.30999755859375</v>
      </c>
      <c r="E221" s="197"/>
      <c r="F221" s="333">
        <v>149.7491029382567</v>
      </c>
      <c r="G221" s="200">
        <f t="shared" si="18"/>
        <v>2.7751763904075855E-3</v>
      </c>
      <c r="H221" s="332">
        <v>17638168</v>
      </c>
      <c r="I221" s="333">
        <v>6.377838134765625</v>
      </c>
      <c r="J221" s="197"/>
      <c r="K221" s="333">
        <v>6.5646319541439171</v>
      </c>
      <c r="L221" s="200">
        <f t="shared" si="19"/>
        <v>9.6467403667735541E-2</v>
      </c>
      <c r="M221" s="332">
        <v>1102285</v>
      </c>
      <c r="N221" s="333">
        <v>57.857143402099609</v>
      </c>
      <c r="O221" s="197"/>
      <c r="P221" s="333">
        <v>64.872735199463619</v>
      </c>
      <c r="Q221" s="200">
        <f t="shared" si="20"/>
        <v>3.5805626249136413E-2</v>
      </c>
      <c r="R221" s="332">
        <v>754700</v>
      </c>
      <c r="S221" s="333">
        <v>43.630001068115234</v>
      </c>
      <c r="T221" s="197"/>
      <c r="U221" s="333">
        <v>48.456661268230675</v>
      </c>
      <c r="V221" s="200">
        <f t="shared" si="21"/>
        <v>-5.5014017794320136E-2</v>
      </c>
      <c r="W221" s="332">
        <v>1070513</v>
      </c>
      <c r="X221" s="333">
        <v>42.615001678466797</v>
      </c>
      <c r="Y221" s="197"/>
      <c r="Z221" s="333">
        <v>43.587833066922784</v>
      </c>
      <c r="AA221" s="200">
        <f t="shared" si="22"/>
        <v>7.2480206968084326E-2</v>
      </c>
      <c r="AB221" s="332">
        <v>0</v>
      </c>
      <c r="AC221" s="333">
        <v>64.75</v>
      </c>
      <c r="AD221" s="197"/>
      <c r="AE221" s="333">
        <v>64.75</v>
      </c>
      <c r="AF221" s="200">
        <f t="shared" si="23"/>
        <v>0</v>
      </c>
    </row>
    <row r="222" spans="2:32" x14ac:dyDescent="0.3">
      <c r="B222" s="331">
        <v>40977.8125</v>
      </c>
      <c r="C222" s="332">
        <v>122836800</v>
      </c>
      <c r="D222" s="333">
        <v>137.57000732421875</v>
      </c>
      <c r="E222" s="197"/>
      <c r="F222" s="333">
        <v>150.03266735344732</v>
      </c>
      <c r="G222" s="200">
        <f t="shared" si="18"/>
        <v>1.8935967536817255E-3</v>
      </c>
      <c r="H222" s="332">
        <v>16402963</v>
      </c>
      <c r="I222" s="333">
        <v>6.3541288375854492</v>
      </c>
      <c r="J222" s="197"/>
      <c r="K222" s="333">
        <v>6.5402282601977095</v>
      </c>
      <c r="L222" s="200">
        <f t="shared" si="19"/>
        <v>-3.7174504399751784E-3</v>
      </c>
      <c r="M222" s="332">
        <v>750158</v>
      </c>
      <c r="N222" s="333">
        <v>57.857143402099609</v>
      </c>
      <c r="O222" s="197"/>
      <c r="P222" s="333">
        <v>64.872735199463619</v>
      </c>
      <c r="Q222" s="200">
        <f t="shared" si="20"/>
        <v>0</v>
      </c>
      <c r="R222" s="332">
        <v>742200</v>
      </c>
      <c r="S222" s="333">
        <v>45.990001678466797</v>
      </c>
      <c r="T222" s="197"/>
      <c r="U222" s="333">
        <v>51.07774188636057</v>
      </c>
      <c r="V222" s="200">
        <f t="shared" si="21"/>
        <v>5.4091234301533175E-2</v>
      </c>
      <c r="W222" s="332">
        <v>741587</v>
      </c>
      <c r="X222" s="333">
        <v>41.685001373291016</v>
      </c>
      <c r="Y222" s="197"/>
      <c r="Z222" s="333">
        <v>42.636602362767441</v>
      </c>
      <c r="AA222" s="200">
        <f t="shared" si="22"/>
        <v>-2.1823307956026716E-2</v>
      </c>
      <c r="AB222" s="332">
        <v>0</v>
      </c>
      <c r="AC222" s="333">
        <v>65.300003051757813</v>
      </c>
      <c r="AD222" s="197"/>
      <c r="AE222" s="333">
        <v>65.300003051757813</v>
      </c>
      <c r="AF222" s="200">
        <f t="shared" si="23"/>
        <v>8.494255625603353E-3</v>
      </c>
    </row>
    <row r="223" spans="2:32" x14ac:dyDescent="0.3">
      <c r="B223" s="331">
        <v>40984.770833333336</v>
      </c>
      <c r="C223" s="332">
        <v>152893500</v>
      </c>
      <c r="D223" s="333">
        <v>140.30000305175781</v>
      </c>
      <c r="E223" s="333">
        <v>0.61399999999999999</v>
      </c>
      <c r="F223" s="333">
        <v>153.67960034690728</v>
      </c>
      <c r="G223" s="200">
        <f t="shared" si="18"/>
        <v>2.4307592858217264E-2</v>
      </c>
      <c r="H223" s="332">
        <v>27844610</v>
      </c>
      <c r="I223" s="333">
        <v>5.9905838966369629</v>
      </c>
      <c r="J223" s="197"/>
      <c r="K223" s="333">
        <v>6.1660358323421383</v>
      </c>
      <c r="L223" s="200">
        <f t="shared" si="19"/>
        <v>-5.7213970670231595E-2</v>
      </c>
      <c r="M223" s="332">
        <v>2635335</v>
      </c>
      <c r="N223" s="333">
        <v>59.857143402099609</v>
      </c>
      <c r="O223" s="197"/>
      <c r="P223" s="333">
        <v>67.1152494815327</v>
      </c>
      <c r="Q223" s="200">
        <f t="shared" si="20"/>
        <v>3.4567900908972549E-2</v>
      </c>
      <c r="R223" s="332">
        <v>1065600</v>
      </c>
      <c r="S223" s="333">
        <v>45.720001220703125</v>
      </c>
      <c r="T223" s="197"/>
      <c r="U223" s="333">
        <v>50.777872062756948</v>
      </c>
      <c r="V223" s="200">
        <f t="shared" si="21"/>
        <v>-5.8708512265632784E-3</v>
      </c>
      <c r="W223" s="332">
        <v>2198128</v>
      </c>
      <c r="X223" s="333">
        <v>44.435001373291016</v>
      </c>
      <c r="Y223" s="197"/>
      <c r="Z223" s="333">
        <v>45.449380403665792</v>
      </c>
      <c r="AA223" s="200">
        <f t="shared" si="22"/>
        <v>6.5970970598600465E-2</v>
      </c>
      <c r="AB223" s="332">
        <v>200</v>
      </c>
      <c r="AC223" s="333">
        <v>68.849998474121094</v>
      </c>
      <c r="AD223" s="197"/>
      <c r="AE223" s="333">
        <v>68.849998474121094</v>
      </c>
      <c r="AF223" s="200">
        <f t="shared" si="23"/>
        <v>5.4364399026895827E-2</v>
      </c>
    </row>
    <row r="224" spans="2:32" x14ac:dyDescent="0.3">
      <c r="B224" s="331">
        <v>40991.770833333336</v>
      </c>
      <c r="C224" s="332">
        <v>120521000</v>
      </c>
      <c r="D224" s="333">
        <v>139.64999389648438</v>
      </c>
      <c r="E224" s="197"/>
      <c r="F224" s="333">
        <v>152.96760358973398</v>
      </c>
      <c r="G224" s="200">
        <f t="shared" si="18"/>
        <v>-4.6329945911238735E-3</v>
      </c>
      <c r="H224" s="332">
        <v>12410755</v>
      </c>
      <c r="I224" s="333">
        <v>6.2988071441650391</v>
      </c>
      <c r="J224" s="197"/>
      <c r="K224" s="333">
        <v>6.4832863076565577</v>
      </c>
      <c r="L224" s="200">
        <f t="shared" si="19"/>
        <v>5.1451286359766923E-2</v>
      </c>
      <c r="M224" s="332">
        <v>889503</v>
      </c>
      <c r="N224" s="333">
        <v>57.428569793701172</v>
      </c>
      <c r="O224" s="197"/>
      <c r="P224" s="333">
        <v>64.392193980587919</v>
      </c>
      <c r="Q224" s="200">
        <f t="shared" si="20"/>
        <v>-4.0572828410539552E-2</v>
      </c>
      <c r="R224" s="332">
        <v>398100</v>
      </c>
      <c r="S224" s="333">
        <v>44.159999847412109</v>
      </c>
      <c r="T224" s="197"/>
      <c r="U224" s="333">
        <v>49.045292271949194</v>
      </c>
      <c r="V224" s="200">
        <f t="shared" si="21"/>
        <v>-3.4120764034113904E-2</v>
      </c>
      <c r="W224" s="332">
        <v>1389418</v>
      </c>
      <c r="X224" s="333">
        <v>44.919998168945313</v>
      </c>
      <c r="Y224" s="197"/>
      <c r="Z224" s="333">
        <v>45.945448889746693</v>
      </c>
      <c r="AA224" s="200">
        <f t="shared" si="22"/>
        <v>1.0914746948692988E-2</v>
      </c>
      <c r="AB224" s="332">
        <v>0</v>
      </c>
      <c r="AC224" s="333">
        <v>68.5</v>
      </c>
      <c r="AD224" s="197"/>
      <c r="AE224" s="333">
        <v>68.5</v>
      </c>
      <c r="AF224" s="200">
        <f t="shared" si="23"/>
        <v>-5.0834928377325728E-3</v>
      </c>
    </row>
    <row r="225" spans="2:32" x14ac:dyDescent="0.3">
      <c r="B225" s="331">
        <v>40998.770833333336</v>
      </c>
      <c r="C225" s="332">
        <v>135486800</v>
      </c>
      <c r="D225" s="333">
        <v>140.80999755859375</v>
      </c>
      <c r="E225" s="197"/>
      <c r="F225" s="333">
        <v>154.23823007096186</v>
      </c>
      <c r="G225" s="200">
        <f t="shared" si="18"/>
        <v>8.3065070734569257E-3</v>
      </c>
      <c r="H225" s="332">
        <v>14628305</v>
      </c>
      <c r="I225" s="333">
        <v>6.3781538009643555</v>
      </c>
      <c r="J225" s="197" t="s">
        <v>440</v>
      </c>
      <c r="K225" s="333">
        <v>6.5649568655592363</v>
      </c>
      <c r="L225" s="200">
        <f t="shared" si="19"/>
        <v>1.2597092589637482E-2</v>
      </c>
      <c r="M225" s="332">
        <v>1052503</v>
      </c>
      <c r="N225" s="333">
        <v>56.095237731933594</v>
      </c>
      <c r="O225" s="197"/>
      <c r="P225" s="333">
        <v>62.89718588496072</v>
      </c>
      <c r="Q225" s="200">
        <f t="shared" si="20"/>
        <v>-2.321722561709727E-2</v>
      </c>
      <c r="R225" s="332">
        <v>458600</v>
      </c>
      <c r="S225" s="333">
        <v>42.729999542236328</v>
      </c>
      <c r="T225" s="197"/>
      <c r="U225" s="333">
        <v>47.45709518955195</v>
      </c>
      <c r="V225" s="200">
        <f t="shared" si="21"/>
        <v>-3.2382253399386718E-2</v>
      </c>
      <c r="W225" s="332">
        <v>1861738</v>
      </c>
      <c r="X225" s="333">
        <v>45.384990692138672</v>
      </c>
      <c r="Y225" s="197"/>
      <c r="Z225" s="333">
        <v>46.421056438263129</v>
      </c>
      <c r="AA225" s="200">
        <f t="shared" si="22"/>
        <v>1.0351570395094711E-2</v>
      </c>
      <c r="AB225" s="332">
        <v>200</v>
      </c>
      <c r="AC225" s="333">
        <v>64.849998474121094</v>
      </c>
      <c r="AD225" s="197"/>
      <c r="AE225" s="333">
        <v>64.849998474121094</v>
      </c>
      <c r="AF225" s="200">
        <f t="shared" si="23"/>
        <v>-5.3284693808451133E-2</v>
      </c>
    </row>
    <row r="226" spans="2:32" x14ac:dyDescent="0.3">
      <c r="B226" s="331">
        <v>41004.770833333336</v>
      </c>
      <c r="C226" s="332">
        <v>137439400</v>
      </c>
      <c r="D226" s="333">
        <v>139.78999328613281</v>
      </c>
      <c r="E226" s="197"/>
      <c r="F226" s="333">
        <v>153.12095390892139</v>
      </c>
      <c r="G226" s="200">
        <f t="shared" si="18"/>
        <v>-7.2438341747466106E-3</v>
      </c>
      <c r="H226" s="332">
        <v>9969254</v>
      </c>
      <c r="I226" s="333">
        <v>6.090479850769043</v>
      </c>
      <c r="J226" s="197"/>
      <c r="K226" s="333">
        <v>6.268857534418661</v>
      </c>
      <c r="L226" s="200">
        <f t="shared" si="19"/>
        <v>-4.5103012434698164E-2</v>
      </c>
      <c r="M226" s="332">
        <v>956835</v>
      </c>
      <c r="N226" s="333">
        <v>54.095237731933594</v>
      </c>
      <c r="O226" s="197"/>
      <c r="P226" s="333">
        <v>60.654671602891646</v>
      </c>
      <c r="Q226" s="200">
        <f t="shared" si="20"/>
        <v>-3.5653650485582E-2</v>
      </c>
      <c r="R226" s="332">
        <v>739400</v>
      </c>
      <c r="S226" s="333">
        <v>42.5</v>
      </c>
      <c r="T226" s="197"/>
      <c r="U226" s="333">
        <v>47.201651466490972</v>
      </c>
      <c r="V226" s="200">
        <f t="shared" si="21"/>
        <v>-5.3826244956773905E-3</v>
      </c>
      <c r="W226" s="332">
        <v>1566568</v>
      </c>
      <c r="X226" s="333">
        <v>43.5</v>
      </c>
      <c r="Y226" s="197"/>
      <c r="Z226" s="333">
        <v>44.493034465119329</v>
      </c>
      <c r="AA226" s="200">
        <f t="shared" si="22"/>
        <v>-4.153334975708578E-2</v>
      </c>
      <c r="AB226" s="332">
        <v>0</v>
      </c>
      <c r="AC226" s="333">
        <v>63.5</v>
      </c>
      <c r="AD226" s="197"/>
      <c r="AE226" s="333">
        <v>63.500000000000007</v>
      </c>
      <c r="AF226" s="200">
        <f t="shared" si="23"/>
        <v>-2.0817247584975829E-2</v>
      </c>
    </row>
    <row r="227" spans="2:32" x14ac:dyDescent="0.3">
      <c r="B227" s="331">
        <v>41012.770833333336</v>
      </c>
      <c r="C227" s="332">
        <v>169246700</v>
      </c>
      <c r="D227" s="333">
        <v>137.13999938964844</v>
      </c>
      <c r="E227" s="197"/>
      <c r="F227" s="333">
        <v>150.21824546932697</v>
      </c>
      <c r="G227" s="200">
        <f t="shared" si="18"/>
        <v>-1.8956964187416103E-2</v>
      </c>
      <c r="H227" s="332">
        <v>12124433</v>
      </c>
      <c r="I227" s="333">
        <v>5.589104175567627</v>
      </c>
      <c r="J227" s="197"/>
      <c r="K227" s="333">
        <v>5.7527975923331836</v>
      </c>
      <c r="L227" s="200">
        <f t="shared" si="19"/>
        <v>-8.2321210723340199E-2</v>
      </c>
      <c r="M227" s="332">
        <v>864502</v>
      </c>
      <c r="N227" s="333">
        <v>53.571426391601563</v>
      </c>
      <c r="O227" s="197"/>
      <c r="P227" s="333">
        <v>60.067344396989476</v>
      </c>
      <c r="Q227" s="200">
        <f t="shared" si="20"/>
        <v>-9.6831322366630612E-3</v>
      </c>
      <c r="R227" s="332">
        <v>602000</v>
      </c>
      <c r="S227" s="333">
        <v>41.630001068115234</v>
      </c>
      <c r="T227" s="197"/>
      <c r="U227" s="333">
        <v>46.235407081572284</v>
      </c>
      <c r="V227" s="200">
        <f t="shared" si="21"/>
        <v>-2.047056310317108E-2</v>
      </c>
      <c r="W227" s="332">
        <v>1074626</v>
      </c>
      <c r="X227" s="333">
        <v>42.590000152587891</v>
      </c>
      <c r="Y227" s="197"/>
      <c r="Z227" s="333">
        <v>43.562260796747829</v>
      </c>
      <c r="AA227" s="200">
        <f t="shared" si="22"/>
        <v>-2.0919536722117438E-2</v>
      </c>
      <c r="AB227" s="332">
        <v>0</v>
      </c>
      <c r="AC227" s="333">
        <v>63.5</v>
      </c>
      <c r="AD227" s="197"/>
      <c r="AE227" s="333">
        <v>63.500000000000007</v>
      </c>
      <c r="AF227" s="200">
        <f t="shared" si="23"/>
        <v>0</v>
      </c>
    </row>
    <row r="228" spans="2:32" x14ac:dyDescent="0.3">
      <c r="B228" s="331">
        <v>41019.770833333336</v>
      </c>
      <c r="C228" s="332">
        <v>143199600</v>
      </c>
      <c r="D228" s="333">
        <v>137.94999694824219</v>
      </c>
      <c r="E228" s="197"/>
      <c r="F228" s="333">
        <v>151.10548779562069</v>
      </c>
      <c r="G228" s="200">
        <f t="shared" si="18"/>
        <v>5.9063552734337499E-3</v>
      </c>
      <c r="H228" s="332">
        <v>10695596</v>
      </c>
      <c r="I228" s="333">
        <v>5.5726661682128906</v>
      </c>
      <c r="J228" s="197"/>
      <c r="K228" s="333">
        <v>5.7358781494023354</v>
      </c>
      <c r="L228" s="200">
        <f t="shared" si="19"/>
        <v>-2.9410808670544686E-3</v>
      </c>
      <c r="M228" s="332">
        <v>1209110</v>
      </c>
      <c r="N228" s="333">
        <v>52.619045257568359</v>
      </c>
      <c r="O228" s="333">
        <v>0.95238100000000003</v>
      </c>
      <c r="P228" s="333">
        <v>60.06734424670379</v>
      </c>
      <c r="Q228" s="200">
        <f t="shared" si="20"/>
        <v>-2.5019532001735456E-9</v>
      </c>
      <c r="R228" s="332">
        <v>456000</v>
      </c>
      <c r="S228" s="333">
        <v>41.180000305175781</v>
      </c>
      <c r="T228" s="197"/>
      <c r="U228" s="333">
        <v>45.735624042232907</v>
      </c>
      <c r="V228" s="200">
        <f t="shared" si="21"/>
        <v>-1.080953042021715E-2</v>
      </c>
      <c r="W228" s="332">
        <v>1129015</v>
      </c>
      <c r="X228" s="333">
        <v>42.869998931884766</v>
      </c>
      <c r="Y228" s="197"/>
      <c r="Z228" s="333">
        <v>43.848651494160414</v>
      </c>
      <c r="AA228" s="200">
        <f t="shared" si="22"/>
        <v>6.5742845337808387E-3</v>
      </c>
      <c r="AB228" s="332">
        <v>200</v>
      </c>
      <c r="AC228" s="333">
        <v>59.75</v>
      </c>
      <c r="AD228" s="197"/>
      <c r="AE228" s="333">
        <v>59.750000000000007</v>
      </c>
      <c r="AF228" s="200">
        <f t="shared" si="23"/>
        <v>-5.9055118110236227E-2</v>
      </c>
    </row>
    <row r="229" spans="2:32" x14ac:dyDescent="0.3">
      <c r="B229" s="331">
        <v>41026.770833333336</v>
      </c>
      <c r="C229" s="332">
        <v>130725000</v>
      </c>
      <c r="D229" s="333">
        <v>140.38999938964844</v>
      </c>
      <c r="E229" s="197"/>
      <c r="F229" s="333">
        <v>153.77817911339963</v>
      </c>
      <c r="G229" s="200">
        <f t="shared" si="18"/>
        <v>1.7687586048455994E-2</v>
      </c>
      <c r="H229" s="332">
        <v>16728856</v>
      </c>
      <c r="I229" s="333">
        <v>5.942533016204834</v>
      </c>
      <c r="J229" s="197"/>
      <c r="K229" s="333">
        <v>6.1165776400136043</v>
      </c>
      <c r="L229" s="200">
        <f t="shared" si="19"/>
        <v>6.6371614022333603E-2</v>
      </c>
      <c r="M229" s="332">
        <v>752099</v>
      </c>
      <c r="N229" s="333">
        <v>53.761905670166016</v>
      </c>
      <c r="O229" s="197"/>
      <c r="P229" s="333">
        <v>61.37197813911672</v>
      </c>
      <c r="Q229" s="200">
        <f t="shared" si="20"/>
        <v>2.1719520128185454E-2</v>
      </c>
      <c r="R229" s="332">
        <v>511800</v>
      </c>
      <c r="S229" s="333">
        <v>42.360000610351563</v>
      </c>
      <c r="T229" s="197"/>
      <c r="U229" s="333">
        <v>47.046164351297854</v>
      </c>
      <c r="V229" s="200">
        <f t="shared" si="21"/>
        <v>2.865469393955955E-2</v>
      </c>
      <c r="W229" s="332">
        <v>1087376</v>
      </c>
      <c r="X229" s="333">
        <v>42.345001220703125</v>
      </c>
      <c r="Y229" s="197"/>
      <c r="Z229" s="333">
        <v>43.311668936511822</v>
      </c>
      <c r="AA229" s="200">
        <f t="shared" si="22"/>
        <v>-1.2246273017543219E-2</v>
      </c>
      <c r="AB229" s="332">
        <v>400</v>
      </c>
      <c r="AC229" s="333">
        <v>62.290000915527344</v>
      </c>
      <c r="AD229" s="197"/>
      <c r="AE229" s="333">
        <v>62.290000915527351</v>
      </c>
      <c r="AF229" s="200">
        <f t="shared" si="23"/>
        <v>4.2510475573679374E-2</v>
      </c>
    </row>
    <row r="230" spans="2:32" x14ac:dyDescent="0.3">
      <c r="B230" s="331">
        <v>41033.770833333336</v>
      </c>
      <c r="C230" s="332">
        <v>193927300</v>
      </c>
      <c r="D230" s="333">
        <v>137</v>
      </c>
      <c r="E230" s="197"/>
      <c r="F230" s="333">
        <v>150.06489515013956</v>
      </c>
      <c r="G230" s="200">
        <f t="shared" si="18"/>
        <v>-2.4147014775885767E-2</v>
      </c>
      <c r="H230" s="332">
        <v>9825446</v>
      </c>
      <c r="I230" s="333">
        <v>5.5069122314453125</v>
      </c>
      <c r="J230" s="197"/>
      <c r="K230" s="333">
        <v>5.6681984144679731</v>
      </c>
      <c r="L230" s="200">
        <f t="shared" si="19"/>
        <v>-7.3305572484261616E-2</v>
      </c>
      <c r="M230" s="332">
        <v>968457</v>
      </c>
      <c r="N230" s="333">
        <v>52.095237731933594</v>
      </c>
      <c r="O230" s="197"/>
      <c r="P230" s="333">
        <v>59.46939103779809</v>
      </c>
      <c r="Q230" s="200">
        <f t="shared" si="20"/>
        <v>-3.1000908867657606E-2</v>
      </c>
      <c r="R230" s="332">
        <v>531200</v>
      </c>
      <c r="S230" s="333">
        <v>41.369998931884766</v>
      </c>
      <c r="T230" s="197"/>
      <c r="U230" s="333">
        <v>45.946641664751247</v>
      </c>
      <c r="V230" s="200">
        <f t="shared" si="21"/>
        <v>-2.3371144102978803E-2</v>
      </c>
      <c r="W230" s="332">
        <v>1848456</v>
      </c>
      <c r="X230" s="333">
        <v>38.564998626708984</v>
      </c>
      <c r="Y230" s="333">
        <v>0.35</v>
      </c>
      <c r="Z230" s="333">
        <v>39.803364945016881</v>
      </c>
      <c r="AA230" s="200">
        <f t="shared" si="22"/>
        <v>-8.1001357778144545E-2</v>
      </c>
      <c r="AB230" s="332">
        <v>0</v>
      </c>
      <c r="AC230" s="333">
        <v>62.290000915527344</v>
      </c>
      <c r="AD230" s="197"/>
      <c r="AE230" s="333">
        <v>62.290000915527351</v>
      </c>
      <c r="AF230" s="200">
        <f t="shared" si="23"/>
        <v>0</v>
      </c>
    </row>
    <row r="231" spans="2:32" x14ac:dyDescent="0.3">
      <c r="B231" s="331">
        <v>41040.770833333336</v>
      </c>
      <c r="C231" s="332">
        <v>153032400</v>
      </c>
      <c r="D231" s="333">
        <v>135.61000061035156</v>
      </c>
      <c r="E231" s="197"/>
      <c r="F231" s="333">
        <v>148.54233958323186</v>
      </c>
      <c r="G231" s="200">
        <f t="shared" si="18"/>
        <v>-1.0145980946339117E-2</v>
      </c>
      <c r="H231" s="332">
        <v>13402892</v>
      </c>
      <c r="I231" s="333">
        <v>5.3589649200439453</v>
      </c>
      <c r="J231" s="197"/>
      <c r="K231" s="333">
        <v>5.5159180292601739</v>
      </c>
      <c r="L231" s="200">
        <f t="shared" si="19"/>
        <v>-2.6865747116245342E-2</v>
      </c>
      <c r="M231" s="332">
        <v>1066052</v>
      </c>
      <c r="N231" s="333">
        <v>52.571426391601563</v>
      </c>
      <c r="O231" s="197"/>
      <c r="P231" s="333">
        <v>60.01298486407601</v>
      </c>
      <c r="Q231" s="200">
        <f t="shared" si="20"/>
        <v>9.1407330189814395E-3</v>
      </c>
      <c r="R231" s="332">
        <v>965300</v>
      </c>
      <c r="S231" s="333">
        <v>40.020000457763672</v>
      </c>
      <c r="T231" s="197"/>
      <c r="U231" s="333">
        <v>44.447296783439278</v>
      </c>
      <c r="V231" s="200">
        <f t="shared" si="21"/>
        <v>-3.2632306235827024E-2</v>
      </c>
      <c r="W231" s="332">
        <v>918333</v>
      </c>
      <c r="X231" s="333">
        <v>38.544990539550781</v>
      </c>
      <c r="Y231" s="197"/>
      <c r="Z231" s="333">
        <v>39.782714375241987</v>
      </c>
      <c r="AA231" s="200">
        <f t="shared" si="22"/>
        <v>-5.1881467316694518E-4</v>
      </c>
      <c r="AB231" s="332">
        <v>0</v>
      </c>
      <c r="AC231" s="333">
        <v>58</v>
      </c>
      <c r="AD231" s="197"/>
      <c r="AE231" s="333">
        <v>58.000000000000007</v>
      </c>
      <c r="AF231" s="200">
        <f t="shared" si="23"/>
        <v>-6.8871421616209294E-2</v>
      </c>
    </row>
    <row r="232" spans="2:32" x14ac:dyDescent="0.3">
      <c r="B232" s="331">
        <v>41047.770833333336</v>
      </c>
      <c r="C232" s="332">
        <v>319615900</v>
      </c>
      <c r="D232" s="333">
        <v>129.74000549316406</v>
      </c>
      <c r="E232" s="197"/>
      <c r="F232" s="333">
        <v>142.11255708839556</v>
      </c>
      <c r="G232" s="200">
        <f t="shared" si="18"/>
        <v>-4.328585716958866E-2</v>
      </c>
      <c r="H232" s="332">
        <v>18811279</v>
      </c>
      <c r="I232" s="333">
        <v>4.2493629455566406</v>
      </c>
      <c r="J232" s="197"/>
      <c r="K232" s="333">
        <v>4.3738180850181392</v>
      </c>
      <c r="L232" s="200">
        <f t="shared" si="19"/>
        <v>-0.20705527859253192</v>
      </c>
      <c r="M232" s="332">
        <v>1595421</v>
      </c>
      <c r="N232" s="333">
        <v>51.380950927734375</v>
      </c>
      <c r="O232" s="197"/>
      <c r="P232" s="333">
        <v>58.65399594370826</v>
      </c>
      <c r="Q232" s="200">
        <f t="shared" si="20"/>
        <v>-2.2644914653815906E-2</v>
      </c>
      <c r="R232" s="332">
        <v>1698200</v>
      </c>
      <c r="S232" s="333">
        <v>34.590000152587891</v>
      </c>
      <c r="T232" s="197"/>
      <c r="U232" s="333">
        <v>38.416591327725236</v>
      </c>
      <c r="V232" s="200">
        <f t="shared" si="21"/>
        <v>-0.13568216499413832</v>
      </c>
      <c r="W232" s="332">
        <v>1082138</v>
      </c>
      <c r="X232" s="333">
        <v>34.944999694824219</v>
      </c>
      <c r="Y232" s="197"/>
      <c r="Z232" s="333">
        <v>36.067123697322671</v>
      </c>
      <c r="AA232" s="200">
        <f t="shared" si="22"/>
        <v>-9.3397113200290871E-2</v>
      </c>
      <c r="AB232" s="332">
        <v>400</v>
      </c>
      <c r="AC232" s="333">
        <v>56.849998474121094</v>
      </c>
      <c r="AD232" s="197"/>
      <c r="AE232" s="333">
        <v>56.849998474121101</v>
      </c>
      <c r="AF232" s="200">
        <f t="shared" si="23"/>
        <v>-1.9827612515153525E-2</v>
      </c>
    </row>
    <row r="233" spans="2:32" x14ac:dyDescent="0.3">
      <c r="B233" s="331">
        <v>41054.770833333336</v>
      </c>
      <c r="C233" s="332">
        <v>135465600</v>
      </c>
      <c r="D233" s="333">
        <v>132.10000610351563</v>
      </c>
      <c r="E233" s="197"/>
      <c r="F233" s="333">
        <v>144.69761726464867</v>
      </c>
      <c r="G233" s="200">
        <f t="shared" si="18"/>
        <v>1.8190230541310859E-2</v>
      </c>
      <c r="H233" s="332">
        <v>6714586</v>
      </c>
      <c r="I233" s="333">
        <v>4.495941162109375</v>
      </c>
      <c r="J233" s="197"/>
      <c r="K233" s="333">
        <v>4.6276180726274809</v>
      </c>
      <c r="L233" s="200">
        <f t="shared" si="19"/>
        <v>5.8027101876663822E-2</v>
      </c>
      <c r="M233" s="332">
        <v>1051264</v>
      </c>
      <c r="N233" s="333">
        <v>50.904762268066406</v>
      </c>
      <c r="O233" s="197"/>
      <c r="P233" s="333">
        <v>58.11040211743034</v>
      </c>
      <c r="Q233" s="200">
        <f t="shared" si="20"/>
        <v>-9.2678055012589411E-3</v>
      </c>
      <c r="R233" s="332">
        <v>684200</v>
      </c>
      <c r="S233" s="333">
        <v>35.759998321533203</v>
      </c>
      <c r="T233" s="197"/>
      <c r="U233" s="333">
        <v>39.716022993301451</v>
      </c>
      <c r="V233" s="200">
        <f t="shared" si="21"/>
        <v>3.3824751771727835E-2</v>
      </c>
      <c r="W233" s="332">
        <v>782021</v>
      </c>
      <c r="X233" s="333">
        <v>35.529998779296875</v>
      </c>
      <c r="Y233" s="197"/>
      <c r="Z233" s="333">
        <v>36.670907773063298</v>
      </c>
      <c r="AA233" s="200">
        <f t="shared" si="22"/>
        <v>1.6740566306523874E-2</v>
      </c>
      <c r="AB233" s="332">
        <v>0</v>
      </c>
      <c r="AC233" s="333">
        <v>56.900001525878906</v>
      </c>
      <c r="AD233" s="197"/>
      <c r="AE233" s="333">
        <v>56.90000152587892</v>
      </c>
      <c r="AF233" s="200">
        <f t="shared" si="23"/>
        <v>8.7956118029763886E-4</v>
      </c>
    </row>
    <row r="234" spans="2:32" x14ac:dyDescent="0.3">
      <c r="B234" s="331">
        <v>41061.770833333336</v>
      </c>
      <c r="C234" s="332">
        <v>253240900</v>
      </c>
      <c r="D234" s="333">
        <v>128.16000366210938</v>
      </c>
      <c r="E234" s="197"/>
      <c r="F234" s="333">
        <v>140.38187964960542</v>
      </c>
      <c r="G234" s="200">
        <f t="shared" si="18"/>
        <v>-2.9825906581100514E-2</v>
      </c>
      <c r="H234" s="332">
        <v>20881170</v>
      </c>
      <c r="I234" s="333">
        <v>4.1753897666931152</v>
      </c>
      <c r="J234" s="197"/>
      <c r="K234" s="333">
        <v>4.297678383216982</v>
      </c>
      <c r="L234" s="200">
        <f t="shared" si="19"/>
        <v>-7.1297951609728405E-2</v>
      </c>
      <c r="M234" s="332">
        <v>1552627</v>
      </c>
      <c r="N234" s="333">
        <v>48.190475463867188</v>
      </c>
      <c r="O234" s="197"/>
      <c r="P234" s="333">
        <v>55.011904243627328</v>
      </c>
      <c r="Q234" s="200">
        <f t="shared" si="20"/>
        <v>-5.3320881647687113E-2</v>
      </c>
      <c r="R234" s="332">
        <v>577600</v>
      </c>
      <c r="S234" s="333">
        <v>32.970001220703125</v>
      </c>
      <c r="T234" s="197"/>
      <c r="U234" s="333">
        <v>36.617376622809651</v>
      </c>
      <c r="V234" s="200">
        <f t="shared" si="21"/>
        <v>-7.8020056817230232E-2</v>
      </c>
      <c r="W234" s="332">
        <v>1337783</v>
      </c>
      <c r="X234" s="333">
        <v>34.099998474121094</v>
      </c>
      <c r="Y234" s="197"/>
      <c r="Z234" s="333">
        <v>35.194988518680731</v>
      </c>
      <c r="AA234" s="200">
        <f t="shared" si="22"/>
        <v>-4.024768799060674E-2</v>
      </c>
      <c r="AB234" s="332">
        <v>0</v>
      </c>
      <c r="AC234" s="333">
        <v>56.900001525878906</v>
      </c>
      <c r="AD234" s="197"/>
      <c r="AE234" s="333">
        <v>56.90000152587892</v>
      </c>
      <c r="AF234" s="200">
        <f t="shared" si="23"/>
        <v>0</v>
      </c>
    </row>
    <row r="235" spans="2:32" x14ac:dyDescent="0.3">
      <c r="B235" s="331">
        <v>41068.770833333336</v>
      </c>
      <c r="C235" s="332">
        <v>143915400</v>
      </c>
      <c r="D235" s="333">
        <v>133.10000610351563</v>
      </c>
      <c r="E235" s="197"/>
      <c r="F235" s="333">
        <v>145.79298146282488</v>
      </c>
      <c r="G235" s="200">
        <f t="shared" si="18"/>
        <v>3.8545585988203124E-2</v>
      </c>
      <c r="H235" s="332">
        <v>7542031</v>
      </c>
      <c r="I235" s="333">
        <v>4.4384059906005859</v>
      </c>
      <c r="J235" s="197"/>
      <c r="K235" s="333">
        <v>4.5683978137571719</v>
      </c>
      <c r="L235" s="200">
        <f t="shared" si="19"/>
        <v>6.2992017177782689E-2</v>
      </c>
      <c r="M235" s="332">
        <v>814742</v>
      </c>
      <c r="N235" s="333">
        <v>48.571426391601563</v>
      </c>
      <c r="O235" s="197"/>
      <c r="P235" s="333">
        <v>55.44677930464966</v>
      </c>
      <c r="Q235" s="200">
        <f t="shared" si="20"/>
        <v>7.9051083034034075E-3</v>
      </c>
      <c r="R235" s="332">
        <v>345000</v>
      </c>
      <c r="S235" s="333">
        <v>34.229999542236328</v>
      </c>
      <c r="T235" s="333">
        <v>0.01</v>
      </c>
      <c r="U235" s="333">
        <v>38.027871167187037</v>
      </c>
      <c r="V235" s="200">
        <f t="shared" si="21"/>
        <v>3.8519814210250081E-2</v>
      </c>
      <c r="W235" s="332">
        <v>783222</v>
      </c>
      <c r="X235" s="333">
        <v>34.060001373291016</v>
      </c>
      <c r="Y235" s="197"/>
      <c r="Z235" s="333">
        <v>35.153707065088774</v>
      </c>
      <c r="AA235" s="200">
        <f t="shared" si="22"/>
        <v>-1.1729355606990843E-3</v>
      </c>
      <c r="AB235" s="332">
        <v>0</v>
      </c>
      <c r="AC235" s="333">
        <v>54.439998626708984</v>
      </c>
      <c r="AD235" s="197"/>
      <c r="AE235" s="333">
        <v>54.439998626708999</v>
      </c>
      <c r="AF235" s="200">
        <f t="shared" si="23"/>
        <v>-4.3233793202115733E-2</v>
      </c>
    </row>
    <row r="236" spans="2:32" x14ac:dyDescent="0.3">
      <c r="B236" s="331">
        <v>41075.770833333336</v>
      </c>
      <c r="C236" s="332">
        <v>169444500</v>
      </c>
      <c r="D236" s="333">
        <v>134.13999938964844</v>
      </c>
      <c r="E236" s="333">
        <v>0.68799999999999994</v>
      </c>
      <c r="F236" s="333">
        <v>147.6857634431436</v>
      </c>
      <c r="G236" s="200">
        <f t="shared" si="18"/>
        <v>1.2982668721960078E-2</v>
      </c>
      <c r="H236" s="332">
        <v>11823798</v>
      </c>
      <c r="I236" s="333">
        <v>4.5205988883972168</v>
      </c>
      <c r="J236" s="197"/>
      <c r="K236" s="333">
        <v>4.6529979732278672</v>
      </c>
      <c r="L236" s="200">
        <f t="shared" si="19"/>
        <v>1.8518562288059037E-2</v>
      </c>
      <c r="M236" s="332">
        <v>3160699</v>
      </c>
      <c r="N236" s="333">
        <v>47.599998474121094</v>
      </c>
      <c r="O236" s="197"/>
      <c r="P236" s="333">
        <v>54.337844415304346</v>
      </c>
      <c r="Q236" s="200">
        <f t="shared" si="20"/>
        <v>-1.9999987433937716E-2</v>
      </c>
      <c r="R236" s="332">
        <v>667800</v>
      </c>
      <c r="S236" s="333">
        <v>34.349998474121094</v>
      </c>
      <c r="T236" s="197"/>
      <c r="U236" s="333">
        <v>38.161184166980782</v>
      </c>
      <c r="V236" s="200">
        <f t="shared" si="21"/>
        <v>3.5056656000449493E-3</v>
      </c>
      <c r="W236" s="332">
        <v>1753895</v>
      </c>
      <c r="X236" s="333">
        <v>33.935001373291016</v>
      </c>
      <c r="Y236" s="197"/>
      <c r="Z236" s="333">
        <v>35.024693171783944</v>
      </c>
      <c r="AA236" s="200">
        <f t="shared" si="22"/>
        <v>-3.6699939800360903E-3</v>
      </c>
      <c r="AB236" s="332">
        <v>0</v>
      </c>
      <c r="AC236" s="333">
        <v>52</v>
      </c>
      <c r="AD236" s="197"/>
      <c r="AE236" s="333">
        <v>52.000000000000014</v>
      </c>
      <c r="AF236" s="200">
        <f t="shared" si="23"/>
        <v>-4.4819961209769166E-2</v>
      </c>
    </row>
    <row r="237" spans="2:32" x14ac:dyDescent="0.3">
      <c r="B237" s="331">
        <v>41082.770833333336</v>
      </c>
      <c r="C237" s="332">
        <v>130029200</v>
      </c>
      <c r="D237" s="333">
        <v>133.46000671386719</v>
      </c>
      <c r="E237" s="197"/>
      <c r="F237" s="333">
        <v>146.93710355112447</v>
      </c>
      <c r="G237" s="200">
        <f t="shared" si="18"/>
        <v>-5.0692759719345171E-3</v>
      </c>
      <c r="H237" s="332">
        <v>6865937</v>
      </c>
      <c r="I237" s="333">
        <v>4.6932039260864258</v>
      </c>
      <c r="J237" s="197"/>
      <c r="K237" s="333">
        <v>4.8306582590360518</v>
      </c>
      <c r="L237" s="200">
        <f t="shared" si="19"/>
        <v>3.818189623773649E-2</v>
      </c>
      <c r="M237" s="332">
        <v>1269199</v>
      </c>
      <c r="N237" s="333">
        <v>48.333332061767578</v>
      </c>
      <c r="O237" s="197"/>
      <c r="P237" s="333">
        <v>55.174982391510696</v>
      </c>
      <c r="Q237" s="200">
        <f t="shared" si="20"/>
        <v>1.5406168301563383E-2</v>
      </c>
      <c r="R237" s="332">
        <v>466500</v>
      </c>
      <c r="S237" s="333">
        <v>35.279998779296875</v>
      </c>
      <c r="T237" s="197"/>
      <c r="U237" s="333">
        <v>39.194369450755943</v>
      </c>
      <c r="V237" s="200">
        <f t="shared" si="21"/>
        <v>2.7074245894841198E-2</v>
      </c>
      <c r="W237" s="332">
        <v>926852</v>
      </c>
      <c r="X237" s="333">
        <v>36.505001068115234</v>
      </c>
      <c r="Y237" s="197"/>
      <c r="Z237" s="333">
        <v>37.677218503155906</v>
      </c>
      <c r="AA237" s="200">
        <f t="shared" si="22"/>
        <v>7.573300694918994E-2</v>
      </c>
      <c r="AB237" s="332">
        <v>0</v>
      </c>
      <c r="AC237" s="333">
        <v>54</v>
      </c>
      <c r="AD237" s="197"/>
      <c r="AE237" s="333">
        <v>54.000000000000021</v>
      </c>
      <c r="AF237" s="200">
        <f t="shared" si="23"/>
        <v>3.8461538461538547E-2</v>
      </c>
    </row>
    <row r="238" spans="2:32" x14ac:dyDescent="0.3">
      <c r="B238" s="331">
        <v>41089.770833333336</v>
      </c>
      <c r="C238" s="332">
        <v>212250900</v>
      </c>
      <c r="D238" s="333">
        <v>136.10000610351563</v>
      </c>
      <c r="E238" s="197"/>
      <c r="F238" s="333">
        <v>149.84369611951348</v>
      </c>
      <c r="G238" s="200">
        <f t="shared" si="18"/>
        <v>1.9781202284130384E-2</v>
      </c>
      <c r="H238" s="332">
        <v>18618074</v>
      </c>
      <c r="I238" s="333">
        <v>5.5315690040588379</v>
      </c>
      <c r="J238" s="197"/>
      <c r="K238" s="333">
        <v>5.6935773334628763</v>
      </c>
      <c r="L238" s="200">
        <f t="shared" si="19"/>
        <v>0.17863384825715611</v>
      </c>
      <c r="M238" s="332">
        <v>1034043</v>
      </c>
      <c r="N238" s="333">
        <v>49.857143402099609</v>
      </c>
      <c r="O238" s="197"/>
      <c r="P238" s="333">
        <v>56.914491344945965</v>
      </c>
      <c r="Q238" s="200">
        <f t="shared" si="20"/>
        <v>3.1527132008707603E-2</v>
      </c>
      <c r="R238" s="332">
        <v>1637600</v>
      </c>
      <c r="S238" s="333">
        <v>39.709999084472656</v>
      </c>
      <c r="T238" s="197"/>
      <c r="U238" s="333">
        <v>44.11588517172337</v>
      </c>
      <c r="V238" s="200">
        <f t="shared" si="21"/>
        <v>0.1255669064188123</v>
      </c>
      <c r="W238" s="332">
        <v>1091551</v>
      </c>
      <c r="X238" s="333">
        <v>37.764999389648438</v>
      </c>
      <c r="Y238" s="197"/>
      <c r="Z238" s="333">
        <v>38.977676815304292</v>
      </c>
      <c r="AA238" s="200">
        <f t="shared" si="22"/>
        <v>3.4515772761714247E-2</v>
      </c>
      <c r="AB238" s="332">
        <v>0</v>
      </c>
      <c r="AC238" s="333">
        <v>54</v>
      </c>
      <c r="AD238" s="197"/>
      <c r="AE238" s="333">
        <v>54.000000000000021</v>
      </c>
      <c r="AF238" s="200">
        <f t="shared" si="23"/>
        <v>0</v>
      </c>
    </row>
    <row r="239" spans="2:32" x14ac:dyDescent="0.3">
      <c r="B239" s="331">
        <v>41096.770833333336</v>
      </c>
      <c r="C239" s="332">
        <v>151192100</v>
      </c>
      <c r="D239" s="333">
        <v>135.49000549316406</v>
      </c>
      <c r="E239" s="197"/>
      <c r="F239" s="333">
        <v>149.17209625183446</v>
      </c>
      <c r="G239" s="200">
        <f t="shared" si="18"/>
        <v>-4.482002814074737E-3</v>
      </c>
      <c r="H239" s="332">
        <v>8730580</v>
      </c>
      <c r="I239" s="333">
        <v>5.3671841621398926</v>
      </c>
      <c r="J239" s="197"/>
      <c r="K239" s="333">
        <v>5.5243779961269714</v>
      </c>
      <c r="L239" s="200">
        <f t="shared" si="19"/>
        <v>-2.9717579550815776E-2</v>
      </c>
      <c r="M239" s="332">
        <v>558140</v>
      </c>
      <c r="N239" s="333">
        <v>50.190475463867188</v>
      </c>
      <c r="O239" s="197"/>
      <c r="P239" s="333">
        <v>57.29500702334051</v>
      </c>
      <c r="Q239" s="200">
        <f t="shared" si="20"/>
        <v>6.6857432861575639E-3</v>
      </c>
      <c r="R239" s="332">
        <v>342200</v>
      </c>
      <c r="S239" s="333">
        <v>41.119998931884766</v>
      </c>
      <c r="T239" s="197"/>
      <c r="U239" s="333">
        <v>45.682326692617359</v>
      </c>
      <c r="V239" s="200">
        <f t="shared" si="21"/>
        <v>3.5507425835309192E-2</v>
      </c>
      <c r="W239" s="332">
        <v>756118</v>
      </c>
      <c r="X239" s="333">
        <v>37.450000762939453</v>
      </c>
      <c r="Y239" s="197"/>
      <c r="Z239" s="333">
        <v>38.652563221565082</v>
      </c>
      <c r="AA239" s="200">
        <f t="shared" si="22"/>
        <v>-8.3410203045133358E-3</v>
      </c>
      <c r="AB239" s="332">
        <v>0</v>
      </c>
      <c r="AC239" s="333">
        <v>54.599998474121094</v>
      </c>
      <c r="AD239" s="197"/>
      <c r="AE239" s="333">
        <v>54.599998474121115</v>
      </c>
      <c r="AF239" s="200">
        <f t="shared" si="23"/>
        <v>1.1111082854094345E-2</v>
      </c>
    </row>
    <row r="240" spans="2:32" x14ac:dyDescent="0.3">
      <c r="B240" s="331">
        <v>41103.770833333336</v>
      </c>
      <c r="C240" s="332">
        <v>129642600</v>
      </c>
      <c r="D240" s="333">
        <v>135.75</v>
      </c>
      <c r="E240" s="197"/>
      <c r="F240" s="333">
        <v>149.45834559884358</v>
      </c>
      <c r="G240" s="200">
        <f t="shared" si="18"/>
        <v>1.91892018816886E-3</v>
      </c>
      <c r="H240" s="332">
        <v>15634233</v>
      </c>
      <c r="I240" s="333">
        <v>5.5808849334716797</v>
      </c>
      <c r="J240" s="197"/>
      <c r="K240" s="333">
        <v>5.7443376254663896</v>
      </c>
      <c r="L240" s="200">
        <f t="shared" si="19"/>
        <v>3.9816180119033762E-2</v>
      </c>
      <c r="M240" s="332">
        <v>516574</v>
      </c>
      <c r="N240" s="333">
        <v>49.761905670166016</v>
      </c>
      <c r="O240" s="197"/>
      <c r="P240" s="333">
        <v>56.805772579690391</v>
      </c>
      <c r="Q240" s="200">
        <f t="shared" si="20"/>
        <v>-8.5388669810411155E-3</v>
      </c>
      <c r="R240" s="332">
        <v>666000</v>
      </c>
      <c r="S240" s="333">
        <v>43.130001068115234</v>
      </c>
      <c r="T240" s="197"/>
      <c r="U240" s="333">
        <v>47.915341688367761</v>
      </c>
      <c r="V240" s="200">
        <f t="shared" si="21"/>
        <v>4.8881376178049996E-2</v>
      </c>
      <c r="W240" s="332">
        <v>1265311</v>
      </c>
      <c r="X240" s="333">
        <v>37.215000152587891</v>
      </c>
      <c r="Y240" s="197"/>
      <c r="Z240" s="333">
        <v>38.410016472201356</v>
      </c>
      <c r="AA240" s="200">
        <f t="shared" si="22"/>
        <v>-6.27504954777236E-3</v>
      </c>
      <c r="AB240" s="332">
        <v>0</v>
      </c>
      <c r="AC240" s="333">
        <v>54.599998474121094</v>
      </c>
      <c r="AD240" s="197"/>
      <c r="AE240" s="333">
        <v>54.599998474121115</v>
      </c>
      <c r="AF240" s="200">
        <f t="shared" si="23"/>
        <v>0</v>
      </c>
    </row>
    <row r="241" spans="2:32" x14ac:dyDescent="0.3">
      <c r="B241" s="331">
        <v>41110.770833333336</v>
      </c>
      <c r="C241" s="332">
        <v>142904500</v>
      </c>
      <c r="D241" s="333">
        <v>136.47000122070313</v>
      </c>
      <c r="E241" s="197"/>
      <c r="F241" s="333">
        <v>150.25105419019116</v>
      </c>
      <c r="G241" s="200">
        <f t="shared" si="18"/>
        <v>5.3038763956030355E-3</v>
      </c>
      <c r="H241" s="332">
        <v>43046883</v>
      </c>
      <c r="I241" s="333">
        <v>5.8439021110534668</v>
      </c>
      <c r="J241" s="197"/>
      <c r="K241" s="333">
        <v>6.0150580376120626</v>
      </c>
      <c r="L241" s="200">
        <f t="shared" si="19"/>
        <v>4.7128220831847978E-2</v>
      </c>
      <c r="M241" s="332">
        <v>1269406</v>
      </c>
      <c r="N241" s="333">
        <v>52.333332061767578</v>
      </c>
      <c r="O241" s="197"/>
      <c r="P241" s="333">
        <v>59.741187950937061</v>
      </c>
      <c r="Q241" s="200">
        <f t="shared" si="20"/>
        <v>5.167459640001737E-2</v>
      </c>
      <c r="R241" s="332">
        <v>723200</v>
      </c>
      <c r="S241" s="333">
        <v>44.080001831054688</v>
      </c>
      <c r="T241" s="197"/>
      <c r="U241" s="333">
        <v>48.970746511765853</v>
      </c>
      <c r="V241" s="200">
        <f t="shared" si="21"/>
        <v>2.2026448861874881E-2</v>
      </c>
      <c r="W241" s="332">
        <v>1374868</v>
      </c>
      <c r="X241" s="333">
        <v>38.354999542236328</v>
      </c>
      <c r="Y241" s="197"/>
      <c r="Z241" s="333">
        <v>39.586622549190743</v>
      </c>
      <c r="AA241" s="200">
        <f t="shared" si="22"/>
        <v>3.0632792824781374E-2</v>
      </c>
      <c r="AB241" s="332">
        <v>0</v>
      </c>
      <c r="AC241" s="333">
        <v>55.799999237060547</v>
      </c>
      <c r="AD241" s="197"/>
      <c r="AE241" s="333">
        <v>55.799999237060561</v>
      </c>
      <c r="AF241" s="200">
        <f t="shared" si="23"/>
        <v>2.197803656548114E-2</v>
      </c>
    </row>
    <row r="242" spans="2:32" x14ac:dyDescent="0.3">
      <c r="B242" s="331">
        <v>41117.770833333336</v>
      </c>
      <c r="C242" s="332">
        <v>236768900</v>
      </c>
      <c r="D242" s="333">
        <v>138.67999267578125</v>
      </c>
      <c r="E242" s="197"/>
      <c r="F242" s="333">
        <v>152.68421563890982</v>
      </c>
      <c r="G242" s="200">
        <f t="shared" si="18"/>
        <v>1.6193972560343717E-2</v>
      </c>
      <c r="H242" s="332">
        <v>20061633</v>
      </c>
      <c r="I242" s="333">
        <v>6.123356819152832</v>
      </c>
      <c r="J242" s="197"/>
      <c r="K242" s="333">
        <v>6.3026974018858422</v>
      </c>
      <c r="L242" s="200">
        <f t="shared" si="19"/>
        <v>4.7819881782549034E-2</v>
      </c>
      <c r="M242" s="332">
        <v>1423359</v>
      </c>
      <c r="N242" s="333">
        <v>54.571426391601563</v>
      </c>
      <c r="O242" s="197"/>
      <c r="P242" s="333">
        <v>62.296087643789193</v>
      </c>
      <c r="Q242" s="200">
        <f t="shared" si="20"/>
        <v>4.2766134730202632E-2</v>
      </c>
      <c r="R242" s="332">
        <v>930600</v>
      </c>
      <c r="S242" s="333">
        <v>39.790000915527344</v>
      </c>
      <c r="T242" s="197"/>
      <c r="U242" s="333">
        <v>44.204763330215101</v>
      </c>
      <c r="V242" s="200">
        <f t="shared" si="21"/>
        <v>-9.7323065728754266E-2</v>
      </c>
      <c r="W242" s="332">
        <v>826618</v>
      </c>
      <c r="X242" s="333">
        <v>37.865001678466797</v>
      </c>
      <c r="Y242" s="197"/>
      <c r="Z242" s="333">
        <v>39.080890292263092</v>
      </c>
      <c r="AA242" s="200">
        <f t="shared" si="22"/>
        <v>-1.2775332280474894E-2</v>
      </c>
      <c r="AB242" s="332">
        <v>0</v>
      </c>
      <c r="AC242" s="333">
        <v>55.799999237060547</v>
      </c>
      <c r="AD242" s="197"/>
      <c r="AE242" s="333">
        <v>55.799999237060561</v>
      </c>
      <c r="AF242" s="200">
        <f t="shared" si="23"/>
        <v>0</v>
      </c>
    </row>
    <row r="243" spans="2:32" x14ac:dyDescent="0.3">
      <c r="B243" s="331">
        <v>41124.770833333336</v>
      </c>
      <c r="C243" s="332">
        <v>157825000</v>
      </c>
      <c r="D243" s="333">
        <v>139.35000610351563</v>
      </c>
      <c r="E243" s="197"/>
      <c r="F243" s="333">
        <v>153.42188855558155</v>
      </c>
      <c r="G243" s="200">
        <f t="shared" si="18"/>
        <v>4.8313633048768789E-3</v>
      </c>
      <c r="H243" s="332">
        <v>7630725</v>
      </c>
      <c r="I243" s="333">
        <v>5.9589719772338867</v>
      </c>
      <c r="J243" s="197"/>
      <c r="K243" s="333">
        <v>6.1334980645499373</v>
      </c>
      <c r="L243" s="200">
        <f t="shared" si="19"/>
        <v>-2.684554351051005E-2</v>
      </c>
      <c r="M243" s="332">
        <v>969318</v>
      </c>
      <c r="N243" s="333">
        <v>57.047618865966797</v>
      </c>
      <c r="O243" s="197"/>
      <c r="P243" s="333">
        <v>65.122788604453248</v>
      </c>
      <c r="Q243" s="200">
        <f t="shared" si="20"/>
        <v>4.5375256578345846E-2</v>
      </c>
      <c r="R243" s="332">
        <v>514900</v>
      </c>
      <c r="S243" s="333">
        <v>38.409999847412109</v>
      </c>
      <c r="T243" s="197"/>
      <c r="U243" s="333">
        <v>42.671648999783585</v>
      </c>
      <c r="V243" s="200">
        <f t="shared" si="21"/>
        <v>-3.4682106970666537E-2</v>
      </c>
      <c r="W243" s="332">
        <v>991888</v>
      </c>
      <c r="X243" s="333">
        <v>39.685001373291016</v>
      </c>
      <c r="Y243" s="197"/>
      <c r="Z243" s="333">
        <v>40.959332263806076</v>
      </c>
      <c r="AA243" s="200">
        <f t="shared" si="22"/>
        <v>4.8065485650281126E-2</v>
      </c>
      <c r="AB243" s="332">
        <v>0</v>
      </c>
      <c r="AC243" s="333">
        <v>55.799999237060547</v>
      </c>
      <c r="AD243" s="197"/>
      <c r="AE243" s="333">
        <v>55.799999237060561</v>
      </c>
      <c r="AF243" s="200">
        <f t="shared" si="23"/>
        <v>0</v>
      </c>
    </row>
    <row r="244" spans="2:32" x14ac:dyDescent="0.3">
      <c r="B244" s="331">
        <v>41131.770833333336</v>
      </c>
      <c r="C244" s="332">
        <v>99792700</v>
      </c>
      <c r="D244" s="333">
        <v>140.83999633789063</v>
      </c>
      <c r="E244" s="197"/>
      <c r="F244" s="333">
        <v>155.06234141295261</v>
      </c>
      <c r="G244" s="200">
        <f t="shared" si="18"/>
        <v>1.0692430348859583E-2</v>
      </c>
      <c r="H244" s="332">
        <v>12750887</v>
      </c>
      <c r="I244" s="333">
        <v>6.172673225402832</v>
      </c>
      <c r="J244" s="197"/>
      <c r="K244" s="333">
        <v>6.3534581846920979</v>
      </c>
      <c r="L244" s="200">
        <f t="shared" si="19"/>
        <v>3.5862099869807373E-2</v>
      </c>
      <c r="M244" s="332">
        <v>554662</v>
      </c>
      <c r="N244" s="333">
        <v>58.142856597900391</v>
      </c>
      <c r="O244" s="197"/>
      <c r="P244" s="333">
        <v>66.37305875956541</v>
      </c>
      <c r="Q244" s="200">
        <f t="shared" si="20"/>
        <v>1.9198658133424473E-2</v>
      </c>
      <c r="R244" s="332">
        <v>417300</v>
      </c>
      <c r="S244" s="333">
        <v>39.779998779296875</v>
      </c>
      <c r="T244" s="197"/>
      <c r="U244" s="333">
        <v>44.193651441431697</v>
      </c>
      <c r="V244" s="200">
        <f t="shared" si="21"/>
        <v>3.5667767178527265E-2</v>
      </c>
      <c r="W244" s="332">
        <v>537754</v>
      </c>
      <c r="X244" s="333">
        <v>40.459999084472656</v>
      </c>
      <c r="Y244" s="197"/>
      <c r="Z244" s="333">
        <v>41.759216039981069</v>
      </c>
      <c r="AA244" s="200">
        <f t="shared" si="22"/>
        <v>1.9528730864634136E-2</v>
      </c>
      <c r="AB244" s="332">
        <v>0</v>
      </c>
      <c r="AC244" s="333">
        <v>55.799999237060547</v>
      </c>
      <c r="AD244" s="197"/>
      <c r="AE244" s="333">
        <v>55.799999237060561</v>
      </c>
      <c r="AF244" s="200">
        <f t="shared" si="23"/>
        <v>0</v>
      </c>
    </row>
    <row r="245" spans="2:32" x14ac:dyDescent="0.3">
      <c r="B245" s="331">
        <v>41138.770833333336</v>
      </c>
      <c r="C245" s="332">
        <v>90813700</v>
      </c>
      <c r="D245" s="333">
        <v>142.17999267578125</v>
      </c>
      <c r="E245" s="197"/>
      <c r="F245" s="333">
        <v>156.5376536469831</v>
      </c>
      <c r="G245" s="200">
        <f t="shared" si="18"/>
        <v>9.5143167618083613E-3</v>
      </c>
      <c r="H245" s="332">
        <v>15073113</v>
      </c>
      <c r="I245" s="333">
        <v>6.4603471755981445</v>
      </c>
      <c r="J245" s="197"/>
      <c r="K245" s="333">
        <v>6.6495575158326741</v>
      </c>
      <c r="L245" s="200">
        <f t="shared" si="19"/>
        <v>4.660443533790648E-2</v>
      </c>
      <c r="M245" s="332">
        <v>1101538</v>
      </c>
      <c r="N245" s="333">
        <v>56.619045257568359</v>
      </c>
      <c r="O245" s="197"/>
      <c r="P245" s="333">
        <v>64.633549806130162</v>
      </c>
      <c r="Q245" s="200">
        <f t="shared" si="20"/>
        <v>-2.6208057696068709E-2</v>
      </c>
      <c r="R245" s="332">
        <v>631500</v>
      </c>
      <c r="S245" s="333">
        <v>40.400001525878906</v>
      </c>
      <c r="T245" s="197"/>
      <c r="U245" s="333">
        <v>44.882444455911049</v>
      </c>
      <c r="V245" s="200">
        <f t="shared" si="21"/>
        <v>1.5585790990640058E-2</v>
      </c>
      <c r="W245" s="332">
        <v>798864</v>
      </c>
      <c r="X245" s="333">
        <v>40.755001068115234</v>
      </c>
      <c r="Y245" s="197"/>
      <c r="Z245" s="333">
        <v>42.063690875520081</v>
      </c>
      <c r="AA245" s="200">
        <f t="shared" si="22"/>
        <v>7.2912009470555983E-3</v>
      </c>
      <c r="AB245" s="332">
        <v>0</v>
      </c>
      <c r="AC245" s="333">
        <v>55.799999237060547</v>
      </c>
      <c r="AD245" s="197"/>
      <c r="AE245" s="333">
        <v>55.799999237060561</v>
      </c>
      <c r="AF245" s="200">
        <f t="shared" si="23"/>
        <v>0</v>
      </c>
    </row>
    <row r="246" spans="2:32" x14ac:dyDescent="0.3">
      <c r="B246" s="331">
        <v>41145.770833333336</v>
      </c>
      <c r="C246" s="332">
        <v>99481200</v>
      </c>
      <c r="D246" s="333">
        <v>141.50999450683594</v>
      </c>
      <c r="E246" s="197"/>
      <c r="F246" s="333">
        <v>155.79999752996784</v>
      </c>
      <c r="G246" s="200">
        <f t="shared" si="18"/>
        <v>-4.7123238392137168E-3</v>
      </c>
      <c r="H246" s="332">
        <v>20419572</v>
      </c>
      <c r="I246" s="333">
        <v>6.6493902206420898</v>
      </c>
      <c r="J246" s="197"/>
      <c r="K246" s="333">
        <v>6.844137244571705</v>
      </c>
      <c r="L246" s="200">
        <f t="shared" si="19"/>
        <v>2.9262056652000323E-2</v>
      </c>
      <c r="M246" s="332">
        <v>796837</v>
      </c>
      <c r="N246" s="333">
        <v>56.380950927734375</v>
      </c>
      <c r="O246" s="197"/>
      <c r="P246" s="333">
        <v>64.361752892991205</v>
      </c>
      <c r="Q246" s="200">
        <f t="shared" si="20"/>
        <v>-4.2051985997089147E-3</v>
      </c>
      <c r="R246" s="332">
        <v>598100</v>
      </c>
      <c r="S246" s="333">
        <v>41.069999694824219</v>
      </c>
      <c r="T246" s="333">
        <v>0.01</v>
      </c>
      <c r="U246" s="333">
        <v>45.637889478066782</v>
      </c>
      <c r="V246" s="200">
        <f t="shared" si="21"/>
        <v>1.6831637209462125E-2</v>
      </c>
      <c r="W246" s="332">
        <v>746102</v>
      </c>
      <c r="X246" s="333">
        <v>40.474998474121094</v>
      </c>
      <c r="Y246" s="197"/>
      <c r="Z246" s="333">
        <v>41.774697077226996</v>
      </c>
      <c r="AA246" s="200">
        <f t="shared" si="22"/>
        <v>-6.8703861282242151E-3</v>
      </c>
      <c r="AB246" s="332">
        <v>1200</v>
      </c>
      <c r="AC246" s="333">
        <v>61.349998474121094</v>
      </c>
      <c r="AD246" s="197"/>
      <c r="AE246" s="333">
        <v>61.349998474121108</v>
      </c>
      <c r="AF246" s="200">
        <f t="shared" si="23"/>
        <v>9.9462353278571669E-2</v>
      </c>
    </row>
    <row r="247" spans="2:32" x14ac:dyDescent="0.3">
      <c r="B247" s="331">
        <v>41152.770833333336</v>
      </c>
      <c r="C247" s="332">
        <v>151970400</v>
      </c>
      <c r="D247" s="333">
        <v>141.16000366210938</v>
      </c>
      <c r="E247" s="197"/>
      <c r="F247" s="333">
        <v>155.4146638089544</v>
      </c>
      <c r="G247" s="200">
        <f t="shared" si="18"/>
        <v>-2.4732588390402599E-3</v>
      </c>
      <c r="H247" s="332">
        <v>22360255</v>
      </c>
      <c r="I247" s="333">
        <v>6.1397948265075684</v>
      </c>
      <c r="J247" s="197"/>
      <c r="K247" s="333">
        <v>6.3196168448166903</v>
      </c>
      <c r="L247" s="200">
        <f t="shared" si="19"/>
        <v>-7.6637913737195751E-2</v>
      </c>
      <c r="M247" s="332">
        <v>912247</v>
      </c>
      <c r="N247" s="333">
        <v>55.761905670166016</v>
      </c>
      <c r="O247" s="197"/>
      <c r="P247" s="333">
        <v>63.65508091882991</v>
      </c>
      <c r="Q247" s="200">
        <f t="shared" si="20"/>
        <v>-1.0979688128386123E-2</v>
      </c>
      <c r="R247" s="332">
        <v>510900</v>
      </c>
      <c r="S247" s="333">
        <v>38.919998168945313</v>
      </c>
      <c r="T247" s="197"/>
      <c r="U247" s="333">
        <v>43.248760363266662</v>
      </c>
      <c r="V247" s="200">
        <f t="shared" si="21"/>
        <v>-5.2349684486359016E-2</v>
      </c>
      <c r="W247" s="332">
        <v>1042086</v>
      </c>
      <c r="X247" s="333">
        <v>40.169998168945313</v>
      </c>
      <c r="Y247" s="197"/>
      <c r="Z247" s="333">
        <v>41.459902862587889</v>
      </c>
      <c r="AA247" s="200">
        <f t="shared" si="22"/>
        <v>-7.5355235744059001E-3</v>
      </c>
      <c r="AB247" s="332">
        <v>0</v>
      </c>
      <c r="AC247" s="333">
        <v>61.349998474121094</v>
      </c>
      <c r="AD247" s="197"/>
      <c r="AE247" s="333">
        <v>61.349998474121108</v>
      </c>
      <c r="AF247" s="200">
        <f t="shared" si="23"/>
        <v>0</v>
      </c>
    </row>
    <row r="248" spans="2:32" x14ac:dyDescent="0.3">
      <c r="B248" s="331">
        <v>41159.770833333336</v>
      </c>
      <c r="C248" s="332">
        <v>107272100</v>
      </c>
      <c r="D248" s="333">
        <v>144.33000183105469</v>
      </c>
      <c r="E248" s="197"/>
      <c r="F248" s="333">
        <v>158.90477564602202</v>
      </c>
      <c r="G248" s="200">
        <f t="shared" si="18"/>
        <v>2.2456773071026781E-2</v>
      </c>
      <c r="H248" s="332">
        <v>17687457</v>
      </c>
      <c r="I248" s="333">
        <v>6.6493902206420898</v>
      </c>
      <c r="J248" s="197"/>
      <c r="K248" s="333">
        <v>6.844137244571705</v>
      </c>
      <c r="L248" s="200">
        <f t="shared" si="19"/>
        <v>8.2998766006711744E-2</v>
      </c>
      <c r="M248" s="332">
        <v>1256736</v>
      </c>
      <c r="N248" s="333">
        <v>58.523807525634766</v>
      </c>
      <c r="O248" s="197"/>
      <c r="P248" s="333">
        <v>66.807933820587749</v>
      </c>
      <c r="Q248" s="200">
        <f t="shared" si="20"/>
        <v>4.9530263040246769E-2</v>
      </c>
      <c r="R248" s="332">
        <v>495200</v>
      </c>
      <c r="S248" s="333">
        <v>40.349998474121094</v>
      </c>
      <c r="T248" s="197"/>
      <c r="U248" s="333">
        <v>44.837808241673116</v>
      </c>
      <c r="V248" s="200">
        <f t="shared" si="21"/>
        <v>3.6742044513167427E-2</v>
      </c>
      <c r="W248" s="332">
        <v>890287</v>
      </c>
      <c r="X248" s="333">
        <v>43.064998626708984</v>
      </c>
      <c r="Y248" s="197"/>
      <c r="Z248" s="333">
        <v>44.447865103990715</v>
      </c>
      <c r="AA248" s="200">
        <f t="shared" si="22"/>
        <v>7.2068722671781105E-2</v>
      </c>
      <c r="AB248" s="332">
        <v>0</v>
      </c>
      <c r="AC248" s="333">
        <v>60.25</v>
      </c>
      <c r="AD248" s="197"/>
      <c r="AE248" s="333">
        <v>60.250000000000014</v>
      </c>
      <c r="AF248" s="200">
        <f t="shared" si="23"/>
        <v>-1.7929885924693245E-2</v>
      </c>
    </row>
    <row r="249" spans="2:32" x14ac:dyDescent="0.3">
      <c r="B249" s="331">
        <v>41166.770833333336</v>
      </c>
      <c r="C249" s="332">
        <v>169777000</v>
      </c>
      <c r="D249" s="333">
        <v>147.24000549316406</v>
      </c>
      <c r="E249" s="197"/>
      <c r="F249" s="333">
        <v>162.10863813608051</v>
      </c>
      <c r="G249" s="200">
        <f t="shared" si="18"/>
        <v>2.0162153573001884E-2</v>
      </c>
      <c r="H249" s="332">
        <v>20903314</v>
      </c>
      <c r="I249" s="333">
        <v>6.8795299530029297</v>
      </c>
      <c r="J249" s="197"/>
      <c r="K249" s="333">
        <v>7.0810172984474562</v>
      </c>
      <c r="L249" s="200">
        <f t="shared" si="19"/>
        <v>3.4610652213853177E-2</v>
      </c>
      <c r="M249" s="332">
        <v>1724765</v>
      </c>
      <c r="N249" s="333">
        <v>60.523807525634766</v>
      </c>
      <c r="O249" s="197"/>
      <c r="P249" s="333">
        <v>69.09103660030091</v>
      </c>
      <c r="Q249" s="200">
        <f t="shared" si="20"/>
        <v>3.4174126471931077E-2</v>
      </c>
      <c r="R249" s="332">
        <v>1929200</v>
      </c>
      <c r="S249" s="333">
        <v>49.169998168945313</v>
      </c>
      <c r="T249" s="197"/>
      <c r="U249" s="333">
        <v>54.638786431592571</v>
      </c>
      <c r="V249" s="200">
        <f t="shared" si="21"/>
        <v>0.21858736129769696</v>
      </c>
      <c r="W249" s="332">
        <v>994179</v>
      </c>
      <c r="X249" s="333">
        <v>44.064998626708984</v>
      </c>
      <c r="Y249" s="197"/>
      <c r="Z249" s="333">
        <v>45.479976250429345</v>
      </c>
      <c r="AA249" s="200">
        <f t="shared" si="22"/>
        <v>2.3220713616365796E-2</v>
      </c>
      <c r="AB249" s="332">
        <v>0</v>
      </c>
      <c r="AC249" s="333">
        <v>60.25</v>
      </c>
      <c r="AD249" s="197"/>
      <c r="AE249" s="333">
        <v>60.250000000000014</v>
      </c>
      <c r="AF249" s="200">
        <f t="shared" si="23"/>
        <v>0</v>
      </c>
    </row>
    <row r="250" spans="2:32" x14ac:dyDescent="0.3">
      <c r="B250" s="331">
        <v>41173.770833333336</v>
      </c>
      <c r="C250" s="332">
        <v>108737500</v>
      </c>
      <c r="D250" s="333">
        <v>145.8699951171875</v>
      </c>
      <c r="E250" s="333">
        <v>0.77900000000000003</v>
      </c>
      <c r="F250" s="333">
        <v>161.45794618009373</v>
      </c>
      <c r="G250" s="200">
        <f t="shared" si="18"/>
        <v>-4.0139252507973566E-3</v>
      </c>
      <c r="H250" s="332">
        <v>11740822</v>
      </c>
      <c r="I250" s="333">
        <v>6.9370651245117188</v>
      </c>
      <c r="J250" s="197"/>
      <c r="K250" s="333">
        <v>7.1402375573177643</v>
      </c>
      <c r="L250" s="200">
        <f t="shared" si="19"/>
        <v>8.3632416606711502E-3</v>
      </c>
      <c r="M250" s="332">
        <v>2297214</v>
      </c>
      <c r="N250" s="333">
        <v>60.571426391601563</v>
      </c>
      <c r="O250" s="197"/>
      <c r="P250" s="333">
        <v>69.145395982928719</v>
      </c>
      <c r="Q250" s="200">
        <f t="shared" si="20"/>
        <v>7.8677908600921498E-4</v>
      </c>
      <c r="R250" s="332">
        <v>1196300</v>
      </c>
      <c r="S250" s="333">
        <v>48.490001678466797</v>
      </c>
      <c r="T250" s="197"/>
      <c r="U250" s="333">
        <v>53.883159333746676</v>
      </c>
      <c r="V250" s="200">
        <f t="shared" si="21"/>
        <v>-1.382950001629224E-2</v>
      </c>
      <c r="W250" s="332">
        <v>1592810</v>
      </c>
      <c r="X250" s="333">
        <v>43.744998931884766</v>
      </c>
      <c r="Y250" s="197"/>
      <c r="Z250" s="333">
        <v>45.149700998544304</v>
      </c>
      <c r="AA250" s="200">
        <f t="shared" si="22"/>
        <v>-7.2619926199263274E-3</v>
      </c>
      <c r="AB250" s="332">
        <v>500</v>
      </c>
      <c r="AC250" s="333">
        <v>68.5</v>
      </c>
      <c r="AD250" s="197"/>
      <c r="AE250" s="333">
        <v>68.500000000000014</v>
      </c>
      <c r="AF250" s="200">
        <f t="shared" si="23"/>
        <v>0.13692946058091282</v>
      </c>
    </row>
    <row r="251" spans="2:32" x14ac:dyDescent="0.3">
      <c r="B251" s="331">
        <v>41180.770833333336</v>
      </c>
      <c r="C251" s="332">
        <v>150696100</v>
      </c>
      <c r="D251" s="333">
        <v>143.97000122070313</v>
      </c>
      <c r="E251" s="197"/>
      <c r="F251" s="333">
        <v>159.35491524467324</v>
      </c>
      <c r="G251" s="200">
        <f t="shared" si="18"/>
        <v>-1.3025255090726384E-2</v>
      </c>
      <c r="H251" s="332">
        <v>8155833</v>
      </c>
      <c r="I251" s="333">
        <v>6.8466529846191406</v>
      </c>
      <c r="J251" s="197"/>
      <c r="K251" s="333">
        <v>7.047177430980275</v>
      </c>
      <c r="L251" s="200">
        <f t="shared" si="19"/>
        <v>-1.3033197507849814E-2</v>
      </c>
      <c r="M251" s="332">
        <v>1098140</v>
      </c>
      <c r="N251" s="333">
        <v>57.047618865966797</v>
      </c>
      <c r="O251" s="197"/>
      <c r="P251" s="333">
        <v>65.122788604453248</v>
      </c>
      <c r="Q251" s="200">
        <f t="shared" si="20"/>
        <v>-5.8176069733820168E-2</v>
      </c>
      <c r="R251" s="332">
        <v>580000</v>
      </c>
      <c r="S251" s="333">
        <v>47.299999237060547</v>
      </c>
      <c r="T251" s="197"/>
      <c r="U251" s="333">
        <v>52.560802374820945</v>
      </c>
      <c r="V251" s="200">
        <f t="shared" si="21"/>
        <v>-2.454119200277749E-2</v>
      </c>
      <c r="W251" s="332">
        <v>1099744</v>
      </c>
      <c r="X251" s="333">
        <v>40.770000457763672</v>
      </c>
      <c r="Y251" s="197"/>
      <c r="Z251" s="333">
        <v>42.079171912766</v>
      </c>
      <c r="AA251" s="200">
        <f t="shared" si="22"/>
        <v>-6.8007739096152653E-2</v>
      </c>
      <c r="AB251" s="332">
        <v>0</v>
      </c>
      <c r="AC251" s="333">
        <v>64.550003051757813</v>
      </c>
      <c r="AD251" s="197"/>
      <c r="AE251" s="333">
        <v>64.550003051757827</v>
      </c>
      <c r="AF251" s="200">
        <f t="shared" si="23"/>
        <v>-5.7664189025433354E-2</v>
      </c>
    </row>
    <row r="252" spans="2:32" x14ac:dyDescent="0.3">
      <c r="B252" s="331">
        <v>41187.770833333336</v>
      </c>
      <c r="C252" s="332">
        <v>124842100</v>
      </c>
      <c r="D252" s="333">
        <v>146.13999938964844</v>
      </c>
      <c r="E252" s="197"/>
      <c r="F252" s="333">
        <v>161.75680363365274</v>
      </c>
      <c r="G252" s="200">
        <f t="shared" si="18"/>
        <v>1.5072571720123218E-2</v>
      </c>
      <c r="H252" s="332">
        <v>33374127</v>
      </c>
      <c r="I252" s="333">
        <v>7.4959750175476074</v>
      </c>
      <c r="J252" s="197"/>
      <c r="K252" s="333">
        <v>7.7155167766680659</v>
      </c>
      <c r="L252" s="200">
        <f t="shared" si="19"/>
        <v>9.4837876899436013E-2</v>
      </c>
      <c r="M252" s="332">
        <v>922453</v>
      </c>
      <c r="N252" s="333">
        <v>60.238094329833984</v>
      </c>
      <c r="O252" s="197"/>
      <c r="P252" s="333">
        <v>68.764880304534159</v>
      </c>
      <c r="Q252" s="200">
        <f t="shared" si="20"/>
        <v>5.5926531681597114E-2</v>
      </c>
      <c r="R252" s="332">
        <v>513800</v>
      </c>
      <c r="S252" s="333">
        <v>48.209999084472656</v>
      </c>
      <c r="T252" s="197"/>
      <c r="U252" s="333">
        <v>53.572014275718168</v>
      </c>
      <c r="V252" s="200">
        <f t="shared" si="21"/>
        <v>1.9238897718609316E-2</v>
      </c>
      <c r="W252" s="332">
        <v>516900</v>
      </c>
      <c r="X252" s="333">
        <v>41.994998931884766</v>
      </c>
      <c r="Y252" s="197"/>
      <c r="Z252" s="333">
        <v>43.34350649227671</v>
      </c>
      <c r="AA252" s="200">
        <f t="shared" si="22"/>
        <v>3.0046565130411595E-2</v>
      </c>
      <c r="AB252" s="332">
        <v>0</v>
      </c>
      <c r="AC252" s="333">
        <v>64.550003051757813</v>
      </c>
      <c r="AD252" s="197"/>
      <c r="AE252" s="333">
        <v>64.550003051757827</v>
      </c>
      <c r="AF252" s="200">
        <f t="shared" si="23"/>
        <v>0</v>
      </c>
    </row>
    <row r="253" spans="2:32" x14ac:dyDescent="0.3">
      <c r="B253" s="331">
        <v>41194.770833333336</v>
      </c>
      <c r="C253" s="332">
        <v>124181900</v>
      </c>
      <c r="D253" s="333">
        <v>142.88999938964844</v>
      </c>
      <c r="E253" s="197"/>
      <c r="F253" s="333">
        <v>158.15950231980992</v>
      </c>
      <c r="G253" s="200">
        <f t="shared" si="18"/>
        <v>-2.2238949045939371E-2</v>
      </c>
      <c r="H253" s="332">
        <v>11103418</v>
      </c>
      <c r="I253" s="333">
        <v>7.2576160430908203</v>
      </c>
      <c r="J253" s="197"/>
      <c r="K253" s="333">
        <v>7.4701767559255208</v>
      </c>
      <c r="L253" s="200">
        <f t="shared" si="19"/>
        <v>-3.1798261586892029E-2</v>
      </c>
      <c r="M253" s="332">
        <v>630822</v>
      </c>
      <c r="N253" s="333">
        <v>60.238094329833984</v>
      </c>
      <c r="O253" s="197"/>
      <c r="P253" s="333">
        <v>68.764880304534159</v>
      </c>
      <c r="Q253" s="200">
        <f t="shared" si="20"/>
        <v>0</v>
      </c>
      <c r="R253" s="332">
        <v>257200</v>
      </c>
      <c r="S253" s="333">
        <v>46.139999389648438</v>
      </c>
      <c r="T253" s="197"/>
      <c r="U253" s="333">
        <v>51.271784960062114</v>
      </c>
      <c r="V253" s="200">
        <f t="shared" si="21"/>
        <v>-4.2937144454145426E-2</v>
      </c>
      <c r="W253" s="332">
        <v>550141</v>
      </c>
      <c r="X253" s="333">
        <v>39.650001525878906</v>
      </c>
      <c r="Y253" s="197"/>
      <c r="Z253" s="333">
        <v>40.923208531168385</v>
      </c>
      <c r="AA253" s="200">
        <f t="shared" si="22"/>
        <v>-5.5839920601246096E-2</v>
      </c>
      <c r="AB253" s="332">
        <v>0</v>
      </c>
      <c r="AC253" s="333">
        <v>64.550003051757813</v>
      </c>
      <c r="AD253" s="197"/>
      <c r="AE253" s="333">
        <v>64.550003051757827</v>
      </c>
      <c r="AF253" s="200">
        <f t="shared" si="23"/>
        <v>0</v>
      </c>
    </row>
    <row r="254" spans="2:32" x14ac:dyDescent="0.3">
      <c r="B254" s="331">
        <v>41201.770833333336</v>
      </c>
      <c r="C254" s="332">
        <v>185645200</v>
      </c>
      <c r="D254" s="333">
        <v>143.38999938964844</v>
      </c>
      <c r="E254" s="197"/>
      <c r="F254" s="333">
        <v>158.71293329117037</v>
      </c>
      <c r="G254" s="200">
        <f t="shared" si="18"/>
        <v>3.4991952000542614E-3</v>
      </c>
      <c r="H254" s="332">
        <v>40981615</v>
      </c>
      <c r="I254" s="333">
        <v>7.3726859092712402</v>
      </c>
      <c r="J254" s="197"/>
      <c r="K254" s="333">
        <v>7.5886167828633955</v>
      </c>
      <c r="L254" s="200">
        <f t="shared" si="19"/>
        <v>1.5855050129024661E-2</v>
      </c>
      <c r="M254" s="332">
        <v>775678</v>
      </c>
      <c r="N254" s="333">
        <v>62.238094329833984</v>
      </c>
      <c r="O254" s="197"/>
      <c r="P254" s="333">
        <v>71.047983084247349</v>
      </c>
      <c r="Q254" s="200">
        <f t="shared" si="20"/>
        <v>3.3201581528276902E-2</v>
      </c>
      <c r="R254" s="332">
        <v>816600</v>
      </c>
      <c r="S254" s="333">
        <v>46.549999237060547</v>
      </c>
      <c r="T254" s="197"/>
      <c r="U254" s="333">
        <v>51.72738583323612</v>
      </c>
      <c r="V254" s="200">
        <f t="shared" si="21"/>
        <v>8.8859959435563241E-3</v>
      </c>
      <c r="W254" s="332">
        <v>743815</v>
      </c>
      <c r="X254" s="333">
        <v>41.150001525878906</v>
      </c>
      <c r="Y254" s="197"/>
      <c r="Z254" s="333">
        <v>42.47137525082632</v>
      </c>
      <c r="AA254" s="200">
        <f t="shared" si="22"/>
        <v>3.7831019981700686E-2</v>
      </c>
      <c r="AB254" s="332">
        <v>0</v>
      </c>
      <c r="AC254" s="333">
        <v>70.569999694824219</v>
      </c>
      <c r="AD254" s="197"/>
      <c r="AE254" s="333">
        <v>70.569999694824233</v>
      </c>
      <c r="AF254" s="200">
        <f t="shared" si="23"/>
        <v>9.3260981540766563E-2</v>
      </c>
    </row>
    <row r="255" spans="2:32" x14ac:dyDescent="0.3">
      <c r="B255" s="331">
        <v>41208.770833333336</v>
      </c>
      <c r="C255" s="332">
        <v>146023500</v>
      </c>
      <c r="D255" s="333">
        <v>141.35000610351563</v>
      </c>
      <c r="E255" s="197"/>
      <c r="F255" s="333">
        <v>156.45494235934385</v>
      </c>
      <c r="G255" s="200">
        <f t="shared" si="18"/>
        <v>-1.4226886776039116E-2</v>
      </c>
      <c r="H255" s="332">
        <v>15121657</v>
      </c>
      <c r="I255" s="333">
        <v>7.413783073425293</v>
      </c>
      <c r="J255" s="197"/>
      <c r="K255" s="333">
        <v>7.6309175988028564</v>
      </c>
      <c r="L255" s="200">
        <f t="shared" si="19"/>
        <v>5.5742458935315042E-3</v>
      </c>
      <c r="M255" s="332">
        <v>507809</v>
      </c>
      <c r="N255" s="333">
        <v>60.619045257568359</v>
      </c>
      <c r="O255" s="197"/>
      <c r="P255" s="333">
        <v>69.199755365556499</v>
      </c>
      <c r="Q255" s="200">
        <f t="shared" si="20"/>
        <v>-2.6013795725900568E-2</v>
      </c>
      <c r="R255" s="332">
        <v>292700</v>
      </c>
      <c r="S255" s="333">
        <v>46.490001678466797</v>
      </c>
      <c r="T255" s="197"/>
      <c r="U255" s="333">
        <v>51.66071522285381</v>
      </c>
      <c r="V255" s="200">
        <f t="shared" si="21"/>
        <v>-1.2888842014411317E-3</v>
      </c>
      <c r="W255" s="332">
        <v>427405</v>
      </c>
      <c r="X255" s="333">
        <v>41.165000915527344</v>
      </c>
      <c r="Y255" s="197"/>
      <c r="Z255" s="333">
        <v>42.486856288072254</v>
      </c>
      <c r="AA255" s="200">
        <f t="shared" si="22"/>
        <v>3.6450520272790499E-4</v>
      </c>
      <c r="AB255" s="332">
        <v>0</v>
      </c>
      <c r="AC255" s="333">
        <v>68.400001525878906</v>
      </c>
      <c r="AD255" s="197"/>
      <c r="AE255" s="333">
        <v>68.40000152587892</v>
      </c>
      <c r="AF255" s="200">
        <f t="shared" si="23"/>
        <v>-3.0749584502328786E-2</v>
      </c>
    </row>
    <row r="256" spans="2:32" x14ac:dyDescent="0.3">
      <c r="B256" s="331">
        <v>41215.770833333336</v>
      </c>
      <c r="C256" s="332">
        <v>137702200</v>
      </c>
      <c r="D256" s="333">
        <v>141.55999755859375</v>
      </c>
      <c r="E256" s="197"/>
      <c r="F256" s="333">
        <v>156.6873739092664</v>
      </c>
      <c r="G256" s="200">
        <f t="shared" si="18"/>
        <v>1.4856133428415852E-3</v>
      </c>
      <c r="H256" s="332">
        <v>11937555</v>
      </c>
      <c r="I256" s="333">
        <v>7.4877557754516602</v>
      </c>
      <c r="J256" s="197"/>
      <c r="K256" s="333">
        <v>7.7070568098012719</v>
      </c>
      <c r="L256" s="200">
        <f t="shared" si="19"/>
        <v>9.9777267953149451E-3</v>
      </c>
      <c r="M256" s="332">
        <v>814539</v>
      </c>
      <c r="N256" s="333">
        <v>62.666664123535156</v>
      </c>
      <c r="O256" s="197"/>
      <c r="P256" s="333">
        <v>71.537217527897468</v>
      </c>
      <c r="Q256" s="200">
        <f t="shared" si="20"/>
        <v>3.3778474360104616E-2</v>
      </c>
      <c r="R256" s="332">
        <v>277300</v>
      </c>
      <c r="S256" s="333">
        <v>46.349998474121094</v>
      </c>
      <c r="T256" s="197"/>
      <c r="U256" s="333">
        <v>51.505140574351692</v>
      </c>
      <c r="V256" s="200">
        <f t="shared" si="21"/>
        <v>-3.0114691178974029E-3</v>
      </c>
      <c r="W256" s="332">
        <v>680104</v>
      </c>
      <c r="X256" s="333">
        <v>42.235000610351563</v>
      </c>
      <c r="Y256" s="197"/>
      <c r="Z256" s="333">
        <v>43.591214899786259</v>
      </c>
      <c r="AA256" s="200">
        <f t="shared" si="22"/>
        <v>2.5992947188800075E-2</v>
      </c>
      <c r="AB256" s="332">
        <v>0</v>
      </c>
      <c r="AC256" s="333">
        <v>68.400001525878906</v>
      </c>
      <c r="AD256" s="197"/>
      <c r="AE256" s="333">
        <v>68.40000152587892</v>
      </c>
      <c r="AF256" s="200">
        <f t="shared" si="23"/>
        <v>0</v>
      </c>
    </row>
    <row r="257" spans="2:32" x14ac:dyDescent="0.3">
      <c r="B257" s="331">
        <v>41222.8125</v>
      </c>
      <c r="C257" s="332">
        <v>201055300</v>
      </c>
      <c r="D257" s="333">
        <v>138.16000366210938</v>
      </c>
      <c r="E257" s="197"/>
      <c r="F257" s="333">
        <v>152.92405005976462</v>
      </c>
      <c r="G257" s="200">
        <f t="shared" si="18"/>
        <v>-2.4018041502699594E-2</v>
      </c>
      <c r="H257" s="332">
        <v>15079439</v>
      </c>
      <c r="I257" s="333">
        <v>7.1096692085266113</v>
      </c>
      <c r="J257" s="197"/>
      <c r="K257" s="333">
        <v>7.3178968615204649</v>
      </c>
      <c r="L257" s="200">
        <f t="shared" si="19"/>
        <v>-5.0493976868822621E-2</v>
      </c>
      <c r="M257" s="332">
        <v>859164</v>
      </c>
      <c r="N257" s="333">
        <v>60.809524536132813</v>
      </c>
      <c r="O257" s="197"/>
      <c r="P257" s="333">
        <v>69.417197250740642</v>
      </c>
      <c r="Q257" s="200">
        <f t="shared" si="20"/>
        <v>-2.9635207384604789E-2</v>
      </c>
      <c r="R257" s="332">
        <v>729400</v>
      </c>
      <c r="S257" s="333">
        <v>46.340000152587891</v>
      </c>
      <c r="T257" s="197"/>
      <c r="U257" s="333">
        <v>51.494030218946556</v>
      </c>
      <c r="V257" s="200">
        <f t="shared" si="21"/>
        <v>-2.1571352453830794E-4</v>
      </c>
      <c r="W257" s="332">
        <v>2005113</v>
      </c>
      <c r="X257" s="333">
        <v>42</v>
      </c>
      <c r="Y257" s="197"/>
      <c r="Z257" s="333">
        <v>43.348668150422533</v>
      </c>
      <c r="AA257" s="200">
        <f t="shared" si="22"/>
        <v>-5.5641199705336319E-3</v>
      </c>
      <c r="AB257" s="332">
        <v>0</v>
      </c>
      <c r="AC257" s="333">
        <v>68.400001525878906</v>
      </c>
      <c r="AD257" s="197"/>
      <c r="AE257" s="333">
        <v>68.40000152587892</v>
      </c>
      <c r="AF257" s="200">
        <f t="shared" si="23"/>
        <v>0</v>
      </c>
    </row>
    <row r="258" spans="2:32" x14ac:dyDescent="0.3">
      <c r="B258" s="331">
        <v>41229.8125</v>
      </c>
      <c r="C258" s="332">
        <v>239483900</v>
      </c>
      <c r="D258" s="333">
        <v>136.3699951171875</v>
      </c>
      <c r="E258" s="197"/>
      <c r="F258" s="333">
        <v>150.94275772424547</v>
      </c>
      <c r="G258" s="200">
        <f t="shared" si="18"/>
        <v>-1.2956054556133245E-2</v>
      </c>
      <c r="H258" s="332">
        <v>13985060</v>
      </c>
      <c r="I258" s="333">
        <v>7.0192570686340332</v>
      </c>
      <c r="J258" s="197"/>
      <c r="K258" s="333">
        <v>7.2248367351829756</v>
      </c>
      <c r="L258" s="200">
        <f t="shared" si="19"/>
        <v>-1.27167857238909E-2</v>
      </c>
      <c r="M258" s="332">
        <v>894123</v>
      </c>
      <c r="N258" s="333">
        <v>58</v>
      </c>
      <c r="O258" s="197"/>
      <c r="P258" s="333">
        <v>66.209980611682042</v>
      </c>
      <c r="Q258" s="200">
        <f t="shared" si="20"/>
        <v>-4.6202047418795522E-2</v>
      </c>
      <c r="R258" s="332">
        <v>645900</v>
      </c>
      <c r="S258" s="333">
        <v>46.549999237060547</v>
      </c>
      <c r="T258" s="197"/>
      <c r="U258" s="333">
        <v>51.727385833236134</v>
      </c>
      <c r="V258" s="200">
        <f t="shared" si="21"/>
        <v>4.5317022827184861E-3</v>
      </c>
      <c r="W258" s="332">
        <v>1286254</v>
      </c>
      <c r="X258" s="333">
        <v>38.409999847412109</v>
      </c>
      <c r="Y258" s="197"/>
      <c r="Z258" s="333">
        <v>39.643388977220184</v>
      </c>
      <c r="AA258" s="200">
        <f t="shared" si="22"/>
        <v>-8.5476194109235459E-2</v>
      </c>
      <c r="AB258" s="332">
        <v>0</v>
      </c>
      <c r="AC258" s="333">
        <v>65.75</v>
      </c>
      <c r="AD258" s="197"/>
      <c r="AE258" s="333">
        <v>65.750000000000014</v>
      </c>
      <c r="AF258" s="200">
        <f t="shared" si="23"/>
        <v>-3.874271150237163E-2</v>
      </c>
    </row>
    <row r="259" spans="2:32" x14ac:dyDescent="0.3">
      <c r="B259" s="331">
        <v>41236.8125</v>
      </c>
      <c r="C259" s="332">
        <v>65409200</v>
      </c>
      <c r="D259" s="333">
        <v>141.35000610351563</v>
      </c>
      <c r="E259" s="197"/>
      <c r="F259" s="333">
        <v>156.4549423593439</v>
      </c>
      <c r="G259" s="200">
        <f t="shared" si="18"/>
        <v>3.6518377683071979E-2</v>
      </c>
      <c r="H259" s="332">
        <v>13863516</v>
      </c>
      <c r="I259" s="333">
        <v>7.4713168144226074</v>
      </c>
      <c r="J259" s="197"/>
      <c r="K259" s="333">
        <v>7.6901363852649398</v>
      </c>
      <c r="L259" s="200">
        <f t="shared" si="19"/>
        <v>6.4402790974650292E-2</v>
      </c>
      <c r="M259" s="332">
        <v>561248</v>
      </c>
      <c r="N259" s="333">
        <v>58.952381134033203</v>
      </c>
      <c r="O259" s="197"/>
      <c r="P259" s="333">
        <v>67.297172618910835</v>
      </c>
      <c r="Q259" s="200">
        <f t="shared" si="20"/>
        <v>1.6420364379882813E-2</v>
      </c>
      <c r="R259" s="332">
        <v>133100</v>
      </c>
      <c r="S259" s="333">
        <v>49.240001678466797</v>
      </c>
      <c r="T259" s="333">
        <v>0.01</v>
      </c>
      <c r="U259" s="333">
        <v>54.727688095885959</v>
      </c>
      <c r="V259" s="200">
        <f t="shared" si="21"/>
        <v>5.8002201625314997E-2</v>
      </c>
      <c r="W259" s="332">
        <v>508337</v>
      </c>
      <c r="X259" s="333">
        <v>39.564998626708984</v>
      </c>
      <c r="Y259" s="197"/>
      <c r="Z259" s="333">
        <v>40.835476091455497</v>
      </c>
      <c r="AA259" s="200">
        <f t="shared" si="22"/>
        <v>3.0070262532809977E-2</v>
      </c>
      <c r="AB259" s="332">
        <v>0</v>
      </c>
      <c r="AC259" s="333">
        <v>65.75</v>
      </c>
      <c r="AD259" s="197"/>
      <c r="AE259" s="333">
        <v>65.750000000000014</v>
      </c>
      <c r="AF259" s="200">
        <f t="shared" si="23"/>
        <v>0</v>
      </c>
    </row>
    <row r="260" spans="2:32" x14ac:dyDescent="0.3">
      <c r="B260" s="331">
        <v>41243.8125</v>
      </c>
      <c r="C260" s="332">
        <v>136568300</v>
      </c>
      <c r="D260" s="333">
        <v>142.14999389648438</v>
      </c>
      <c r="E260" s="197"/>
      <c r="F260" s="333">
        <v>157.34041840202227</v>
      </c>
      <c r="G260" s="200">
        <f t="shared" si="18"/>
        <v>5.6596233351620118E-3</v>
      </c>
      <c r="H260" s="332">
        <v>14208803</v>
      </c>
      <c r="I260" s="333">
        <v>7.3151512145996094</v>
      </c>
      <c r="J260" s="197"/>
      <c r="K260" s="333">
        <v>7.5293970147958289</v>
      </c>
      <c r="L260" s="200">
        <f t="shared" si="19"/>
        <v>-2.0902018171888748E-2</v>
      </c>
      <c r="M260" s="332">
        <v>973058</v>
      </c>
      <c r="N260" s="333">
        <v>60.476188659667969</v>
      </c>
      <c r="O260" s="197"/>
      <c r="P260" s="333">
        <v>69.03667721767313</v>
      </c>
      <c r="Q260" s="200">
        <f t="shared" si="20"/>
        <v>2.5848108190409835E-2</v>
      </c>
      <c r="R260" s="332">
        <v>1157300</v>
      </c>
      <c r="S260" s="333">
        <v>52.840000152587891</v>
      </c>
      <c r="T260" s="197"/>
      <c r="U260" s="333">
        <v>58.728898228328397</v>
      </c>
      <c r="V260" s="200">
        <f t="shared" si="21"/>
        <v>7.3111258152036118E-2</v>
      </c>
      <c r="W260" s="332">
        <v>1128703</v>
      </c>
      <c r="X260" s="333">
        <v>41.784999847412109</v>
      </c>
      <c r="Y260" s="197"/>
      <c r="Z260" s="333">
        <v>43.126764096450565</v>
      </c>
      <c r="AA260" s="200">
        <f t="shared" si="22"/>
        <v>5.6110231208361006E-2</v>
      </c>
      <c r="AB260" s="332">
        <v>0</v>
      </c>
      <c r="AC260" s="333">
        <v>66</v>
      </c>
      <c r="AD260" s="197"/>
      <c r="AE260" s="333">
        <v>66.000000000000014</v>
      </c>
      <c r="AF260" s="200">
        <f t="shared" si="23"/>
        <v>3.8022813688212143E-3</v>
      </c>
    </row>
    <row r="261" spans="2:32" x14ac:dyDescent="0.3">
      <c r="B261" s="331">
        <v>41250.8125</v>
      </c>
      <c r="C261" s="332">
        <v>108726400</v>
      </c>
      <c r="D261" s="333">
        <v>142.41000366210938</v>
      </c>
      <c r="E261" s="197"/>
      <c r="F261" s="333">
        <v>157.62821331632836</v>
      </c>
      <c r="G261" s="200">
        <f>(F261/F260)-1</f>
        <v>1.8291225943656286E-3</v>
      </c>
      <c r="H261" s="332">
        <v>12436991</v>
      </c>
      <c r="I261" s="333">
        <v>7.4302210807800293</v>
      </c>
      <c r="J261" s="197"/>
      <c r="K261" s="333">
        <v>7.6478370417337036</v>
      </c>
      <c r="L261" s="200">
        <f>(K261/K260)-1</f>
        <v>1.5730346893002345E-2</v>
      </c>
      <c r="M261" s="332">
        <v>598524</v>
      </c>
      <c r="N261" s="333">
        <v>62.476188659667969</v>
      </c>
      <c r="O261" s="197"/>
      <c r="P261" s="333">
        <v>71.319779997386306</v>
      </c>
      <c r="Q261" s="200">
        <f>(P261/P260)-1</f>
        <v>3.307086713508145E-2</v>
      </c>
      <c r="R261" s="332">
        <v>1012900</v>
      </c>
      <c r="S261" s="333">
        <v>52</v>
      </c>
      <c r="T261" s="197"/>
      <c r="U261" s="333">
        <v>57.795281965446947</v>
      </c>
      <c r="V261" s="200">
        <f>(U261/U260)-1</f>
        <v>-1.589705053297108E-2</v>
      </c>
      <c r="W261" s="332">
        <v>718590</v>
      </c>
      <c r="X261" s="333">
        <v>43.200000762939453</v>
      </c>
      <c r="Y261" s="197"/>
      <c r="Z261" s="333">
        <v>44.587202313587213</v>
      </c>
      <c r="AA261" s="200">
        <f>(Z261/Z260)-1</f>
        <v>3.3863848766173543E-2</v>
      </c>
      <c r="AB261" s="332">
        <v>600</v>
      </c>
      <c r="AC261" s="333">
        <v>69.900001525878906</v>
      </c>
      <c r="AD261" s="197"/>
      <c r="AE261" s="333">
        <v>69.90000152587892</v>
      </c>
      <c r="AF261" s="200">
        <f>(AE261/AE260)-1</f>
        <v>5.9090932210286384E-2</v>
      </c>
    </row>
    <row r="262" spans="2:32" x14ac:dyDescent="0.3">
      <c r="B262" s="331">
        <v>41257.8125</v>
      </c>
      <c r="C262" s="332">
        <v>137701700</v>
      </c>
      <c r="D262" s="333">
        <v>142.10000610351563</v>
      </c>
      <c r="E262" s="197"/>
      <c r="F262" s="333">
        <v>157.28508881638456</v>
      </c>
      <c r="G262" s="200">
        <f>(F262/F261)-1</f>
        <v>-2.1767962265436536E-3</v>
      </c>
      <c r="H262" s="332">
        <v>20364580</v>
      </c>
      <c r="I262" s="333">
        <v>7.5535101890563965</v>
      </c>
      <c r="J262" s="197"/>
      <c r="K262" s="333">
        <v>7.7747370355383731</v>
      </c>
      <c r="L262" s="200">
        <f>(K262/K261)-1</f>
        <v>1.6592925962227723E-2</v>
      </c>
      <c r="M262" s="332">
        <v>510136</v>
      </c>
      <c r="N262" s="333">
        <v>62.571426391601563</v>
      </c>
      <c r="O262" s="197"/>
      <c r="P262" s="333">
        <v>71.42849876264188</v>
      </c>
      <c r="Q262" s="200">
        <f>(P262/P261)-1</f>
        <v>1.5243844731371858E-3</v>
      </c>
      <c r="R262" s="332">
        <v>681800</v>
      </c>
      <c r="S262" s="333">
        <v>51.599998474121094</v>
      </c>
      <c r="T262" s="197"/>
      <c r="U262" s="333">
        <v>57.350701177470398</v>
      </c>
      <c r="V262" s="200">
        <f>(U262/U261)-1</f>
        <v>-7.6923370361328125E-3</v>
      </c>
      <c r="W262" s="332">
        <v>817112</v>
      </c>
      <c r="X262" s="333">
        <v>43.915000915527344</v>
      </c>
      <c r="Y262" s="197"/>
      <c r="Z262" s="333">
        <v>45.325161940778493</v>
      </c>
      <c r="AA262" s="200">
        <f>(Z262/Z261)-1</f>
        <v>1.655092916575307E-2</v>
      </c>
      <c r="AB262" s="332">
        <v>0</v>
      </c>
      <c r="AC262" s="333">
        <v>70.720001220703125</v>
      </c>
      <c r="AD262" s="197"/>
      <c r="AE262" s="333">
        <v>70.720001220703139</v>
      </c>
      <c r="AF262" s="200">
        <f>(AE262/AE261)-1</f>
        <v>1.1731039727096881E-2</v>
      </c>
    </row>
    <row r="263" spans="2:32" x14ac:dyDescent="0.3">
      <c r="B263" s="331">
        <v>41264.8125</v>
      </c>
      <c r="C263" s="332">
        <v>245883800</v>
      </c>
      <c r="D263" s="333">
        <v>142.78999328613281</v>
      </c>
      <c r="E263" s="333">
        <v>1.022</v>
      </c>
      <c r="F263" s="333">
        <v>159.18002227524943</v>
      </c>
      <c r="G263" s="200">
        <f>(F263/F262)-1</f>
        <v>1.2047762906991277E-2</v>
      </c>
      <c r="H263" s="332">
        <v>16983745</v>
      </c>
      <c r="I263" s="333">
        <v>8.0220088958740234</v>
      </c>
      <c r="J263" s="197"/>
      <c r="K263" s="333">
        <v>8.2569571101566694</v>
      </c>
      <c r="L263" s="200">
        <f>(K263/K262)-1</f>
        <v>6.2023972311097575E-2</v>
      </c>
      <c r="M263" s="332">
        <v>1310642</v>
      </c>
      <c r="N263" s="333">
        <v>63.714286804199219</v>
      </c>
      <c r="O263" s="197"/>
      <c r="P263" s="333">
        <v>72.733132655054803</v>
      </c>
      <c r="Q263" s="200">
        <f>(P263/P262)-1</f>
        <v>1.826489307507706E-2</v>
      </c>
      <c r="R263" s="332">
        <v>1254400</v>
      </c>
      <c r="S263" s="333">
        <v>52.259998321533203</v>
      </c>
      <c r="T263" s="197"/>
      <c r="U263" s="333">
        <v>58.084256509746069</v>
      </c>
      <c r="V263" s="200">
        <f>(U263/U262)-1</f>
        <v>1.2790695095526328E-2</v>
      </c>
      <c r="W263" s="332">
        <v>1351561</v>
      </c>
      <c r="X263" s="333">
        <v>45.819999694824219</v>
      </c>
      <c r="Y263" s="197"/>
      <c r="Z263" s="333">
        <v>47.291332414842785</v>
      </c>
      <c r="AA263" s="200">
        <f>(Z263/Z262)-1</f>
        <v>4.3379226678401661E-2</v>
      </c>
      <c r="AB263" s="332">
        <v>0</v>
      </c>
      <c r="AC263" s="333">
        <v>70.720001220703125</v>
      </c>
      <c r="AD263" s="197"/>
      <c r="AE263" s="333">
        <v>70.720001220703139</v>
      </c>
      <c r="AF263" s="200">
        <f>(AE263/AE262)-1</f>
        <v>0</v>
      </c>
    </row>
    <row r="264" spans="2:32" x14ac:dyDescent="0.3">
      <c r="B264" s="331">
        <v>41271.8125</v>
      </c>
      <c r="C264" s="332">
        <v>148806700</v>
      </c>
      <c r="D264" s="333">
        <v>140.02999877929688</v>
      </c>
      <c r="E264" s="197"/>
      <c r="F264" s="333">
        <v>156.1032241259748</v>
      </c>
      <c r="G264" s="200">
        <f>(F264/F263)-1</f>
        <v>-1.9329047108400998E-2</v>
      </c>
      <c r="H264" s="332">
        <v>6405069</v>
      </c>
      <c r="I264" s="333">
        <v>7.9562540054321289</v>
      </c>
      <c r="J264" s="197"/>
      <c r="K264" s="333">
        <v>8.189276393616824</v>
      </c>
      <c r="L264" s="200">
        <f>(K264/K263)-1</f>
        <v>-8.1968109603709483E-3</v>
      </c>
      <c r="M264" s="332">
        <v>361447</v>
      </c>
      <c r="N264" s="333">
        <v>63.714286804199219</v>
      </c>
      <c r="O264" s="197"/>
      <c r="P264" s="333">
        <v>72.733132655054803</v>
      </c>
      <c r="Q264" s="200">
        <f>(P264/P263)-1</f>
        <v>0</v>
      </c>
      <c r="R264" s="332">
        <v>399200</v>
      </c>
      <c r="S264" s="333">
        <v>51.200000762939453</v>
      </c>
      <c r="T264" s="197"/>
      <c r="U264" s="333">
        <v>56.906124629330471</v>
      </c>
      <c r="V264" s="200">
        <f>(U264/U263)-1</f>
        <v>-2.0283153322586123E-2</v>
      </c>
      <c r="W264" s="332">
        <v>323353</v>
      </c>
      <c r="X264" s="333">
        <v>45.830001831054688</v>
      </c>
      <c r="Y264" s="197"/>
      <c r="Z264" s="333">
        <v>47.301655731134453</v>
      </c>
      <c r="AA264" s="200">
        <f>(Z264/Z263)-1</f>
        <v>2.1829193140754377E-4</v>
      </c>
      <c r="AB264" s="332">
        <v>0</v>
      </c>
      <c r="AC264" s="333">
        <v>70.720001220703125</v>
      </c>
      <c r="AD264" s="197"/>
      <c r="AE264" s="333">
        <v>70.720001220703139</v>
      </c>
      <c r="AF264" s="200">
        <f>(AE264/AE263)-1</f>
        <v>0</v>
      </c>
    </row>
  </sheetData>
  <mergeCells count="6">
    <mergeCell ref="AB2:AF2"/>
    <mergeCell ref="C2:G2"/>
    <mergeCell ref="H2:L2"/>
    <mergeCell ref="M2:Q2"/>
    <mergeCell ref="R2:V2"/>
    <mergeCell ref="W2:AA2"/>
  </mergeCells>
  <pageMargins left="0.75" right="0.75" top="1" bottom="1" header="0.5" footer="0.5"/>
  <pageSetup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D3B9E-1D50-4885-BAD4-7BB5804B929A}">
  <sheetPr>
    <tabColor theme="1"/>
  </sheetPr>
  <dimension ref="B19:N21"/>
  <sheetViews>
    <sheetView topLeftCell="A5" zoomScale="115" zoomScaleNormal="115" workbookViewId="0">
      <selection activeCell="D20" sqref="D20"/>
    </sheetView>
  </sheetViews>
  <sheetFormatPr defaultColWidth="11.453125" defaultRowHeight="14" x14ac:dyDescent="0.3"/>
  <cols>
    <col min="1" max="16384" width="11.453125" style="329"/>
  </cols>
  <sheetData>
    <row r="19" spans="2:14" ht="20.5" x14ac:dyDescent="0.45">
      <c r="B19" s="78" t="s">
        <v>485</v>
      </c>
      <c r="C19" s="79"/>
      <c r="D19" s="328"/>
      <c r="E19" s="328"/>
      <c r="F19" s="328"/>
      <c r="G19" s="328"/>
      <c r="H19" s="328"/>
      <c r="I19" s="185"/>
      <c r="J19" s="185"/>
      <c r="K19" s="185"/>
      <c r="L19" s="185"/>
      <c r="M19" s="185"/>
      <c r="N19" s="185"/>
    </row>
    <row r="20" spans="2:14" ht="15.5" x14ac:dyDescent="0.35">
      <c r="B20" s="79"/>
      <c r="C20" s="79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</row>
    <row r="21" spans="2:14" ht="15.5" x14ac:dyDescent="0.35">
      <c r="B21" s="79"/>
      <c r="C21" s="79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2B25B-970A-4A09-8305-C26364333954}">
  <sheetPr>
    <tabColor theme="0" tint="-0.249977111117893"/>
  </sheetPr>
  <dimension ref="B1:I17"/>
  <sheetViews>
    <sheetView showGridLines="0" zoomScale="120" zoomScaleNormal="120" workbookViewId="0">
      <selection activeCell="F18" sqref="F18"/>
    </sheetView>
  </sheetViews>
  <sheetFormatPr defaultColWidth="11.453125" defaultRowHeight="11.5" x14ac:dyDescent="0.35"/>
  <cols>
    <col min="1" max="1" width="11.453125" style="17"/>
    <col min="2" max="2" width="22.1796875" style="17" bestFit="1" customWidth="1"/>
    <col min="3" max="9" width="8.54296875" style="17" customWidth="1"/>
    <col min="10" max="16384" width="11.453125" style="17"/>
  </cols>
  <sheetData>
    <row r="1" spans="2:9" x14ac:dyDescent="0.35">
      <c r="B1" s="154" t="s">
        <v>441</v>
      </c>
    </row>
    <row r="2" spans="2:9" x14ac:dyDescent="0.35">
      <c r="D2" s="87"/>
      <c r="E2" s="48"/>
    </row>
    <row r="3" spans="2:9" ht="46" x14ac:dyDescent="0.35">
      <c r="B3" s="88" t="s">
        <v>169</v>
      </c>
      <c r="C3" s="89" t="s">
        <v>442</v>
      </c>
      <c r="D3" s="89" t="s">
        <v>443</v>
      </c>
      <c r="E3" s="89" t="s">
        <v>444</v>
      </c>
      <c r="F3" s="89" t="s">
        <v>445</v>
      </c>
      <c r="G3" s="89" t="s">
        <v>446</v>
      </c>
      <c r="H3" s="89" t="s">
        <v>447</v>
      </c>
      <c r="I3" s="89" t="s">
        <v>448</v>
      </c>
    </row>
    <row r="4" spans="2:9" x14ac:dyDescent="0.35">
      <c r="B4" s="90" t="s">
        <v>449</v>
      </c>
      <c r="C4" s="91">
        <f>'Calculo WACC Opc. de Fin. '!B57</f>
        <v>0.30286288129729066</v>
      </c>
      <c r="D4" s="91">
        <f>'Calculo WACC Opc. de Fin. '!D57</f>
        <v>0.46219727311262454</v>
      </c>
      <c r="E4" s="91">
        <f>'Calculo WACC Opc. de Fin. '!C57</f>
        <v>0.43542414146841119</v>
      </c>
      <c r="F4" s="92">
        <f>'Calculo WACC Opc. de Fin. '!E57</f>
        <v>0.34475776287534948</v>
      </c>
      <c r="G4" s="102">
        <f>'Calculo WACC Opc. de Fin. '!F57</f>
        <v>0.5529831917349004</v>
      </c>
      <c r="H4" s="92">
        <f>'Calculo WACC Opc. de Fin. '!G57</f>
        <v>0.34475776287534948</v>
      </c>
      <c r="I4" s="102">
        <f>'Calculo WACC Opc. de Fin. '!H57</f>
        <v>0.5529831917349004</v>
      </c>
    </row>
    <row r="5" spans="2:9" x14ac:dyDescent="0.35">
      <c r="B5" s="90" t="s">
        <v>450</v>
      </c>
      <c r="C5" s="91">
        <f>'Calculo WACC Opc. de Fin. '!B58</f>
        <v>0.69713711870270934</v>
      </c>
      <c r="D5" s="91">
        <f>'Calculo WACC Opc. de Fin. '!D58</f>
        <v>0.53780272688737552</v>
      </c>
      <c r="E5" s="91">
        <f>'Calculo WACC Opc. de Fin. '!C58</f>
        <v>0.56457585853158887</v>
      </c>
      <c r="F5" s="92">
        <f>'Calculo WACC Opc. de Fin. '!E58</f>
        <v>0.65524223712465057</v>
      </c>
      <c r="G5" s="102">
        <f>'Calculo WACC Opc. de Fin. '!F58</f>
        <v>0.44701680826509965</v>
      </c>
      <c r="H5" s="92">
        <f>'Calculo WACC Opc. de Fin. '!G58</f>
        <v>0.65524223712465057</v>
      </c>
      <c r="I5" s="102">
        <f>'Calculo WACC Opc. de Fin. '!H58</f>
        <v>0.44701680826509965</v>
      </c>
    </row>
    <row r="6" spans="2:9" x14ac:dyDescent="0.35">
      <c r="B6" s="90" t="s">
        <v>451</v>
      </c>
      <c r="C6" s="93">
        <f>'Calculo WACC Opc. de Fin. '!B52</f>
        <v>0.43443803689707855</v>
      </c>
      <c r="D6" s="93">
        <f>'Calculo WACC Opc. de Fin. '!D52</f>
        <v>0.85941786830957445</v>
      </c>
      <c r="E6" s="93">
        <f>'Calculo WACC Opc. de Fin. '!C52</f>
        <v>0.77124116252669794</v>
      </c>
      <c r="F6" s="94">
        <f>'Calculo WACC Opc. de Fin. '!E52</f>
        <v>0.52615314358888654</v>
      </c>
      <c r="G6" s="103">
        <f>'Calculo WACC Opc. de Fin. '!F52</f>
        <v>1.2370523468257557</v>
      </c>
      <c r="H6" s="94">
        <f>'Calculo WACC Opc. de Fin. '!G52</f>
        <v>0.52615314358888654</v>
      </c>
      <c r="I6" s="103">
        <f>'Calculo WACC Opc. de Fin. '!H52</f>
        <v>1.2370523468257557</v>
      </c>
    </row>
    <row r="7" spans="2:9" x14ac:dyDescent="0.35">
      <c r="B7" s="90" t="s">
        <v>452</v>
      </c>
      <c r="C7" s="91">
        <f>'Calculo WACC Opc. de Fin. '!B64</f>
        <v>9.3706247977090776E-2</v>
      </c>
      <c r="D7" s="91">
        <f>'Calculo WACC Opc. de Fin. '!D64</f>
        <v>8.9612065933832086E-2</v>
      </c>
      <c r="E7" s="91">
        <f>'Calculo WACC Opc. de Fin. '!C64</f>
        <v>9.0300015808122816E-2</v>
      </c>
      <c r="F7" s="102">
        <f>'Calculo WACC Opc. de Fin. '!E64</f>
        <v>9.262973668591809E-2</v>
      </c>
      <c r="G7" s="92">
        <f>'Calculo WACC Opc. de Fin. '!F64</f>
        <v>8.7279273411331126E-2</v>
      </c>
      <c r="H7" s="92">
        <f>'Calculo WACC Opc. de Fin. '!G64</f>
        <v>7.7382256945899924E-2</v>
      </c>
      <c r="I7" s="92">
        <f>'Calculo WACC Opc. de Fin. '!H64</f>
        <v>8.7279273411331126E-2</v>
      </c>
    </row>
    <row r="8" spans="2:9" x14ac:dyDescent="0.35">
      <c r="B8" s="90" t="s">
        <v>208</v>
      </c>
      <c r="C8" s="95">
        <f>'Calculo WACC Opc. de Fin. '!B67</f>
        <v>1.5438467569297096E-2</v>
      </c>
      <c r="D8" s="95">
        <f>'Calculo WACC Opc. de Fin. '!D67</f>
        <v>3.5927215009738694E-2</v>
      </c>
      <c r="E8" s="95">
        <f>'Calculo WACC Opc. de Fin. '!C67</f>
        <v>4.1075403770521254E-2</v>
      </c>
      <c r="F8" s="96">
        <f>'Calculo WACC Opc. de Fin. '!E67</f>
        <v>3.4567212475449423E-2</v>
      </c>
      <c r="G8" s="96">
        <f>'Calculo WACC Opc. de Fin. '!F67</f>
        <v>3.4567212475449423E-2</v>
      </c>
      <c r="H8" s="96">
        <f>'Calculo WACC Opc. de Fin. '!G67</f>
        <v>3.4567212475449423E-2</v>
      </c>
      <c r="I8" s="96">
        <f>'Calculo WACC Opc. de Fin. '!H67</f>
        <v>3.4567212475449423E-2</v>
      </c>
    </row>
    <row r="9" spans="2:9" x14ac:dyDescent="0.35">
      <c r="B9" s="90" t="s">
        <v>453</v>
      </c>
      <c r="C9" s="95">
        <f>'Calculo WACC Opc. de Fin. '!B73</f>
        <v>2.2047109522124519E-2</v>
      </c>
      <c r="D9" s="95">
        <f>'Calculo WACC Opc. de Fin. '!D73</f>
        <v>3.9146506492622218E-2</v>
      </c>
      <c r="E9" s="95">
        <f>'Calculo WACC Opc. de Fin. '!C73</f>
        <v>3.775491598287125E-2</v>
      </c>
      <c r="F9" s="96">
        <f>'Calculo WACC Opc. de Fin. '!E73</f>
        <v>3.6253381486771312E-2</v>
      </c>
      <c r="G9" s="96">
        <f>'Calculo WACC Opc. de Fin. '!F73</f>
        <v>3.6253381486771312E-2</v>
      </c>
      <c r="H9" s="96">
        <f>'Calculo WACC Opc. de Fin. '!G73</f>
        <v>3.6253381486771312E-2</v>
      </c>
      <c r="I9" s="96">
        <f>'Calculo WACC Opc. de Fin. '!H73</f>
        <v>3.6253381486771312E-2</v>
      </c>
    </row>
    <row r="10" spans="2:9" x14ac:dyDescent="0.35">
      <c r="B10" s="97" t="s">
        <v>454</v>
      </c>
      <c r="C10" s="95">
        <f>'Calculo WACC Opc. de Fin. '!B75</f>
        <v>3.1625212502171179E-2</v>
      </c>
      <c r="D10" s="95">
        <f>'Calculo WACC Opc. de Fin. '!D75</f>
        <v>7.2789713654278526E-2</v>
      </c>
      <c r="E10" s="95">
        <f>'Calculo WACC Opc. de Fin. '!C75</f>
        <v>6.6873061276598686E-2</v>
      </c>
      <c r="F10" s="102">
        <f>'Calculo WACC Opc. de Fin. '!E75</f>
        <v>5.5328212121763184E-2</v>
      </c>
      <c r="G10" s="92">
        <f>'Calculo WACC Opc. de Fin. '!F75</f>
        <v>8.1100712135351166E-2</v>
      </c>
      <c r="H10" s="102">
        <f>'Calculo WACC Opc. de Fin. '!G75</f>
        <v>5.5328212121763184E-2</v>
      </c>
      <c r="I10" s="92">
        <f>'Calculo WACC Opc. de Fin. '!H75</f>
        <v>8.1100712135351166E-2</v>
      </c>
    </row>
    <row r="11" spans="2:9" x14ac:dyDescent="0.35">
      <c r="B11" s="97" t="s">
        <v>455</v>
      </c>
      <c r="C11" s="95">
        <f>'Calculo WACC Opc. de Fin. '!B77</f>
        <v>4.9838200707843359E-2</v>
      </c>
      <c r="D11" s="95">
        <f>'Calculo WACC Opc. de Fin. '!D77</f>
        <v>7.2962876488442657E-2</v>
      </c>
      <c r="E11" s="95">
        <f>'Calculo WACC Opc. de Fin. '!C77</f>
        <v>8.2982358339780363E-2</v>
      </c>
      <c r="F11" s="96">
        <f>'Calculo WACC Opc. de Fin. '!E77</f>
        <v>6.343444408340701E-2</v>
      </c>
      <c r="G11" s="96">
        <f>'Calculo WACC Opc. de Fin. '!F77</f>
        <v>6.343444408340701E-2</v>
      </c>
      <c r="H11" s="96">
        <f>'Calculo WACC Opc. de Fin. '!G77</f>
        <v>6.343444408340701E-2</v>
      </c>
      <c r="I11" s="96">
        <f>'Calculo WACC Opc. de Fin. '!H77</f>
        <v>6.343444408340701E-2</v>
      </c>
    </row>
    <row r="12" spans="2:9" x14ac:dyDescent="0.35">
      <c r="B12" s="90" t="s">
        <v>456</v>
      </c>
      <c r="C12" s="98">
        <f>'Calculo WACC Opc. de Fin. '!B70</f>
        <v>5.0155499865012381</v>
      </c>
      <c r="D12" s="98">
        <f>'Calculo WACC Opc. de Fin. '!D70</f>
        <v>4.2797933169819879</v>
      </c>
      <c r="E12" s="98">
        <f>'Calculo WACC Opc. de Fin. '!C70</f>
        <v>3.8307018541690363</v>
      </c>
      <c r="F12" s="94">
        <f>'Calculo WACC Opc. de Fin. '!E70</f>
        <v>3.1877166238217427</v>
      </c>
      <c r="G12" s="103">
        <f>'Calculo WACC Opc. de Fin. '!F70</f>
        <v>6.0274942294736595</v>
      </c>
      <c r="H12" s="94">
        <f>'Calculo WACC Opc. de Fin. '!G70</f>
        <v>3.1877166238217427</v>
      </c>
      <c r="I12" s="103">
        <f>'Calculo WACC Opc. de Fin. '!H70</f>
        <v>6.0274942294736595</v>
      </c>
    </row>
    <row r="13" spans="2:9" x14ac:dyDescent="0.35">
      <c r="B13" s="90" t="s">
        <v>457</v>
      </c>
      <c r="C13" s="98">
        <f>'Calculo WACC Opc. de Fin. '!B69</f>
        <v>2.9185789912316737</v>
      </c>
      <c r="D13" s="98">
        <f>'Calculo WACC Opc. de Fin. '!D69</f>
        <v>1.2384204048773588</v>
      </c>
      <c r="E13" s="98">
        <f>'Calculo WACC Opc. de Fin. '!C69</f>
        <v>1.2930206397957507</v>
      </c>
      <c r="F13" s="94">
        <f>'Calculo WACC Opc. de Fin. '!E69</f>
        <v>1.0759864759340936</v>
      </c>
      <c r="G13" s="94">
        <f>'Calculo WACC Opc. de Fin. '!F69</f>
        <v>1.0759864759340936</v>
      </c>
      <c r="H13" s="94">
        <f>'Calculo WACC Opc. de Fin. '!G69</f>
        <v>1.0759864759340936</v>
      </c>
      <c r="I13" s="103">
        <f>'Calculo WACC Opc. de Fin. '!H69</f>
        <v>3.9157640815860111</v>
      </c>
    </row>
    <row r="15" spans="2:9" x14ac:dyDescent="0.35">
      <c r="B15" s="99" t="s">
        <v>458</v>
      </c>
    </row>
    <row r="16" spans="2:9" x14ac:dyDescent="0.35">
      <c r="B16" s="100" t="s">
        <v>459</v>
      </c>
    </row>
    <row r="17" spans="2:2" x14ac:dyDescent="0.35">
      <c r="B17" s="101" t="s">
        <v>460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DE542-D893-4659-ABEE-85DCF3C31B1C}">
  <sheetPr>
    <tabColor theme="0" tint="-0.249977111117893"/>
  </sheetPr>
  <dimension ref="A1:O88"/>
  <sheetViews>
    <sheetView showGridLines="0" topLeftCell="A37" zoomScale="110" zoomScaleNormal="110" workbookViewId="0">
      <selection activeCell="H24" sqref="H24"/>
    </sheetView>
  </sheetViews>
  <sheetFormatPr defaultColWidth="11.453125" defaultRowHeight="13" outlineLevelRow="1" outlineLevelCol="2" x14ac:dyDescent="0.3"/>
  <cols>
    <col min="1" max="1" width="31" style="52" customWidth="1"/>
    <col min="2" max="6" width="11.453125" style="52" customWidth="1" outlineLevel="2"/>
    <col min="7" max="11" width="11.453125" style="192" customWidth="1" outlineLevel="1"/>
    <col min="12" max="12" width="11.453125" style="52" customWidth="1" outlineLevel="2"/>
    <col min="13" max="14" width="11.453125" style="52" customWidth="1" outlineLevel="1"/>
    <col min="15" max="256" width="11.453125" style="52" bestFit="1"/>
    <col min="257" max="257" width="31" style="52" customWidth="1"/>
    <col min="258" max="512" width="11.453125" style="52" bestFit="1"/>
    <col min="513" max="513" width="31" style="52" customWidth="1"/>
    <col min="514" max="768" width="11.453125" style="52" bestFit="1"/>
    <col min="769" max="769" width="31" style="52" customWidth="1"/>
    <col min="770" max="1024" width="11.453125" style="52" bestFit="1"/>
    <col min="1025" max="1025" width="31" style="52" customWidth="1"/>
    <col min="1026" max="1280" width="11.453125" style="52" bestFit="1"/>
    <col min="1281" max="1281" width="31" style="52" customWidth="1"/>
    <col min="1282" max="1536" width="11.453125" style="52" bestFit="1"/>
    <col min="1537" max="1537" width="31" style="52" customWidth="1"/>
    <col min="1538" max="1792" width="11.453125" style="52" bestFit="1"/>
    <col min="1793" max="1793" width="31" style="52" customWidth="1"/>
    <col min="1794" max="2048" width="11.453125" style="52" bestFit="1"/>
    <col min="2049" max="2049" width="31" style="52" customWidth="1"/>
    <col min="2050" max="2304" width="11.453125" style="52" bestFit="1"/>
    <col min="2305" max="2305" width="31" style="52" customWidth="1"/>
    <col min="2306" max="2560" width="11.453125" style="52" bestFit="1"/>
    <col min="2561" max="2561" width="31" style="52" customWidth="1"/>
    <col min="2562" max="2816" width="11.453125" style="52" bestFit="1"/>
    <col min="2817" max="2817" width="31" style="52" customWidth="1"/>
    <col min="2818" max="3072" width="11.453125" style="52" bestFit="1"/>
    <col min="3073" max="3073" width="31" style="52" customWidth="1"/>
    <col min="3074" max="3328" width="11.453125" style="52" bestFit="1"/>
    <col min="3329" max="3329" width="31" style="52" customWidth="1"/>
    <col min="3330" max="3584" width="11.453125" style="52" bestFit="1"/>
    <col min="3585" max="3585" width="31" style="52" customWidth="1"/>
    <col min="3586" max="3840" width="11.453125" style="52" bestFit="1"/>
    <col min="3841" max="3841" width="31" style="52" customWidth="1"/>
    <col min="3842" max="4096" width="11.453125" style="52" bestFit="1"/>
    <col min="4097" max="4097" width="31" style="52" customWidth="1"/>
    <col min="4098" max="4352" width="11.453125" style="52" bestFit="1"/>
    <col min="4353" max="4353" width="31" style="52" customWidth="1"/>
    <col min="4354" max="4608" width="11.453125" style="52" bestFit="1"/>
    <col min="4609" max="4609" width="31" style="52" customWidth="1"/>
    <col min="4610" max="4864" width="11.453125" style="52" bestFit="1"/>
    <col min="4865" max="4865" width="31" style="52" customWidth="1"/>
    <col min="4866" max="5120" width="11.453125" style="52" bestFit="1"/>
    <col min="5121" max="5121" width="31" style="52" customWidth="1"/>
    <col min="5122" max="5376" width="11.453125" style="52" bestFit="1"/>
    <col min="5377" max="5377" width="31" style="52" customWidth="1"/>
    <col min="5378" max="5632" width="11.453125" style="52" bestFit="1"/>
    <col min="5633" max="5633" width="31" style="52" customWidth="1"/>
    <col min="5634" max="5888" width="11.453125" style="52" bestFit="1"/>
    <col min="5889" max="5889" width="31" style="52" customWidth="1"/>
    <col min="5890" max="6144" width="11.453125" style="52" bestFit="1"/>
    <col min="6145" max="6145" width="31" style="52" customWidth="1"/>
    <col min="6146" max="6400" width="11.453125" style="52" bestFit="1"/>
    <col min="6401" max="6401" width="31" style="52" customWidth="1"/>
    <col min="6402" max="6656" width="11.453125" style="52" bestFit="1"/>
    <col min="6657" max="6657" width="31" style="52" customWidth="1"/>
    <col min="6658" max="6912" width="11.453125" style="52" bestFit="1"/>
    <col min="6913" max="6913" width="31" style="52" customWidth="1"/>
    <col min="6914" max="7168" width="11.453125" style="52" bestFit="1"/>
    <col min="7169" max="7169" width="31" style="52" customWidth="1"/>
    <col min="7170" max="7424" width="11.453125" style="52" bestFit="1"/>
    <col min="7425" max="7425" width="31" style="52" customWidth="1"/>
    <col min="7426" max="7680" width="11.453125" style="52" bestFit="1"/>
    <col min="7681" max="7681" width="31" style="52" customWidth="1"/>
    <col min="7682" max="7936" width="11.453125" style="52" bestFit="1"/>
    <col min="7937" max="7937" width="31" style="52" customWidth="1"/>
    <col min="7938" max="8192" width="11.453125" style="52" bestFit="1"/>
    <col min="8193" max="8193" width="31" style="52" customWidth="1"/>
    <col min="8194" max="8448" width="11.453125" style="52" bestFit="1"/>
    <col min="8449" max="8449" width="31" style="52" customWidth="1"/>
    <col min="8450" max="8704" width="11.453125" style="52" bestFit="1"/>
    <col min="8705" max="8705" width="31" style="52" customWidth="1"/>
    <col min="8706" max="8960" width="11.453125" style="52" bestFit="1"/>
    <col min="8961" max="8961" width="31" style="52" customWidth="1"/>
    <col min="8962" max="9216" width="11.453125" style="52" bestFit="1"/>
    <col min="9217" max="9217" width="31" style="52" customWidth="1"/>
    <col min="9218" max="9472" width="11.453125" style="52" bestFit="1"/>
    <col min="9473" max="9473" width="31" style="52" customWidth="1"/>
    <col min="9474" max="9728" width="11.453125" style="52" bestFit="1"/>
    <col min="9729" max="9729" width="31" style="52" customWidth="1"/>
    <col min="9730" max="9984" width="11.453125" style="52" bestFit="1"/>
    <col min="9985" max="9985" width="31" style="52" customWidth="1"/>
    <col min="9986" max="10240" width="11.453125" style="52" bestFit="1"/>
    <col min="10241" max="10241" width="31" style="52" customWidth="1"/>
    <col min="10242" max="10496" width="11.453125" style="52" bestFit="1"/>
    <col min="10497" max="10497" width="31" style="52" customWidth="1"/>
    <col min="10498" max="10752" width="11.453125" style="52" bestFit="1"/>
    <col min="10753" max="10753" width="31" style="52" customWidth="1"/>
    <col min="10754" max="11008" width="11.453125" style="52" bestFit="1"/>
    <col min="11009" max="11009" width="31" style="52" customWidth="1"/>
    <col min="11010" max="11264" width="11.453125" style="52" bestFit="1"/>
    <col min="11265" max="11265" width="31" style="52" customWidth="1"/>
    <col min="11266" max="11520" width="11.453125" style="52" bestFit="1"/>
    <col min="11521" max="11521" width="31" style="52" customWidth="1"/>
    <col min="11522" max="11776" width="11.453125" style="52" bestFit="1"/>
    <col min="11777" max="11777" width="31" style="52" customWidth="1"/>
    <col min="11778" max="12032" width="11.453125" style="52" bestFit="1"/>
    <col min="12033" max="12033" width="31" style="52" customWidth="1"/>
    <col min="12034" max="12288" width="11.453125" style="52" bestFit="1"/>
    <col min="12289" max="12289" width="31" style="52" customWidth="1"/>
    <col min="12290" max="12544" width="11.453125" style="52" bestFit="1"/>
    <col min="12545" max="12545" width="31" style="52" customWidth="1"/>
    <col min="12546" max="12800" width="11.453125" style="52" bestFit="1"/>
    <col min="12801" max="12801" width="31" style="52" customWidth="1"/>
    <col min="12802" max="13056" width="11.453125" style="52" bestFit="1"/>
    <col min="13057" max="13057" width="31" style="52" customWidth="1"/>
    <col min="13058" max="13312" width="11.453125" style="52" bestFit="1"/>
    <col min="13313" max="13313" width="31" style="52" customWidth="1"/>
    <col min="13314" max="13568" width="11.453125" style="52" bestFit="1"/>
    <col min="13569" max="13569" width="31" style="52" customWidth="1"/>
    <col min="13570" max="13824" width="11.453125" style="52" bestFit="1"/>
    <col min="13825" max="13825" width="31" style="52" customWidth="1"/>
    <col min="13826" max="14080" width="11.453125" style="52" bestFit="1"/>
    <col min="14081" max="14081" width="31" style="52" customWidth="1"/>
    <col min="14082" max="14336" width="11.453125" style="52" bestFit="1"/>
    <col min="14337" max="14337" width="31" style="52" customWidth="1"/>
    <col min="14338" max="14592" width="11.453125" style="52" bestFit="1"/>
    <col min="14593" max="14593" width="31" style="52" customWidth="1"/>
    <col min="14594" max="14848" width="11.453125" style="52" bestFit="1"/>
    <col min="14849" max="14849" width="31" style="52" customWidth="1"/>
    <col min="14850" max="15104" width="11.453125" style="52" bestFit="1"/>
    <col min="15105" max="15105" width="31" style="52" customWidth="1"/>
    <col min="15106" max="15360" width="11.453125" style="52" bestFit="1"/>
    <col min="15361" max="15361" width="31" style="52" customWidth="1"/>
    <col min="15362" max="15616" width="11.453125" style="52" bestFit="1"/>
    <col min="15617" max="15617" width="31" style="52" customWidth="1"/>
    <col min="15618" max="15872" width="11.453125" style="52" bestFit="1"/>
    <col min="15873" max="15873" width="31" style="52" customWidth="1"/>
    <col min="15874" max="16128" width="11.453125" style="52" bestFit="1"/>
    <col min="16129" max="16129" width="31" style="52" customWidth="1"/>
    <col min="16130" max="16383" width="11.453125" style="52" bestFit="1"/>
    <col min="16384" max="16384" width="11.453125" style="52"/>
  </cols>
  <sheetData>
    <row r="1" spans="1:15" ht="13.5" x14ac:dyDescent="0.35">
      <c r="G1" s="191" t="s">
        <v>340</v>
      </c>
      <c r="L1" s="153" t="s">
        <v>341</v>
      </c>
      <c r="O1" s="153" t="s">
        <v>342</v>
      </c>
    </row>
    <row r="2" spans="1:15" ht="13.5" x14ac:dyDescent="0.35">
      <c r="G2" s="191"/>
      <c r="L2" s="153"/>
      <c r="O2" s="153"/>
    </row>
    <row r="3" spans="1:15" ht="39" x14ac:dyDescent="0.3">
      <c r="A3" s="193" t="s">
        <v>343</v>
      </c>
      <c r="B3" s="193" t="s">
        <v>344</v>
      </c>
      <c r="C3" s="193" t="s">
        <v>345</v>
      </c>
      <c r="D3" s="193" t="s">
        <v>346</v>
      </c>
      <c r="E3" s="193" t="s">
        <v>347</v>
      </c>
      <c r="F3" s="193" t="s">
        <v>348</v>
      </c>
      <c r="G3" s="194" t="s">
        <v>349</v>
      </c>
      <c r="H3" s="194" t="s">
        <v>350</v>
      </c>
      <c r="I3" s="194" t="s">
        <v>351</v>
      </c>
      <c r="J3" s="194" t="s">
        <v>352</v>
      </c>
      <c r="K3" s="194" t="s">
        <v>353</v>
      </c>
      <c r="L3" s="195" t="s">
        <v>354</v>
      </c>
      <c r="M3" s="196" t="s">
        <v>355</v>
      </c>
      <c r="N3" s="196" t="s">
        <v>356</v>
      </c>
      <c r="O3" s="196" t="s">
        <v>357</v>
      </c>
    </row>
    <row r="4" spans="1:15" x14ac:dyDescent="0.3">
      <c r="A4" s="197" t="s">
        <v>358</v>
      </c>
      <c r="B4" s="198"/>
      <c r="C4" s="198">
        <v>3.1901923074172064E-3</v>
      </c>
      <c r="D4" s="199"/>
      <c r="E4" s="200"/>
      <c r="F4" s="198">
        <v>8.9999999999999993E-3</v>
      </c>
      <c r="G4" s="201"/>
      <c r="H4" s="201"/>
      <c r="I4" s="201"/>
      <c r="J4" s="201"/>
      <c r="K4" s="202"/>
      <c r="L4" s="203"/>
      <c r="M4" s="203"/>
      <c r="N4" s="203"/>
      <c r="O4" s="203"/>
    </row>
    <row r="5" spans="1:15" x14ac:dyDescent="0.3">
      <c r="A5" s="197" t="s">
        <v>359</v>
      </c>
      <c r="B5" s="198">
        <v>0.23637275527583734</v>
      </c>
      <c r="C5" s="198">
        <v>4.8295843362845585E-2</v>
      </c>
      <c r="D5" s="204">
        <v>1</v>
      </c>
      <c r="E5" s="198">
        <v>0</v>
      </c>
      <c r="F5" s="198">
        <v>4.7E-2</v>
      </c>
      <c r="G5" s="205"/>
      <c r="H5" s="205"/>
      <c r="I5" s="205"/>
      <c r="J5" s="205"/>
      <c r="K5" s="206"/>
      <c r="L5" s="203"/>
      <c r="M5" s="203"/>
      <c r="N5" s="203"/>
      <c r="O5" s="203"/>
    </row>
    <row r="6" spans="1:15" ht="14" x14ac:dyDescent="0.3">
      <c r="A6" s="197" t="s">
        <v>360</v>
      </c>
      <c r="B6" s="198">
        <v>0.77423902089420937</v>
      </c>
      <c r="C6" s="198">
        <v>0.12519556252502811</v>
      </c>
      <c r="D6" s="204">
        <v>2.6253138164302143</v>
      </c>
      <c r="E6" s="198">
        <v>3.5888813027147026E-3</v>
      </c>
      <c r="F6" s="198">
        <v>0.10876192502434813</v>
      </c>
      <c r="G6" s="201">
        <v>8.01</v>
      </c>
      <c r="H6" s="201">
        <v>16.55</v>
      </c>
      <c r="I6" s="205">
        <v>0.495</v>
      </c>
      <c r="J6" s="205">
        <v>8.82</v>
      </c>
      <c r="K6" s="202">
        <f>G6+J6-I6</f>
        <v>16.334999999999997</v>
      </c>
      <c r="L6" s="207">
        <f>(2/3)*D6+(1/3)*$D$5</f>
        <v>2.0835425442868094</v>
      </c>
      <c r="M6" s="208">
        <f>(J6/(J6+G6))</f>
        <v>0.52406417112299475</v>
      </c>
      <c r="N6" s="208">
        <f t="shared" ref="N6:N11" si="0">1-M6</f>
        <v>0.47593582887700525</v>
      </c>
      <c r="O6" s="209">
        <f>M6*$C$45+N6*L6</f>
        <v>1.3215144874162568</v>
      </c>
    </row>
    <row r="7" spans="1:15" ht="14" x14ac:dyDescent="0.3">
      <c r="A7" s="197" t="s">
        <v>361</v>
      </c>
      <c r="B7" s="198">
        <v>0.43514168256266672</v>
      </c>
      <c r="C7" s="198">
        <v>1.8072983127469949E-2</v>
      </c>
      <c r="D7" s="204">
        <v>1.2109784992700994</v>
      </c>
      <c r="E7" s="200">
        <v>-3.9739182803650692E-2</v>
      </c>
      <c r="F7" s="198">
        <v>5.5017182972263774E-2</v>
      </c>
      <c r="G7" s="205">
        <v>33.200000000000003</v>
      </c>
      <c r="H7" s="205">
        <v>38.28</v>
      </c>
      <c r="I7" s="205">
        <v>9.83</v>
      </c>
      <c r="J7" s="205">
        <v>16.13</v>
      </c>
      <c r="K7" s="201">
        <f>G7+J7-I7</f>
        <v>39.5</v>
      </c>
      <c r="L7" s="207">
        <f>(2/3)*D7+(1/3)*$D$5</f>
        <v>1.1406523328467328</v>
      </c>
      <c r="M7" s="208">
        <f>(J7/(J7+G7))</f>
        <v>0.32698155280762214</v>
      </c>
      <c r="N7" s="208">
        <f t="shared" si="0"/>
        <v>0.67301844719237791</v>
      </c>
      <c r="O7" s="209">
        <f>M7*$C$45+N7*L7</f>
        <v>0.97350468179458727</v>
      </c>
    </row>
    <row r="8" spans="1:15" ht="14" x14ac:dyDescent="0.3">
      <c r="A8" s="197" t="s">
        <v>362</v>
      </c>
      <c r="B8" s="198">
        <v>0.51854604423625872</v>
      </c>
      <c r="C8" s="198">
        <v>8.4375760390145133E-2</v>
      </c>
      <c r="D8" s="204">
        <v>1.4899409368486884</v>
      </c>
      <c r="E8" s="198">
        <v>1.3980812092032932E-2</v>
      </c>
      <c r="F8" s="198">
        <v>6.5617755600250155E-2</v>
      </c>
      <c r="G8" s="205">
        <v>22.16</v>
      </c>
      <c r="H8" s="205">
        <v>26.53</v>
      </c>
      <c r="I8" s="205">
        <v>0.16139999999999999</v>
      </c>
      <c r="J8" s="205">
        <v>4.63</v>
      </c>
      <c r="K8" s="201">
        <f>G8+J8-I8</f>
        <v>26.628599999999999</v>
      </c>
      <c r="L8" s="207">
        <f>(2/3)*D8+(1/3)*$D$5</f>
        <v>1.3266272912324588</v>
      </c>
      <c r="M8" s="208">
        <f>(J8/(J8+G8))</f>
        <v>0.17282568122433745</v>
      </c>
      <c r="N8" s="208">
        <f t="shared" si="0"/>
        <v>0.82717431877566261</v>
      </c>
      <c r="O8" s="209">
        <f>M8*$C$45+N8*L8</f>
        <v>1.2061403653317602</v>
      </c>
    </row>
    <row r="9" spans="1:15" ht="14" x14ac:dyDescent="0.3">
      <c r="A9" s="197" t="s">
        <v>363</v>
      </c>
      <c r="B9" s="198">
        <v>0.50251993770164849</v>
      </c>
      <c r="C9" s="200">
        <v>-2.1893320663001199E-3</v>
      </c>
      <c r="D9" s="204">
        <v>1.1839218952282933</v>
      </c>
      <c r="E9" s="200">
        <v>-5.8781092256766157E-2</v>
      </c>
      <c r="F9" s="198">
        <v>5.3989032018675144E-2</v>
      </c>
      <c r="G9" s="205">
        <v>12.39</v>
      </c>
      <c r="H9" s="205">
        <v>17.61</v>
      </c>
      <c r="I9" s="205">
        <v>1.47</v>
      </c>
      <c r="J9" s="205">
        <v>7.11</v>
      </c>
      <c r="K9" s="201">
        <f>G9+J9-I9</f>
        <v>18.03</v>
      </c>
      <c r="L9" s="207">
        <f>(2/3)*D9+(1/3)*$D$5</f>
        <v>1.1226145968188621</v>
      </c>
      <c r="M9" s="208">
        <f>(J9/(J9+G9))</f>
        <v>0.36461538461538462</v>
      </c>
      <c r="N9" s="208">
        <f t="shared" si="0"/>
        <v>0.63538461538461544</v>
      </c>
      <c r="O9" s="209">
        <f>M9*$C$45+N9*L9</f>
        <v>0.94280597916493014</v>
      </c>
    </row>
    <row r="10" spans="1:15" ht="14" x14ac:dyDescent="0.3">
      <c r="A10" s="197" t="s">
        <v>364</v>
      </c>
      <c r="B10" s="198">
        <v>0.46743837218788481</v>
      </c>
      <c r="C10" s="198">
        <v>1.5914764565315733E-2</v>
      </c>
      <c r="D10" s="204">
        <v>0.73650025174735989</v>
      </c>
      <c r="E10" s="200">
        <v>-2.0495751099653049E-2</v>
      </c>
      <c r="F10" s="198">
        <v>3.6987009566399671E-2</v>
      </c>
      <c r="G10" s="205">
        <v>36.53</v>
      </c>
      <c r="H10" s="205">
        <v>42.11</v>
      </c>
      <c r="I10" s="205">
        <v>9.83</v>
      </c>
      <c r="J10" s="205">
        <v>16.13</v>
      </c>
      <c r="K10" s="201">
        <f>G10+J10-I10</f>
        <v>42.83</v>
      </c>
      <c r="L10" s="207">
        <f>(2/3)*D10+(1/3)*$D$5</f>
        <v>0.82433350116490656</v>
      </c>
      <c r="M10" s="208">
        <f>(J10/(J10+G10))</f>
        <v>0.30630459551842004</v>
      </c>
      <c r="N10" s="208">
        <f t="shared" si="0"/>
        <v>0.69369540448157996</v>
      </c>
      <c r="O10" s="209">
        <f>M10*$C$45+N10*L10</f>
        <v>0.76464548613690653</v>
      </c>
    </row>
    <row r="11" spans="1:15" x14ac:dyDescent="0.3">
      <c r="A11" s="210" t="s">
        <v>365</v>
      </c>
      <c r="M11" s="211">
        <f>AVERAGE(M6:M10)</f>
        <v>0.33895827705775178</v>
      </c>
      <c r="N11" s="432">
        <f t="shared" si="0"/>
        <v>0.66104172294224828</v>
      </c>
      <c r="O11" s="212">
        <f>AVERAGE(O6:O10)</f>
        <v>1.0417221999688882</v>
      </c>
    </row>
    <row r="12" spans="1:15" x14ac:dyDescent="0.3">
      <c r="A12" s="210"/>
      <c r="M12" s="213"/>
      <c r="N12" s="433"/>
      <c r="O12" s="214"/>
    </row>
    <row r="13" spans="1:15" x14ac:dyDescent="0.3">
      <c r="A13" s="210"/>
      <c r="M13" s="213"/>
      <c r="N13" s="433"/>
      <c r="O13" s="214"/>
    </row>
    <row r="14" spans="1:15" x14ac:dyDescent="0.3">
      <c r="A14" s="153" t="s">
        <v>366</v>
      </c>
    </row>
    <row r="15" spans="1:15" x14ac:dyDescent="0.3">
      <c r="A15" s="153"/>
    </row>
    <row r="16" spans="1:15" ht="12.75" customHeight="1" x14ac:dyDescent="0.3">
      <c r="A16" s="176" t="s">
        <v>367</v>
      </c>
      <c r="B16" s="177" t="s">
        <v>368</v>
      </c>
      <c r="C16" s="515" t="s">
        <v>369</v>
      </c>
      <c r="D16" s="515"/>
      <c r="E16" s="516"/>
    </row>
    <row r="17" spans="1:13" ht="12.75" customHeight="1" x14ac:dyDescent="0.3">
      <c r="A17" s="178" t="s">
        <v>149</v>
      </c>
      <c r="B17" s="179">
        <v>5.4300000000000001E-2</v>
      </c>
      <c r="C17" s="517" t="s">
        <v>150</v>
      </c>
      <c r="D17" s="518"/>
      <c r="E17" s="519"/>
    </row>
    <row r="18" spans="1:13" x14ac:dyDescent="0.3">
      <c r="A18" s="53" t="s">
        <v>151</v>
      </c>
      <c r="B18" s="55">
        <v>3.1E-2</v>
      </c>
      <c r="C18" s="506" t="s">
        <v>152</v>
      </c>
      <c r="D18" s="507"/>
      <c r="E18" s="508"/>
    </row>
    <row r="19" spans="1:13" x14ac:dyDescent="0.3">
      <c r="A19" s="53" t="s">
        <v>153</v>
      </c>
      <c r="B19" s="56">
        <v>2.1000000000000001E-2</v>
      </c>
      <c r="C19" s="520" t="s">
        <v>154</v>
      </c>
      <c r="D19" s="499"/>
      <c r="E19" s="521"/>
    </row>
    <row r="20" spans="1:13" x14ac:dyDescent="0.3">
      <c r="A20" s="53" t="s">
        <v>155</v>
      </c>
      <c r="B20" s="55">
        <v>0.6</v>
      </c>
      <c r="C20" s="520" t="s">
        <v>154</v>
      </c>
      <c r="D20" s="499"/>
      <c r="E20" s="521"/>
    </row>
    <row r="21" spans="1:13" ht="12.75" customHeight="1" x14ac:dyDescent="0.3">
      <c r="A21" s="53" t="s">
        <v>156</v>
      </c>
      <c r="B21" s="152">
        <v>1.5640000000000001E-2</v>
      </c>
      <c r="C21" s="506" t="s">
        <v>157</v>
      </c>
      <c r="D21" s="507"/>
      <c r="E21" s="508"/>
    </row>
    <row r="22" spans="1:13" x14ac:dyDescent="0.3">
      <c r="A22" s="53" t="s">
        <v>158</v>
      </c>
      <c r="B22" s="55">
        <v>1.6799999999999999E-2</v>
      </c>
      <c r="C22" s="506" t="s">
        <v>159</v>
      </c>
      <c r="D22" s="507"/>
      <c r="E22" s="508"/>
    </row>
    <row r="23" spans="1:13" ht="12.75" customHeight="1" x14ac:dyDescent="0.3">
      <c r="A23" s="53" t="s">
        <v>160</v>
      </c>
      <c r="B23" s="57">
        <v>4.1399999999999999E-2</v>
      </c>
      <c r="C23" s="509" t="s">
        <v>161</v>
      </c>
      <c r="D23" s="510"/>
      <c r="E23" s="511"/>
      <c r="F23" s="215"/>
    </row>
    <row r="24" spans="1:13" ht="12.75" customHeight="1" x14ac:dyDescent="0.3">
      <c r="A24" s="53" t="s">
        <v>162</v>
      </c>
      <c r="B24" s="57">
        <v>2.41E-2</v>
      </c>
      <c r="C24" s="509" t="s">
        <v>163</v>
      </c>
      <c r="D24" s="510"/>
      <c r="E24" s="511"/>
      <c r="F24" s="215"/>
    </row>
    <row r="25" spans="1:13" ht="12.75" customHeight="1" x14ac:dyDescent="0.3">
      <c r="A25" s="54" t="s">
        <v>164</v>
      </c>
      <c r="B25" s="58">
        <v>0.33</v>
      </c>
      <c r="C25" s="512" t="s">
        <v>165</v>
      </c>
      <c r="D25" s="513"/>
      <c r="E25" s="514"/>
      <c r="F25" s="215"/>
    </row>
    <row r="26" spans="1:13" x14ac:dyDescent="0.3">
      <c r="B26" s="230"/>
    </row>
    <row r="27" spans="1:13" x14ac:dyDescent="0.3">
      <c r="A27" s="153" t="s">
        <v>461</v>
      </c>
    </row>
    <row r="28" spans="1:13" x14ac:dyDescent="0.3">
      <c r="A28" s="203" t="s">
        <v>462</v>
      </c>
      <c r="B28" s="434">
        <v>1500</v>
      </c>
    </row>
    <row r="29" spans="1:13" x14ac:dyDescent="0.3">
      <c r="A29" s="203" t="s">
        <v>463</v>
      </c>
      <c r="B29" s="434">
        <v>2700000</v>
      </c>
    </row>
    <row r="32" spans="1:13" ht="28" x14ac:dyDescent="0.3">
      <c r="A32" s="189" t="s">
        <v>371</v>
      </c>
      <c r="B32" s="189">
        <v>2011</v>
      </c>
      <c r="C32" s="190" t="s">
        <v>464</v>
      </c>
      <c r="D32" s="190" t="s">
        <v>465</v>
      </c>
      <c r="E32" s="190" t="s">
        <v>466</v>
      </c>
      <c r="F32" s="190" t="s">
        <v>467</v>
      </c>
      <c r="G32" s="190" t="s">
        <v>468</v>
      </c>
      <c r="H32" s="190" t="s">
        <v>469</v>
      </c>
      <c r="I32" s="435"/>
      <c r="J32" s="435"/>
      <c r="K32" s="435"/>
      <c r="L32" s="435"/>
      <c r="M32" s="435"/>
    </row>
    <row r="33" spans="1:13" ht="14" outlineLevel="1" x14ac:dyDescent="0.3">
      <c r="A33" s="216" t="s">
        <v>377</v>
      </c>
      <c r="B33" s="436">
        <f>$B$22</f>
        <v>1.6799999999999999E-2</v>
      </c>
      <c r="C33" s="436">
        <f>$B$22</f>
        <v>1.6799999999999999E-2</v>
      </c>
      <c r="D33" s="436">
        <f>$B$22</f>
        <v>1.6799999999999999E-2</v>
      </c>
      <c r="E33" s="436">
        <f>$B$22</f>
        <v>1.6799999999999999E-2</v>
      </c>
      <c r="F33" s="436">
        <f>$B$22</f>
        <v>1.6799999999999999E-2</v>
      </c>
      <c r="G33" s="436">
        <v>0</v>
      </c>
      <c r="H33" s="436">
        <f>$B$22</f>
        <v>1.6799999999999999E-2</v>
      </c>
      <c r="I33" s="215"/>
      <c r="J33" s="215"/>
      <c r="K33" s="437"/>
      <c r="L33" s="437"/>
      <c r="M33" s="437"/>
    </row>
    <row r="34" spans="1:13" ht="12.75" customHeight="1" outlineLevel="1" x14ac:dyDescent="0.3">
      <c r="A34" s="216" t="s">
        <v>379</v>
      </c>
      <c r="B34" s="217" t="s">
        <v>380</v>
      </c>
      <c r="C34" s="217" t="s">
        <v>380</v>
      </c>
      <c r="D34" s="217" t="s">
        <v>380</v>
      </c>
      <c r="E34" s="217" t="s">
        <v>380</v>
      </c>
      <c r="F34" s="217" t="s">
        <v>380</v>
      </c>
      <c r="G34" s="217" t="s">
        <v>380</v>
      </c>
      <c r="H34" s="217" t="s">
        <v>380</v>
      </c>
      <c r="I34" s="438"/>
      <c r="J34" s="438"/>
      <c r="K34" s="437"/>
      <c r="L34" s="437"/>
      <c r="M34" s="437"/>
    </row>
    <row r="35" spans="1:13" outlineLevel="1" x14ac:dyDescent="0.3">
      <c r="A35" s="216" t="s">
        <v>382</v>
      </c>
      <c r="B35" s="218">
        <f t="shared" ref="B35:H35" si="1">$B$17</f>
        <v>5.4300000000000001E-2</v>
      </c>
      <c r="C35" s="218">
        <f t="shared" si="1"/>
        <v>5.4300000000000001E-2</v>
      </c>
      <c r="D35" s="218">
        <f t="shared" si="1"/>
        <v>5.4300000000000001E-2</v>
      </c>
      <c r="E35" s="218">
        <f t="shared" si="1"/>
        <v>5.4300000000000001E-2</v>
      </c>
      <c r="F35" s="218">
        <f t="shared" si="1"/>
        <v>5.4300000000000001E-2</v>
      </c>
      <c r="G35" s="218">
        <f t="shared" si="1"/>
        <v>5.4300000000000001E-2</v>
      </c>
      <c r="H35" s="218">
        <f t="shared" si="1"/>
        <v>5.4300000000000001E-2</v>
      </c>
      <c r="I35" s="215"/>
      <c r="J35" s="215"/>
      <c r="K35" s="437"/>
      <c r="L35" s="437"/>
      <c r="M35" s="437"/>
    </row>
    <row r="36" spans="1:13" ht="14" outlineLevel="1" x14ac:dyDescent="0.3">
      <c r="A36" s="216" t="s">
        <v>384</v>
      </c>
      <c r="B36" s="219">
        <f t="shared" ref="B36:H36" si="2">$B$18</f>
        <v>3.1E-2</v>
      </c>
      <c r="C36" s="219">
        <f t="shared" si="2"/>
        <v>3.1E-2</v>
      </c>
      <c r="D36" s="219">
        <f t="shared" si="2"/>
        <v>3.1E-2</v>
      </c>
      <c r="E36" s="219">
        <f t="shared" si="2"/>
        <v>3.1E-2</v>
      </c>
      <c r="F36" s="219">
        <f t="shared" si="2"/>
        <v>3.1E-2</v>
      </c>
      <c r="G36" s="219">
        <f t="shared" si="2"/>
        <v>3.1E-2</v>
      </c>
      <c r="H36" s="219">
        <f t="shared" si="2"/>
        <v>3.1E-2</v>
      </c>
      <c r="I36" s="439"/>
      <c r="J36" s="439"/>
      <c r="K36" s="215"/>
      <c r="L36" s="215"/>
      <c r="M36" s="215"/>
    </row>
    <row r="37" spans="1:13" outlineLevel="1" x14ac:dyDescent="0.3">
      <c r="A37" s="216" t="s">
        <v>386</v>
      </c>
      <c r="B37" s="218">
        <f t="shared" ref="B37:H37" si="3">$B$19</f>
        <v>2.1000000000000001E-2</v>
      </c>
      <c r="C37" s="218">
        <f t="shared" si="3"/>
        <v>2.1000000000000001E-2</v>
      </c>
      <c r="D37" s="218">
        <f t="shared" si="3"/>
        <v>2.1000000000000001E-2</v>
      </c>
      <c r="E37" s="218">
        <f t="shared" si="3"/>
        <v>2.1000000000000001E-2</v>
      </c>
      <c r="F37" s="218">
        <f t="shared" si="3"/>
        <v>2.1000000000000001E-2</v>
      </c>
      <c r="G37" s="218">
        <f t="shared" si="3"/>
        <v>2.1000000000000001E-2</v>
      </c>
      <c r="H37" s="218">
        <f t="shared" si="3"/>
        <v>2.1000000000000001E-2</v>
      </c>
      <c r="I37" s="215"/>
      <c r="J37" s="215"/>
      <c r="K37" s="215"/>
      <c r="L37" s="215"/>
      <c r="M37" s="215"/>
    </row>
    <row r="38" spans="1:13" outlineLevel="1" x14ac:dyDescent="0.3">
      <c r="A38" s="216" t="s">
        <v>388</v>
      </c>
      <c r="B38" s="220">
        <f t="shared" ref="B38:H38" si="4">$B$20</f>
        <v>0.6</v>
      </c>
      <c r="C38" s="220">
        <f t="shared" si="4"/>
        <v>0.6</v>
      </c>
      <c r="D38" s="220">
        <f t="shared" si="4"/>
        <v>0.6</v>
      </c>
      <c r="E38" s="220">
        <f t="shared" si="4"/>
        <v>0.6</v>
      </c>
      <c r="F38" s="220">
        <f t="shared" si="4"/>
        <v>0.6</v>
      </c>
      <c r="G38" s="220">
        <f t="shared" si="4"/>
        <v>0.6</v>
      </c>
      <c r="H38" s="220">
        <f t="shared" si="4"/>
        <v>0.6</v>
      </c>
      <c r="I38" s="215"/>
      <c r="J38" s="215"/>
      <c r="K38" s="215"/>
      <c r="L38" s="215"/>
      <c r="M38" s="215"/>
    </row>
    <row r="39" spans="1:13" outlineLevel="1" x14ac:dyDescent="0.3">
      <c r="A39" s="216" t="s">
        <v>390</v>
      </c>
      <c r="B39" s="218">
        <f t="shared" ref="B39:H39" si="5">B35-B36*B38+B33</f>
        <v>5.2500000000000005E-2</v>
      </c>
      <c r="C39" s="218">
        <f t="shared" si="5"/>
        <v>5.2500000000000005E-2</v>
      </c>
      <c r="D39" s="218">
        <f t="shared" si="5"/>
        <v>5.2500000000000005E-2</v>
      </c>
      <c r="E39" s="218">
        <f t="shared" si="5"/>
        <v>5.2500000000000005E-2</v>
      </c>
      <c r="F39" s="218">
        <f t="shared" si="5"/>
        <v>5.2500000000000005E-2</v>
      </c>
      <c r="G39" s="218">
        <f t="shared" si="5"/>
        <v>3.5700000000000003E-2</v>
      </c>
      <c r="H39" s="218">
        <f t="shared" si="5"/>
        <v>5.2500000000000005E-2</v>
      </c>
      <c r="I39" s="215"/>
      <c r="J39" s="215"/>
      <c r="K39" s="215"/>
      <c r="L39" s="215"/>
      <c r="M39" s="215"/>
    </row>
    <row r="40" spans="1:13" outlineLevel="1" x14ac:dyDescent="0.3">
      <c r="A40" s="216" t="s">
        <v>392</v>
      </c>
      <c r="B40" s="221">
        <f t="shared" ref="B40:H40" si="6">$B$21</f>
        <v>1.5640000000000001E-2</v>
      </c>
      <c r="C40" s="221">
        <f t="shared" si="6"/>
        <v>1.5640000000000001E-2</v>
      </c>
      <c r="D40" s="221">
        <f t="shared" si="6"/>
        <v>1.5640000000000001E-2</v>
      </c>
      <c r="E40" s="221">
        <f t="shared" si="6"/>
        <v>1.5640000000000001E-2</v>
      </c>
      <c r="F40" s="221">
        <f t="shared" si="6"/>
        <v>1.5640000000000001E-2</v>
      </c>
      <c r="G40" s="221">
        <f t="shared" si="6"/>
        <v>1.5640000000000001E-2</v>
      </c>
      <c r="H40" s="221">
        <f t="shared" si="6"/>
        <v>1.5640000000000001E-2</v>
      </c>
      <c r="I40" s="215"/>
      <c r="J40" s="215"/>
      <c r="K40" s="437"/>
      <c r="L40" s="437"/>
      <c r="M40" s="437"/>
    </row>
    <row r="41" spans="1:13" ht="12.75" customHeight="1" outlineLevel="1" x14ac:dyDescent="0.3">
      <c r="A41" s="216" t="s">
        <v>394</v>
      </c>
      <c r="B41" s="218">
        <f t="shared" ref="B41:H41" si="7">$B$23</f>
        <v>4.1399999999999999E-2</v>
      </c>
      <c r="C41" s="218">
        <f t="shared" si="7"/>
        <v>4.1399999999999999E-2</v>
      </c>
      <c r="D41" s="218">
        <f t="shared" si="7"/>
        <v>4.1399999999999999E-2</v>
      </c>
      <c r="E41" s="218">
        <f t="shared" si="7"/>
        <v>4.1399999999999999E-2</v>
      </c>
      <c r="F41" s="218">
        <f t="shared" si="7"/>
        <v>4.1399999999999999E-2</v>
      </c>
      <c r="G41" s="218">
        <f t="shared" si="7"/>
        <v>4.1399999999999999E-2</v>
      </c>
      <c r="H41" s="218">
        <f t="shared" si="7"/>
        <v>4.1399999999999999E-2</v>
      </c>
      <c r="I41" s="215"/>
      <c r="J41" s="215"/>
      <c r="K41" s="440"/>
      <c r="L41" s="440"/>
      <c r="M41" s="440"/>
    </row>
    <row r="42" spans="1:13" ht="14" outlineLevel="1" x14ac:dyDescent="0.3">
      <c r="A42" s="216" t="s">
        <v>396</v>
      </c>
      <c r="B42" s="222">
        <f t="shared" ref="B42:H42" si="8">(B39-B40-B33)/B41</f>
        <v>0.48454106280193249</v>
      </c>
      <c r="C42" s="222">
        <f t="shared" si="8"/>
        <v>0.48454106280193249</v>
      </c>
      <c r="D42" s="222">
        <f t="shared" si="8"/>
        <v>0.48454106280193249</v>
      </c>
      <c r="E42" s="222">
        <f t="shared" si="8"/>
        <v>0.48454106280193249</v>
      </c>
      <c r="F42" s="222">
        <f t="shared" si="8"/>
        <v>0.48454106280193249</v>
      </c>
      <c r="G42" s="222">
        <f t="shared" si="8"/>
        <v>0.48454106280193243</v>
      </c>
      <c r="H42" s="222">
        <f t="shared" si="8"/>
        <v>0.48454106280193249</v>
      </c>
      <c r="I42" s="215"/>
      <c r="J42" s="215"/>
      <c r="K42" s="215"/>
      <c r="L42" s="215"/>
      <c r="M42" s="215"/>
    </row>
    <row r="43" spans="1:13" outlineLevel="1" x14ac:dyDescent="0.3">
      <c r="A43" s="216" t="s">
        <v>398</v>
      </c>
      <c r="B43" s="223">
        <f t="shared" ref="B43:H43" si="9">B35-B40</f>
        <v>3.866E-2</v>
      </c>
      <c r="C43" s="223">
        <f t="shared" si="9"/>
        <v>3.866E-2</v>
      </c>
      <c r="D43" s="223">
        <f t="shared" si="9"/>
        <v>3.866E-2</v>
      </c>
      <c r="E43" s="223">
        <f t="shared" si="9"/>
        <v>3.866E-2</v>
      </c>
      <c r="F43" s="223">
        <f t="shared" si="9"/>
        <v>3.866E-2</v>
      </c>
      <c r="G43" s="223">
        <f t="shared" si="9"/>
        <v>3.866E-2</v>
      </c>
      <c r="H43" s="223">
        <f t="shared" si="9"/>
        <v>3.866E-2</v>
      </c>
      <c r="I43" s="215"/>
      <c r="J43" s="215"/>
      <c r="K43" s="215"/>
      <c r="L43" s="215"/>
      <c r="M43" s="215"/>
    </row>
    <row r="44" spans="1:13" outlineLevel="1" x14ac:dyDescent="0.3">
      <c r="A44" s="216" t="s">
        <v>399</v>
      </c>
      <c r="B44" s="218">
        <f t="shared" ref="B44:H44" si="10">B35-B37*B38+0%</f>
        <v>4.1700000000000001E-2</v>
      </c>
      <c r="C44" s="218">
        <f t="shared" si="10"/>
        <v>4.1700000000000001E-2</v>
      </c>
      <c r="D44" s="218">
        <f t="shared" si="10"/>
        <v>4.1700000000000001E-2</v>
      </c>
      <c r="E44" s="218">
        <f t="shared" si="10"/>
        <v>4.1700000000000001E-2</v>
      </c>
      <c r="F44" s="218">
        <f t="shared" si="10"/>
        <v>4.1700000000000001E-2</v>
      </c>
      <c r="G44" s="218">
        <f t="shared" si="10"/>
        <v>4.1700000000000001E-2</v>
      </c>
      <c r="H44" s="218">
        <f t="shared" si="10"/>
        <v>4.1700000000000001E-2</v>
      </c>
      <c r="I44" s="215"/>
      <c r="J44" s="215"/>
      <c r="K44" s="215"/>
      <c r="L44" s="215"/>
      <c r="M44" s="215"/>
    </row>
    <row r="45" spans="1:13" outlineLevel="1" x14ac:dyDescent="0.3">
      <c r="A45" s="216" t="s">
        <v>401</v>
      </c>
      <c r="B45" s="209">
        <f t="shared" ref="B45:H45" si="11">(B44-B40-0%)/B41</f>
        <v>0.62946859903381647</v>
      </c>
      <c r="C45" s="209">
        <f t="shared" si="11"/>
        <v>0.62946859903381647</v>
      </c>
      <c r="D45" s="209">
        <f t="shared" si="11"/>
        <v>0.62946859903381647</v>
      </c>
      <c r="E45" s="209">
        <f t="shared" si="11"/>
        <v>0.62946859903381647</v>
      </c>
      <c r="F45" s="209">
        <f t="shared" si="11"/>
        <v>0.62946859903381647</v>
      </c>
      <c r="G45" s="209">
        <f t="shared" si="11"/>
        <v>0.62946859903381647</v>
      </c>
      <c r="H45" s="209">
        <f t="shared" si="11"/>
        <v>0.62946859903381647</v>
      </c>
      <c r="I45" s="215"/>
      <c r="J45" s="215"/>
      <c r="K45" s="215"/>
      <c r="L45" s="215"/>
      <c r="M45" s="215"/>
    </row>
    <row r="46" spans="1:13" outlineLevel="1" x14ac:dyDescent="0.3">
      <c r="A46" s="216" t="s">
        <v>402</v>
      </c>
      <c r="B46" s="209">
        <f t="shared" ref="B46:H46" si="12">$O$11</f>
        <v>1.0417221999688882</v>
      </c>
      <c r="C46" s="209">
        <f t="shared" si="12"/>
        <v>1.0417221999688882</v>
      </c>
      <c r="D46" s="209">
        <f t="shared" si="12"/>
        <v>1.0417221999688882</v>
      </c>
      <c r="E46" s="209">
        <f t="shared" si="12"/>
        <v>1.0417221999688882</v>
      </c>
      <c r="F46" s="209">
        <f t="shared" si="12"/>
        <v>1.0417221999688882</v>
      </c>
      <c r="G46" s="209">
        <f t="shared" si="12"/>
        <v>1.0417221999688882</v>
      </c>
      <c r="H46" s="209">
        <f t="shared" si="12"/>
        <v>1.0417221999688882</v>
      </c>
      <c r="I46" s="215"/>
      <c r="J46" s="215"/>
      <c r="K46" s="215"/>
      <c r="L46" s="215"/>
      <c r="M46" s="215"/>
    </row>
    <row r="47" spans="1:13" outlineLevel="1" x14ac:dyDescent="0.3">
      <c r="A47" s="216" t="s">
        <v>403</v>
      </c>
      <c r="B47" s="209">
        <f t="shared" ref="B47:H47" si="13">B46</f>
        <v>1.0417221999688882</v>
      </c>
      <c r="C47" s="209">
        <f t="shared" si="13"/>
        <v>1.0417221999688882</v>
      </c>
      <c r="D47" s="209">
        <f t="shared" si="13"/>
        <v>1.0417221999688882</v>
      </c>
      <c r="E47" s="209">
        <f t="shared" si="13"/>
        <v>1.0417221999688882</v>
      </c>
      <c r="F47" s="209">
        <f t="shared" si="13"/>
        <v>1.0417221999688882</v>
      </c>
      <c r="G47" s="209">
        <f t="shared" si="13"/>
        <v>1.0417221999688882</v>
      </c>
      <c r="H47" s="209">
        <f t="shared" si="13"/>
        <v>1.0417221999688882</v>
      </c>
      <c r="I47" s="215"/>
      <c r="J47" s="215"/>
      <c r="K47" s="215"/>
      <c r="L47" s="215"/>
      <c r="M47" s="215"/>
    </row>
    <row r="48" spans="1:13" outlineLevel="1" x14ac:dyDescent="0.3">
      <c r="A48" s="216" t="s">
        <v>404</v>
      </c>
      <c r="B48" s="224">
        <f t="shared" ref="B48:H48" si="14">B40+B47*B41+B33</f>
        <v>7.5567299078711972E-2</v>
      </c>
      <c r="C48" s="224">
        <f t="shared" si="14"/>
        <v>7.5567299078711972E-2</v>
      </c>
      <c r="D48" s="224">
        <f t="shared" si="14"/>
        <v>7.5567299078711972E-2</v>
      </c>
      <c r="E48" s="224">
        <f t="shared" si="14"/>
        <v>7.5567299078711972E-2</v>
      </c>
      <c r="F48" s="224">
        <f t="shared" si="14"/>
        <v>7.5567299078711972E-2</v>
      </c>
      <c r="G48" s="224">
        <f t="shared" si="14"/>
        <v>5.876729907871197E-2</v>
      </c>
      <c r="H48" s="224">
        <f t="shared" si="14"/>
        <v>7.5567299078711972E-2</v>
      </c>
      <c r="I48" s="215"/>
      <c r="J48" s="215"/>
      <c r="K48" s="215"/>
      <c r="L48" s="215"/>
      <c r="M48" s="215"/>
    </row>
    <row r="49" spans="1:13" ht="14" outlineLevel="1" x14ac:dyDescent="0.3">
      <c r="A49" s="216" t="s">
        <v>405</v>
      </c>
      <c r="B49" s="225">
        <f>('Tabla A1. Formulado'!$H$46)/1000000</f>
        <v>5.0823619999999998</v>
      </c>
      <c r="C49" s="225">
        <f>('Tabla A1. Formulado'!$I$46)/1000000</f>
        <v>4.4703759999999999</v>
      </c>
      <c r="D49" s="225">
        <f>('Tabla A1. Formulado'!$J$46)/1000000</f>
        <v>5.0473619999999997</v>
      </c>
      <c r="E49" s="225">
        <f>('Tabla A1. Formulado'!$I$46)/1000000</f>
        <v>4.4703759999999999</v>
      </c>
      <c r="F49" s="225">
        <f>('Tabla A1. Formulado'!$I$46+$B$29)/1000000</f>
        <v>7.1703760000000001</v>
      </c>
      <c r="G49" s="225">
        <f>('Tabla A1. Formulado'!$I$46)/1000000</f>
        <v>4.4703759999999999</v>
      </c>
      <c r="H49" s="225">
        <f>('Tabla A1. Formulado'!$I$46+$B$29)/1000000</f>
        <v>7.1703760000000001</v>
      </c>
      <c r="I49" s="439"/>
      <c r="J49" s="439"/>
      <c r="K49" s="215"/>
      <c r="L49" s="215"/>
      <c r="M49" s="215"/>
    </row>
    <row r="50" spans="1:13" ht="14" outlineLevel="1" x14ac:dyDescent="0.3">
      <c r="A50" s="216" t="s">
        <v>407</v>
      </c>
      <c r="B50" s="225">
        <f>'Tabla A1. Formulado'!$H$47/1000000</f>
        <v>11.698703999999999</v>
      </c>
      <c r="C50" s="225">
        <f>'Tabla A1. Formulado'!$I$47/1000000</f>
        <v>5.7963399999999998</v>
      </c>
      <c r="D50" s="225">
        <f>'Tabla A1. Formulado'!$J$47/1000000</f>
        <v>5.8730010000000004</v>
      </c>
      <c r="E50" s="225">
        <f>('Tabla A1. Formulado'!$I$47+$B$29)/1000000</f>
        <v>8.49634</v>
      </c>
      <c r="F50" s="225">
        <f>'Tabla A1. Formulado'!$I$47/1000000</f>
        <v>5.7963399999999998</v>
      </c>
      <c r="G50" s="225">
        <f>('Tabla A1. Formulado'!$I$47+$B$29)/1000000</f>
        <v>8.49634</v>
      </c>
      <c r="H50" s="225">
        <f>'Tabla A1. Formulado'!$I$47/1000000</f>
        <v>5.7963399999999998</v>
      </c>
      <c r="I50" s="439"/>
      <c r="J50" s="439"/>
      <c r="K50" s="215"/>
      <c r="L50" s="215"/>
      <c r="M50" s="215"/>
    </row>
    <row r="51" spans="1:13" outlineLevel="1" x14ac:dyDescent="0.3">
      <c r="A51" s="216" t="s">
        <v>408</v>
      </c>
      <c r="B51" s="207">
        <f t="shared" ref="B51:H51" si="15">B49+B50</f>
        <v>16.781065999999999</v>
      </c>
      <c r="C51" s="207">
        <f t="shared" si="15"/>
        <v>10.266715999999999</v>
      </c>
      <c r="D51" s="207">
        <f t="shared" si="15"/>
        <v>10.920363</v>
      </c>
      <c r="E51" s="207">
        <f t="shared" si="15"/>
        <v>12.966716</v>
      </c>
      <c r="F51" s="207">
        <f t="shared" si="15"/>
        <v>12.966716</v>
      </c>
      <c r="G51" s="207">
        <f t="shared" si="15"/>
        <v>12.966716</v>
      </c>
      <c r="H51" s="207">
        <f t="shared" si="15"/>
        <v>12.966716</v>
      </c>
      <c r="I51" s="215"/>
      <c r="J51" s="215"/>
      <c r="K51" s="215"/>
      <c r="L51" s="215"/>
      <c r="M51" s="215"/>
    </row>
    <row r="52" spans="1:13" s="153" customFormat="1" ht="14" outlineLevel="1" x14ac:dyDescent="0.3">
      <c r="A52" s="441" t="s">
        <v>409</v>
      </c>
      <c r="B52" s="442">
        <f t="shared" ref="B52:H52" si="16">B49/B50</f>
        <v>0.43443803689707855</v>
      </c>
      <c r="C52" s="442">
        <f t="shared" si="16"/>
        <v>0.77124116252669794</v>
      </c>
      <c r="D52" s="442">
        <f t="shared" si="16"/>
        <v>0.85941786830957445</v>
      </c>
      <c r="E52" s="442">
        <f t="shared" si="16"/>
        <v>0.52615314358888654</v>
      </c>
      <c r="F52" s="442">
        <f t="shared" si="16"/>
        <v>1.2370523468257557</v>
      </c>
      <c r="G52" s="442">
        <f t="shared" si="16"/>
        <v>0.52615314358888654</v>
      </c>
      <c r="H52" s="442">
        <f t="shared" si="16"/>
        <v>1.2370523468257557</v>
      </c>
      <c r="I52" s="443"/>
      <c r="J52" s="443"/>
      <c r="K52" s="443"/>
      <c r="L52" s="443"/>
      <c r="M52" s="443"/>
    </row>
    <row r="53" spans="1:13" outlineLevel="1" x14ac:dyDescent="0.3">
      <c r="A53" s="216" t="s">
        <v>410</v>
      </c>
      <c r="B53" s="218">
        <f t="shared" ref="B53:H53" si="17">B48+(B48-B39)*B52</f>
        <v>8.5588611206985382E-2</v>
      </c>
      <c r="C53" s="218">
        <f t="shared" si="17"/>
        <v>9.335774963652882E-2</v>
      </c>
      <c r="D53" s="218">
        <f t="shared" si="17"/>
        <v>9.5391748080598027E-2</v>
      </c>
      <c r="E53" s="218">
        <f t="shared" si="17"/>
        <v>8.7704231003081307E-2</v>
      </c>
      <c r="F53" s="218">
        <f t="shared" si="17"/>
        <v>0.1041027555389642</v>
      </c>
      <c r="G53" s="218">
        <f t="shared" si="17"/>
        <v>7.0904231003081297E-2</v>
      </c>
      <c r="H53" s="218">
        <f t="shared" si="17"/>
        <v>0.1041027555389642</v>
      </c>
      <c r="I53" s="215"/>
      <c r="J53" s="215"/>
      <c r="K53" s="215"/>
      <c r="L53" s="215"/>
      <c r="M53" s="215"/>
    </row>
    <row r="54" spans="1:13" outlineLevel="1" x14ac:dyDescent="0.3">
      <c r="A54" s="216" t="s">
        <v>411</v>
      </c>
      <c r="B54" s="226">
        <f t="shared" ref="B54:H54" si="18">B47+(B47-B42)*B52</f>
        <v>1.2837828793957822</v>
      </c>
      <c r="C54" s="226">
        <f t="shared" si="18"/>
        <v>1.4714432279354785</v>
      </c>
      <c r="D54" s="226">
        <f t="shared" si="18"/>
        <v>1.5205736251352178</v>
      </c>
      <c r="E54" s="226">
        <f t="shared" si="18"/>
        <v>1.3348848068377124</v>
      </c>
      <c r="F54" s="226">
        <f t="shared" si="18"/>
        <v>1.730984433308314</v>
      </c>
      <c r="G54" s="226">
        <f t="shared" si="18"/>
        <v>1.3348848068377124</v>
      </c>
      <c r="H54" s="226">
        <f t="shared" si="18"/>
        <v>1.730984433308314</v>
      </c>
      <c r="I54" s="215"/>
      <c r="J54" s="215"/>
      <c r="K54" s="215"/>
      <c r="L54" s="215"/>
      <c r="M54" s="215"/>
    </row>
    <row r="55" spans="1:13" outlineLevel="1" x14ac:dyDescent="0.3">
      <c r="A55" s="216" t="s">
        <v>412</v>
      </c>
      <c r="B55" s="218">
        <f t="shared" ref="B55:H55" si="19">B40+B54*B41+B33</f>
        <v>8.5588611206985368E-2</v>
      </c>
      <c r="C55" s="218">
        <f t="shared" si="19"/>
        <v>9.3357749636528806E-2</v>
      </c>
      <c r="D55" s="218">
        <f t="shared" si="19"/>
        <v>9.5391748080598013E-2</v>
      </c>
      <c r="E55" s="218">
        <f t="shared" si="19"/>
        <v>8.7704231003081293E-2</v>
      </c>
      <c r="F55" s="218">
        <f t="shared" si="19"/>
        <v>0.1041027555389642</v>
      </c>
      <c r="G55" s="218">
        <f t="shared" si="19"/>
        <v>7.0904231003081297E-2</v>
      </c>
      <c r="H55" s="218">
        <f t="shared" si="19"/>
        <v>0.1041027555389642</v>
      </c>
      <c r="I55" s="215"/>
      <c r="J55" s="215"/>
      <c r="K55" s="215"/>
      <c r="L55" s="215"/>
      <c r="M55" s="215"/>
    </row>
    <row r="56" spans="1:13" outlineLevel="1" x14ac:dyDescent="0.3">
      <c r="A56" s="216" t="s">
        <v>413</v>
      </c>
      <c r="B56" s="220">
        <f t="shared" ref="B56:H56" si="20">$B$25</f>
        <v>0.33</v>
      </c>
      <c r="C56" s="220">
        <f t="shared" si="20"/>
        <v>0.33</v>
      </c>
      <c r="D56" s="220">
        <f t="shared" si="20"/>
        <v>0.33</v>
      </c>
      <c r="E56" s="220">
        <f t="shared" si="20"/>
        <v>0.33</v>
      </c>
      <c r="F56" s="220">
        <f t="shared" si="20"/>
        <v>0.33</v>
      </c>
      <c r="G56" s="220">
        <f t="shared" si="20"/>
        <v>0.33</v>
      </c>
      <c r="H56" s="220">
        <f t="shared" si="20"/>
        <v>0.33</v>
      </c>
      <c r="I56" s="215"/>
      <c r="J56" s="215"/>
      <c r="K56" s="215"/>
      <c r="L56" s="215"/>
      <c r="M56" s="215"/>
    </row>
    <row r="57" spans="1:13" s="153" customFormat="1" ht="14" outlineLevel="1" x14ac:dyDescent="0.3">
      <c r="A57" s="444" t="s">
        <v>415</v>
      </c>
      <c r="B57" s="445">
        <f t="shared" ref="B57:H57" si="21">B49/B51</f>
        <v>0.30286288129729066</v>
      </c>
      <c r="C57" s="445">
        <f t="shared" si="21"/>
        <v>0.43542414146841119</v>
      </c>
      <c r="D57" s="445">
        <f t="shared" si="21"/>
        <v>0.46219727311262454</v>
      </c>
      <c r="E57" s="445">
        <f t="shared" si="21"/>
        <v>0.34475776287534948</v>
      </c>
      <c r="F57" s="445">
        <f t="shared" si="21"/>
        <v>0.5529831917349004</v>
      </c>
      <c r="G57" s="445">
        <f t="shared" si="21"/>
        <v>0.34475776287534948</v>
      </c>
      <c r="H57" s="445">
        <f t="shared" si="21"/>
        <v>0.5529831917349004</v>
      </c>
      <c r="I57" s="443"/>
      <c r="J57" s="443"/>
      <c r="K57" s="443"/>
      <c r="L57" s="443"/>
      <c r="M57" s="443"/>
    </row>
    <row r="58" spans="1:13" s="153" customFormat="1" ht="14" outlineLevel="1" x14ac:dyDescent="0.3">
      <c r="A58" s="444" t="s">
        <v>416</v>
      </c>
      <c r="B58" s="445">
        <f t="shared" ref="B58:H58" si="22">B50/B51</f>
        <v>0.69713711870270934</v>
      </c>
      <c r="C58" s="445">
        <f t="shared" si="22"/>
        <v>0.56457585853158887</v>
      </c>
      <c r="D58" s="445">
        <f t="shared" si="22"/>
        <v>0.53780272688737552</v>
      </c>
      <c r="E58" s="445">
        <f t="shared" si="22"/>
        <v>0.65524223712465057</v>
      </c>
      <c r="F58" s="445">
        <f t="shared" si="22"/>
        <v>0.44701680826509965</v>
      </c>
      <c r="G58" s="446">
        <f t="shared" si="22"/>
        <v>0.65524223712465057</v>
      </c>
      <c r="H58" s="446">
        <f t="shared" si="22"/>
        <v>0.44701680826509965</v>
      </c>
      <c r="I58" s="443"/>
      <c r="J58" s="443"/>
      <c r="K58" s="443"/>
      <c r="L58" s="443"/>
      <c r="M58" s="443"/>
    </row>
    <row r="59" spans="1:13" outlineLevel="1" x14ac:dyDescent="0.3">
      <c r="A59" s="216" t="s">
        <v>390</v>
      </c>
      <c r="B59" s="218">
        <f t="shared" ref="B59:H59" si="23">B39</f>
        <v>5.2500000000000005E-2</v>
      </c>
      <c r="C59" s="218">
        <f t="shared" si="23"/>
        <v>5.2500000000000005E-2</v>
      </c>
      <c r="D59" s="218">
        <f t="shared" si="23"/>
        <v>5.2500000000000005E-2</v>
      </c>
      <c r="E59" s="218">
        <f t="shared" si="23"/>
        <v>5.2500000000000005E-2</v>
      </c>
      <c r="F59" s="218">
        <f t="shared" si="23"/>
        <v>5.2500000000000005E-2</v>
      </c>
      <c r="G59" s="218">
        <f t="shared" si="23"/>
        <v>3.5700000000000003E-2</v>
      </c>
      <c r="H59" s="218">
        <f t="shared" si="23"/>
        <v>5.2500000000000005E-2</v>
      </c>
      <c r="I59" s="215"/>
      <c r="J59" s="215"/>
      <c r="K59" s="215"/>
      <c r="L59" s="215"/>
      <c r="M59" s="215"/>
    </row>
    <row r="60" spans="1:13" x14ac:dyDescent="0.3">
      <c r="A60" s="227" t="s">
        <v>417</v>
      </c>
      <c r="B60" s="228">
        <f t="shared" ref="B60:H60" si="24">B59*(1-B56)*B57+B53*B58</f>
        <v>7.0320199660236407E-2</v>
      </c>
      <c r="C60" s="228">
        <f t="shared" si="24"/>
        <v>6.8023575827771743E-2</v>
      </c>
      <c r="D60" s="228">
        <f t="shared" si="24"/>
        <v>6.7559731322035757E-2</v>
      </c>
      <c r="E60" s="228">
        <f t="shared" si="24"/>
        <v>6.9594370836896555E-2</v>
      </c>
      <c r="F60" s="228">
        <f t="shared" si="24"/>
        <v>6.5986865281904811E-2</v>
      </c>
      <c r="G60" s="228">
        <f t="shared" si="24"/>
        <v>5.4705707874277483E-2</v>
      </c>
      <c r="H60" s="228">
        <f t="shared" si="24"/>
        <v>6.5986865281904811E-2</v>
      </c>
      <c r="I60" s="215"/>
      <c r="J60" s="215"/>
      <c r="K60" s="215"/>
      <c r="L60" s="215"/>
      <c r="M60" s="215"/>
    </row>
    <row r="61" spans="1:13" outlineLevel="1" x14ac:dyDescent="0.3">
      <c r="A61" s="216" t="s">
        <v>419</v>
      </c>
      <c r="B61" s="447">
        <f t="shared" ref="B61:H61" si="25">$B$24</f>
        <v>2.41E-2</v>
      </c>
      <c r="C61" s="447">
        <f t="shared" si="25"/>
        <v>2.41E-2</v>
      </c>
      <c r="D61" s="447">
        <f t="shared" si="25"/>
        <v>2.41E-2</v>
      </c>
      <c r="E61" s="447">
        <f t="shared" si="25"/>
        <v>2.41E-2</v>
      </c>
      <c r="F61" s="447">
        <f t="shared" si="25"/>
        <v>2.41E-2</v>
      </c>
      <c r="G61" s="447">
        <f t="shared" si="25"/>
        <v>2.41E-2</v>
      </c>
      <c r="H61" s="447">
        <f t="shared" si="25"/>
        <v>2.41E-2</v>
      </c>
      <c r="I61" s="215"/>
      <c r="J61" s="215"/>
      <c r="K61" s="215"/>
      <c r="L61" s="215"/>
      <c r="M61" s="215"/>
    </row>
    <row r="62" spans="1:13" outlineLevel="1" x14ac:dyDescent="0.3">
      <c r="A62" s="216" t="s">
        <v>420</v>
      </c>
      <c r="B62" s="218">
        <f t="shared" ref="B62:H62" si="26">(1+B59)*(1+B61)-1</f>
        <v>7.7865250000000108E-2</v>
      </c>
      <c r="C62" s="218">
        <f t="shared" si="26"/>
        <v>7.7865250000000108E-2</v>
      </c>
      <c r="D62" s="218">
        <f t="shared" si="26"/>
        <v>7.7865250000000108E-2</v>
      </c>
      <c r="E62" s="218">
        <f t="shared" si="26"/>
        <v>7.7865250000000108E-2</v>
      </c>
      <c r="F62" s="218">
        <f t="shared" si="26"/>
        <v>7.7865250000000108E-2</v>
      </c>
      <c r="G62" s="218">
        <f t="shared" si="26"/>
        <v>6.066037000000013E-2</v>
      </c>
      <c r="H62" s="218">
        <f t="shared" si="26"/>
        <v>7.7865250000000108E-2</v>
      </c>
      <c r="I62" s="215"/>
      <c r="J62" s="215"/>
      <c r="K62" s="215"/>
      <c r="L62" s="215"/>
      <c r="M62" s="215"/>
    </row>
    <row r="63" spans="1:13" outlineLevel="1" x14ac:dyDescent="0.3">
      <c r="A63" s="216" t="s">
        <v>421</v>
      </c>
      <c r="B63" s="218">
        <f t="shared" ref="B63:H63" si="27">(1+B55)*(1+B61)-1</f>
        <v>0.11175129673707374</v>
      </c>
      <c r="C63" s="218">
        <f t="shared" si="27"/>
        <v>0.11970767140276917</v>
      </c>
      <c r="D63" s="218">
        <f t="shared" si="27"/>
        <v>0.12179068920934033</v>
      </c>
      <c r="E63" s="218">
        <f t="shared" si="27"/>
        <v>0.1139179029702555</v>
      </c>
      <c r="F63" s="218">
        <f t="shared" si="27"/>
        <v>0.13071163194745328</v>
      </c>
      <c r="G63" s="218">
        <f t="shared" si="27"/>
        <v>9.6713022970255524E-2</v>
      </c>
      <c r="H63" s="218">
        <f t="shared" si="27"/>
        <v>0.13071163194745328</v>
      </c>
      <c r="I63" s="215"/>
      <c r="J63" s="215"/>
      <c r="K63" s="215"/>
      <c r="L63" s="215"/>
      <c r="M63" s="215"/>
    </row>
    <row r="64" spans="1:13" ht="14" x14ac:dyDescent="0.3">
      <c r="A64" s="229" t="s">
        <v>422</v>
      </c>
      <c r="B64" s="448">
        <f t="shared" ref="B64:H64" si="28">B62*(1-B56)*B57+B63*B58</f>
        <v>9.3706247977090776E-2</v>
      </c>
      <c r="C64" s="448">
        <f t="shared" si="28"/>
        <v>9.0300015808122816E-2</v>
      </c>
      <c r="D64" s="448">
        <f t="shared" si="28"/>
        <v>8.9612065933832086E-2</v>
      </c>
      <c r="E64" s="448">
        <f t="shared" si="28"/>
        <v>9.262973668591809E-2</v>
      </c>
      <c r="F64" s="448">
        <f t="shared" si="28"/>
        <v>8.7279273411331126E-2</v>
      </c>
      <c r="G64" s="448">
        <f t="shared" si="28"/>
        <v>7.7382256945899924E-2</v>
      </c>
      <c r="H64" s="448">
        <f t="shared" si="28"/>
        <v>8.7279273411331126E-2</v>
      </c>
      <c r="I64" s="215"/>
      <c r="J64" s="215"/>
      <c r="K64" s="215"/>
      <c r="L64" s="215"/>
      <c r="M64" s="215"/>
    </row>
    <row r="65" spans="1:13" ht="14" x14ac:dyDescent="0.3">
      <c r="A65" s="449" t="s">
        <v>47</v>
      </c>
      <c r="B65" s="450">
        <f>'Indicadores Estratégicos'!G15</f>
        <v>272833</v>
      </c>
      <c r="C65" s="450">
        <f>'Indicadores Estratégicos'!H15</f>
        <v>414567</v>
      </c>
      <c r="D65" s="450">
        <f>'Indicadores Estratégicos'!I15</f>
        <v>389999.99999999988</v>
      </c>
      <c r="E65" s="450">
        <f>'Indicadores Estratégicos'!$H$15+$B$29*$B$82*$B$84</f>
        <v>488181.64932706743</v>
      </c>
      <c r="F65" s="450">
        <f>'Indicadores Estratégicos'!$H$15+$B$29*$B$82*$B$84</f>
        <v>488181.64932706743</v>
      </c>
      <c r="G65" s="450">
        <f>'Indicadores Estratégicos'!$H$15+$B$29*$B$82*$B$84</f>
        <v>488181.64932706743</v>
      </c>
      <c r="H65" s="450">
        <f>'Indicadores Estratégicos'!$H$15+$B$29*$B$82*$B$84</f>
        <v>488181.64932706743</v>
      </c>
      <c r="L65" s="192"/>
      <c r="M65" s="192"/>
    </row>
    <row r="66" spans="1:13" ht="14" x14ac:dyDescent="0.3">
      <c r="A66" s="449" t="s">
        <v>207</v>
      </c>
      <c r="B66" s="450">
        <f>'Indicadores Estratégicos'!G16</f>
        <v>11840431</v>
      </c>
      <c r="C66" s="450">
        <f>'Indicadores Estratégicos'!H16</f>
        <v>6762195</v>
      </c>
      <c r="D66" s="450">
        <f>'Indicadores Estratégicos'!I16</f>
        <v>7273038</v>
      </c>
      <c r="E66" s="450">
        <f>'Indicadores Estratégicos'!$H$16+$B$29</f>
        <v>9462195</v>
      </c>
      <c r="F66" s="450">
        <f>'Indicadores Estratégicos'!$H$16+$B$29</f>
        <v>9462195</v>
      </c>
      <c r="G66" s="450">
        <f>'Indicadores Estratégicos'!$H$16+$B$29</f>
        <v>9462195</v>
      </c>
      <c r="H66" s="450">
        <f>'Indicadores Estratégicos'!$H$16+$B$29</f>
        <v>9462195</v>
      </c>
      <c r="L66" s="192"/>
      <c r="M66" s="192"/>
    </row>
    <row r="67" spans="1:13" s="153" customFormat="1" ht="14.5" x14ac:dyDescent="0.35">
      <c r="A67" s="451" t="s">
        <v>208</v>
      </c>
      <c r="B67" s="452">
        <f t="shared" ref="B67:H67" si="29">B65*(1-B56)/B66</f>
        <v>1.5438467569297096E-2</v>
      </c>
      <c r="C67" s="452">
        <f t="shared" si="29"/>
        <v>4.1075403770521254E-2</v>
      </c>
      <c r="D67" s="452">
        <f t="shared" si="29"/>
        <v>3.5927215009738694E-2</v>
      </c>
      <c r="E67" s="452">
        <f t="shared" si="29"/>
        <v>3.4567212475449423E-2</v>
      </c>
      <c r="F67" s="452">
        <f t="shared" si="29"/>
        <v>3.4567212475449423E-2</v>
      </c>
      <c r="G67" s="452">
        <f t="shared" si="29"/>
        <v>3.4567212475449423E-2</v>
      </c>
      <c r="H67" s="452">
        <f t="shared" si="29"/>
        <v>3.4567212475449423E-2</v>
      </c>
      <c r="I67" s="191"/>
      <c r="J67" s="191"/>
      <c r="K67" s="191"/>
      <c r="L67" s="191"/>
      <c r="M67" s="191"/>
    </row>
    <row r="68" spans="1:13" ht="14" x14ac:dyDescent="0.3">
      <c r="A68" s="449" t="s">
        <v>142</v>
      </c>
      <c r="B68" s="450">
        <f>'Indicadores Estratégicos'!G5</f>
        <v>681544</v>
      </c>
      <c r="C68" s="450">
        <f>'Indicadores Estratégicos'!H5</f>
        <v>791190</v>
      </c>
      <c r="D68" s="450">
        <f>'Indicadores Estratégicos'!I5</f>
        <v>798710.99999999988</v>
      </c>
      <c r="E68" s="450">
        <f>'Indicadores Estratégicos'!$H$5+$B$29*$B$82*$B$86</f>
        <v>950778.67880438152</v>
      </c>
      <c r="F68" s="450">
        <f>'Indicadores Estratégicos'!$H$5+$B$29*$B$82*$B$86</f>
        <v>950778.67880438152</v>
      </c>
      <c r="G68" s="450">
        <f>'Indicadores Estratégicos'!$H$5+$B$29*$B$82*$B$86</f>
        <v>950778.67880438152</v>
      </c>
      <c r="H68" s="450">
        <f>'Indicadores Estratégicos'!$H$5+$B$29*$B$82*$B$86</f>
        <v>950778.67880438152</v>
      </c>
      <c r="L68" s="192"/>
      <c r="M68" s="192"/>
    </row>
    <row r="69" spans="1:13" s="153" customFormat="1" ht="13.5" x14ac:dyDescent="0.35">
      <c r="A69" s="453" t="s">
        <v>457</v>
      </c>
      <c r="B69" s="454">
        <f>+('Tabla A1. Formulado'!H29+'Tabla A1. Formulado'!H38)/B68</f>
        <v>2.9185789912316737</v>
      </c>
      <c r="C69" s="454">
        <f>+('Tabla A1. Formulado'!I29+'Tabla A1. Formulado'!I38)/C68</f>
        <v>1.2930206397957507</v>
      </c>
      <c r="D69" s="454">
        <f>+('Tabla A1. Formulado'!J29+'Tabla A1. Formulado'!J38)/D68</f>
        <v>1.2384204048773588</v>
      </c>
      <c r="E69" s="454">
        <f>+('Tabla A1. Formulado'!$I$29+'Tabla A1. Formulado'!$I$38)/E68</f>
        <v>1.0759864759340936</v>
      </c>
      <c r="F69" s="454">
        <f>+('Tabla A1. Formulado'!$I$29+'Tabla A1. Formulado'!$I$38)/F68</f>
        <v>1.0759864759340936</v>
      </c>
      <c r="G69" s="454">
        <f>+('Tabla A1. Formulado'!$I$29+'Tabla A1. Formulado'!$I$38)/G68</f>
        <v>1.0759864759340936</v>
      </c>
      <c r="H69" s="454">
        <f>+('Tabla A1. Formulado'!$I$29+'Tabla A1. Formulado'!$I$38+$B$29)/H68</f>
        <v>3.9157640815860111</v>
      </c>
      <c r="I69" s="191"/>
      <c r="J69" s="191"/>
      <c r="K69" s="191"/>
      <c r="L69" s="191"/>
      <c r="M69" s="191"/>
    </row>
    <row r="70" spans="1:13" s="153" customFormat="1" ht="13.5" x14ac:dyDescent="0.35">
      <c r="A70" s="455" t="s">
        <v>456</v>
      </c>
      <c r="B70" s="456">
        <f>(('Tabla A1. Formulado'!H29+'Tabla A1. Formulado'!H30+'Tabla A1. Formulado'!H31)+('Tabla A1. Formulado'!H38+'Tabla A1. Formulado'!H41))/B68</f>
        <v>5.0155499865012381</v>
      </c>
      <c r="C70" s="456">
        <f>(('Tabla A1. Formulado'!I29+'Tabla A1. Formulado'!I30+'Tabla A1. Formulado'!I31)+('Tabla A1. Formulado'!I38+'Tabla A1. Formulado'!I41))/C68</f>
        <v>3.8307018541690363</v>
      </c>
      <c r="D70" s="456">
        <f>(('Tabla A1. Formulado'!J29+'Tabla A1. Formulado'!J30+'Tabla A1. Formulado'!J31)+('Tabla A1. Formulado'!J38+'Tabla A1. Formulado'!J41))/D68</f>
        <v>4.2797933169819879</v>
      </c>
      <c r="E70" s="454">
        <f>(('Tabla A1. Formulado'!$I$29+'Tabla A1. Formulado'!$I$30+'Tabla A1. Formulado'!$I$31)+('Tabla A1. Formulado'!$I$38+'Tabla A1. Formulado'!$I$41))/E68</f>
        <v>3.1877166238217427</v>
      </c>
      <c r="F70" s="454">
        <f>(('Tabla A1. Formulado'!$I$29+'Tabla A1. Formulado'!$I$30+'Tabla A1. Formulado'!$I$31)+('Tabla A1. Formulado'!$I$38+'Tabla A1. Formulado'!$I$41+$B$29))/F68</f>
        <v>6.0274942294736595</v>
      </c>
      <c r="G70" s="454">
        <f>(('Tabla A1. Formulado'!$I$29+'Tabla A1. Formulado'!$I$30+'Tabla A1. Formulado'!$I$31)+('Tabla A1. Formulado'!$I$38+'Tabla A1. Formulado'!$I$41))/G68</f>
        <v>3.1877166238217427</v>
      </c>
      <c r="H70" s="454">
        <f>(('Tabla A1. Formulado'!$I$29+'Tabla A1. Formulado'!$I$30+'Tabla A1. Formulado'!$I$31)+('Tabla A1. Formulado'!$I$38+'Tabla A1. Formulado'!$I$41+$B$29))/H68</f>
        <v>6.0274942294736595</v>
      </c>
      <c r="I70" s="191"/>
      <c r="J70" s="191"/>
      <c r="K70" s="191"/>
      <c r="L70" s="191"/>
      <c r="M70" s="191"/>
    </row>
    <row r="71" spans="1:13" x14ac:dyDescent="0.3">
      <c r="A71" s="178" t="s">
        <v>144</v>
      </c>
      <c r="B71" s="457">
        <f>'Tabla A2. Formulado'!H22</f>
        <v>369974</v>
      </c>
      <c r="C71" s="457">
        <f>'Tabla A2. Formulado'!I22</f>
        <v>387619</v>
      </c>
      <c r="D71" s="457">
        <f>'Tabla A2. Formulado'!J22</f>
        <v>427494.06108129141</v>
      </c>
      <c r="E71" s="450">
        <f>'Tabla A2. Formulado'!$I$22+$B$29*$B$82*$B$88</f>
        <v>470087.30177862139</v>
      </c>
      <c r="F71" s="450">
        <f>'Tabla A2. Formulado'!$I$22+$B$29*$B$82*$B$88</f>
        <v>470087.30177862139</v>
      </c>
      <c r="G71" s="450">
        <f>'Tabla A2. Formulado'!$I$22+$B$29*$B$82*$B$88</f>
        <v>470087.30177862139</v>
      </c>
      <c r="H71" s="450">
        <f>'Tabla A2. Formulado'!$I$22+$B$29*$B$82*$B$88</f>
        <v>470087.30177862139</v>
      </c>
      <c r="L71" s="192"/>
      <c r="M71" s="192"/>
    </row>
    <row r="72" spans="1:13" x14ac:dyDescent="0.3">
      <c r="A72" s="203" t="s">
        <v>470</v>
      </c>
      <c r="B72" s="450">
        <f>'Tabla A1. Formulado'!H25</f>
        <v>16781066</v>
      </c>
      <c r="C72" s="450">
        <f>'Tabla A1. Formulado'!I25</f>
        <v>10266716</v>
      </c>
      <c r="D72" s="450">
        <f>'Tabla A1. Formulado'!J25</f>
        <v>10920363</v>
      </c>
      <c r="E72" s="450">
        <f>'Tabla A1. Formulado'!$I$25+$B$29</f>
        <v>12966716</v>
      </c>
      <c r="F72" s="450">
        <f>'Tabla A1. Formulado'!$I$25+$B$29</f>
        <v>12966716</v>
      </c>
      <c r="G72" s="450">
        <f>'Tabla A1. Formulado'!$I$25+$B$29</f>
        <v>12966716</v>
      </c>
      <c r="H72" s="450">
        <f>'Tabla A1. Formulado'!$I$25+$B$29</f>
        <v>12966716</v>
      </c>
      <c r="L72" s="192"/>
      <c r="M72" s="192"/>
    </row>
    <row r="73" spans="1:13" s="153" customFormat="1" ht="14.5" x14ac:dyDescent="0.35">
      <c r="A73" s="289" t="s">
        <v>471</v>
      </c>
      <c r="B73" s="452">
        <f t="shared" ref="B73:H73" si="30">B71/B72</f>
        <v>2.2047109522124519E-2</v>
      </c>
      <c r="C73" s="452">
        <f t="shared" si="30"/>
        <v>3.775491598287125E-2</v>
      </c>
      <c r="D73" s="452">
        <f t="shared" si="30"/>
        <v>3.9146506492622218E-2</v>
      </c>
      <c r="E73" s="452">
        <f t="shared" si="30"/>
        <v>3.6253381486771312E-2</v>
      </c>
      <c r="F73" s="452">
        <f t="shared" si="30"/>
        <v>3.6253381486771312E-2</v>
      </c>
      <c r="G73" s="452">
        <f t="shared" si="30"/>
        <v>3.6253381486771312E-2</v>
      </c>
      <c r="H73" s="452">
        <f t="shared" si="30"/>
        <v>3.6253381486771312E-2</v>
      </c>
      <c r="I73" s="191"/>
      <c r="J73" s="191"/>
      <c r="K73" s="191"/>
      <c r="L73" s="191"/>
      <c r="M73" s="191"/>
    </row>
    <row r="74" spans="1:13" x14ac:dyDescent="0.3">
      <c r="A74" s="178" t="s">
        <v>472</v>
      </c>
      <c r="B74" s="458">
        <f>'Tabla A1. Formulado'!H47</f>
        <v>11698704</v>
      </c>
      <c r="C74" s="450">
        <f>'Tabla A1. Formulado'!I47</f>
        <v>5796340</v>
      </c>
      <c r="D74" s="450">
        <f>'Tabla A1. Formulado'!J47</f>
        <v>5873001</v>
      </c>
      <c r="E74" s="450">
        <f>'Tabla A1. Formulado'!$I$47+$B$29</f>
        <v>8496340</v>
      </c>
      <c r="F74" s="450">
        <f>'Tabla A1. Formulado'!$I$47</f>
        <v>5796340</v>
      </c>
      <c r="G74" s="450">
        <f>'Tabla A1. Formulado'!$I$47+$B$29</f>
        <v>8496340</v>
      </c>
      <c r="H74" s="450">
        <f>'Tabla A1. Formulado'!$I$47</f>
        <v>5796340</v>
      </c>
      <c r="L74" s="192"/>
      <c r="M74" s="192"/>
    </row>
    <row r="75" spans="1:13" s="153" customFormat="1" ht="13.5" x14ac:dyDescent="0.35">
      <c r="A75" s="453" t="s">
        <v>454</v>
      </c>
      <c r="B75" s="452">
        <f t="shared" ref="B75:H75" si="31">B71/B74</f>
        <v>3.1625212502171179E-2</v>
      </c>
      <c r="C75" s="452">
        <f t="shared" si="31"/>
        <v>6.6873061276598686E-2</v>
      </c>
      <c r="D75" s="452">
        <f t="shared" si="31"/>
        <v>7.2789713654278526E-2</v>
      </c>
      <c r="E75" s="452">
        <f t="shared" si="31"/>
        <v>5.5328212121763184E-2</v>
      </c>
      <c r="F75" s="452">
        <f t="shared" si="31"/>
        <v>8.1100712135351166E-2</v>
      </c>
      <c r="G75" s="452">
        <f t="shared" si="31"/>
        <v>5.5328212121763184E-2</v>
      </c>
      <c r="H75" s="452">
        <f t="shared" si="31"/>
        <v>8.1100712135351166E-2</v>
      </c>
      <c r="I75" s="191"/>
      <c r="J75" s="191"/>
      <c r="K75" s="191"/>
      <c r="L75" s="191"/>
      <c r="M75" s="191"/>
    </row>
    <row r="76" spans="1:13" x14ac:dyDescent="0.3">
      <c r="A76" s="203" t="s">
        <v>473</v>
      </c>
      <c r="B76" s="450">
        <f>('Tabla A1. Formulado'!H10+'Tabla A1. Formulado'!H11+'Tabla A1. Formulado'!H12+'Tabla A1. Formulado'!H17+'Tabla A1. Formulado'!H19)</f>
        <v>5474375</v>
      </c>
      <c r="C76" s="450">
        <f>('Tabla A1. Formulado'!I10+'Tabla A1. Formulado'!I11+'Tabla A1. Formulado'!I12+'Tabla A1. Formulado'!I17+'Tabla A1. Formulado'!I19)</f>
        <v>4995845</v>
      </c>
      <c r="D76" s="450">
        <f>('Tabla A1. Formulado'!J10+'Tabla A1. Formulado'!J11+'Tabla A1. Formulado'!J12+'Tabla A1. Formulado'!J17+'Tabla A1. Formulado'!J19)</f>
        <v>5345184</v>
      </c>
      <c r="E76" s="450">
        <f>('Tabla A1. Formulado'!$I$10+'Tabla A1. Formulado'!$I$11+'Tabla A1. Formulado'!$I$12+'Tabla A1. Formulado'!$I$17+'Tabla A1. Formulado'!$I$19)+$B$29</f>
        <v>7695845</v>
      </c>
      <c r="F76" s="450">
        <f>('Tabla A1. Formulado'!$I$10+'Tabla A1. Formulado'!$I$11+'Tabla A1. Formulado'!$I$12+'Tabla A1. Formulado'!$I$17+'Tabla A1. Formulado'!$I$19)+$B$29</f>
        <v>7695845</v>
      </c>
      <c r="G76" s="450">
        <f>('Tabla A1. Formulado'!$I$10+'Tabla A1. Formulado'!$I$11+'Tabla A1. Formulado'!$I$12+'Tabla A1. Formulado'!$I$17+'Tabla A1. Formulado'!$I$19)+$B$29</f>
        <v>7695845</v>
      </c>
      <c r="H76" s="450">
        <f>('Tabla A1. Formulado'!$I$10+'Tabla A1. Formulado'!$I$11+'Tabla A1. Formulado'!$I$12+'Tabla A1. Formulado'!$I$17+'Tabla A1. Formulado'!$I$19)+$B$29</f>
        <v>7695845</v>
      </c>
      <c r="L76" s="192"/>
      <c r="M76" s="192"/>
    </row>
    <row r="77" spans="1:13" s="153" customFormat="1" ht="13.5" x14ac:dyDescent="0.35">
      <c r="A77" s="453" t="s">
        <v>455</v>
      </c>
      <c r="B77" s="452">
        <f t="shared" ref="B77:H77" si="32">B65/B76</f>
        <v>4.9838200707843359E-2</v>
      </c>
      <c r="C77" s="452">
        <f t="shared" si="32"/>
        <v>8.2982358339780363E-2</v>
      </c>
      <c r="D77" s="452">
        <f t="shared" si="32"/>
        <v>7.2962876488442657E-2</v>
      </c>
      <c r="E77" s="452">
        <f t="shared" si="32"/>
        <v>6.343444408340701E-2</v>
      </c>
      <c r="F77" s="452">
        <f t="shared" si="32"/>
        <v>6.343444408340701E-2</v>
      </c>
      <c r="G77" s="452">
        <f t="shared" si="32"/>
        <v>6.343444408340701E-2</v>
      </c>
      <c r="H77" s="452">
        <f t="shared" si="32"/>
        <v>6.343444408340701E-2</v>
      </c>
      <c r="I77" s="191"/>
      <c r="J77" s="191"/>
      <c r="K77" s="191"/>
      <c r="L77" s="191"/>
      <c r="M77" s="191"/>
    </row>
    <row r="78" spans="1:13" x14ac:dyDescent="0.3">
      <c r="G78" s="52"/>
      <c r="H78" s="52"/>
      <c r="L78" s="192"/>
      <c r="M78" s="192"/>
    </row>
    <row r="79" spans="1:13" x14ac:dyDescent="0.3">
      <c r="G79" s="52"/>
      <c r="H79" s="52"/>
      <c r="L79" s="192"/>
      <c r="M79" s="192"/>
    </row>
    <row r="80" spans="1:13" x14ac:dyDescent="0.3">
      <c r="A80" s="459" t="s">
        <v>474</v>
      </c>
      <c r="B80" s="459">
        <v>2011</v>
      </c>
      <c r="C80" s="459">
        <v>2012</v>
      </c>
      <c r="G80" s="52"/>
      <c r="H80" s="52"/>
      <c r="L80" s="192"/>
      <c r="M80" s="192"/>
    </row>
    <row r="81" spans="1:13" x14ac:dyDescent="0.3">
      <c r="A81" s="203" t="s">
        <v>475</v>
      </c>
      <c r="B81" s="460">
        <f>'Tabla A2. Formulado'!H5/'Tabla A1. Formulado'!H25</f>
        <v>0.21861602832621002</v>
      </c>
      <c r="C81" s="460">
        <f>'Tabla A2. Formulado'!I5/'Tabla A1. Formulado'!I25</f>
        <v>0.42665960566163513</v>
      </c>
      <c r="D81" s="461"/>
      <c r="G81" s="52"/>
      <c r="H81" s="52"/>
      <c r="L81" s="192"/>
      <c r="M81" s="192"/>
    </row>
    <row r="82" spans="1:13" ht="13" customHeight="1" x14ac:dyDescent="0.3">
      <c r="A82" s="203" t="s">
        <v>476</v>
      </c>
      <c r="B82" s="501">
        <f>AVERAGE(B81:C81)</f>
        <v>0.32263781699392258</v>
      </c>
      <c r="C82" s="501"/>
      <c r="D82" s="461"/>
      <c r="G82" s="52"/>
      <c r="H82" s="52"/>
      <c r="L82" s="192"/>
      <c r="M82" s="192"/>
    </row>
    <row r="83" spans="1:13" x14ac:dyDescent="0.3">
      <c r="A83" s="203" t="s">
        <v>477</v>
      </c>
      <c r="B83" s="460">
        <f>'Tabla A2. Formulado'!S11</f>
        <v>7.4369584120416179E-2</v>
      </c>
      <c r="C83" s="460">
        <f>'Tabla A2. Formulado'!T11</f>
        <v>9.4641508193442914E-2</v>
      </c>
      <c r="D83" s="461"/>
      <c r="G83" s="52"/>
      <c r="H83" s="52"/>
      <c r="L83" s="192"/>
      <c r="M83" s="192"/>
    </row>
    <row r="84" spans="1:13" ht="13" customHeight="1" x14ac:dyDescent="0.3">
      <c r="A84" s="203" t="s">
        <v>476</v>
      </c>
      <c r="B84" s="501">
        <f>AVERAGE(B83:C83)</f>
        <v>8.450554615692954E-2</v>
      </c>
      <c r="C84" s="501"/>
      <c r="D84" s="461"/>
      <c r="G84" s="52"/>
      <c r="H84" s="52"/>
      <c r="L84" s="192"/>
      <c r="M84" s="192"/>
    </row>
    <row r="85" spans="1:13" x14ac:dyDescent="0.3">
      <c r="A85" s="203" t="s">
        <v>143</v>
      </c>
      <c r="B85" s="462">
        <f>'Indicadores Estratégicos'!G6</f>
        <v>0.18577717446117195</v>
      </c>
      <c r="C85" s="462">
        <f>'Indicadores Estratégicos'!H6</f>
        <v>0.18062077991632258</v>
      </c>
      <c r="D85" s="230"/>
      <c r="G85" s="52"/>
      <c r="H85" s="52"/>
      <c r="L85" s="192"/>
      <c r="M85" s="192"/>
    </row>
    <row r="86" spans="1:13" ht="13" customHeight="1" x14ac:dyDescent="0.3">
      <c r="A86" s="178" t="s">
        <v>478</v>
      </c>
      <c r="B86" s="502">
        <f>AVERAGE(B85:C85)</f>
        <v>0.18319897718874728</v>
      </c>
      <c r="C86" s="503"/>
      <c r="G86" s="52"/>
      <c r="H86" s="52"/>
      <c r="L86" s="192"/>
      <c r="M86" s="192"/>
    </row>
    <row r="87" spans="1:13" x14ac:dyDescent="0.3">
      <c r="A87" s="203" t="s">
        <v>479</v>
      </c>
      <c r="B87" s="462">
        <f>'Tabla A2. Formulado'!S22</f>
        <v>0.10084855026835778</v>
      </c>
      <c r="C87" s="462">
        <f>'Tabla A2. Formulado'!T22</f>
        <v>8.848954876879768E-2</v>
      </c>
    </row>
    <row r="88" spans="1:13" x14ac:dyDescent="0.3">
      <c r="A88" s="203" t="s">
        <v>478</v>
      </c>
      <c r="B88" s="504">
        <f>AVERAGE(B87:C87)</f>
        <v>9.4669049518577728E-2</v>
      </c>
      <c r="C88" s="505"/>
    </row>
  </sheetData>
  <mergeCells count="14">
    <mergeCell ref="C21:E21"/>
    <mergeCell ref="C16:E16"/>
    <mergeCell ref="C17:E17"/>
    <mergeCell ref="C18:E18"/>
    <mergeCell ref="C19:E19"/>
    <mergeCell ref="C20:E20"/>
    <mergeCell ref="B82:C82"/>
    <mergeCell ref="B84:C84"/>
    <mergeCell ref="B86:C86"/>
    <mergeCell ref="B88:C88"/>
    <mergeCell ref="C22:E22"/>
    <mergeCell ref="C23:E23"/>
    <mergeCell ref="C24:E24"/>
    <mergeCell ref="C25:E2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643AC-4A3C-409E-B599-9CAD19C03EE1}">
  <sheetPr>
    <tabColor theme="0" tint="-0.499984740745262"/>
  </sheetPr>
  <dimension ref="B2:K163"/>
  <sheetViews>
    <sheetView showGridLines="0" zoomScale="120" zoomScaleNormal="120" workbookViewId="0">
      <selection activeCell="C5" sqref="C5"/>
    </sheetView>
  </sheetViews>
  <sheetFormatPr defaultColWidth="11.453125" defaultRowHeight="14.5" outlineLevelCol="1" x14ac:dyDescent="0.35"/>
  <cols>
    <col min="1" max="1" width="1.81640625" style="5" customWidth="1"/>
    <col min="2" max="2" width="30.54296875" style="5" customWidth="1"/>
    <col min="3" max="3" width="11.81640625" style="5" customWidth="1" outlineLevel="1"/>
    <col min="4" max="4" width="11.7265625" style="5" customWidth="1" outlineLevel="1"/>
    <col min="5" max="5" width="10.54296875" style="5" customWidth="1" outlineLevel="1"/>
    <col min="6" max="9" width="10.54296875" style="5" customWidth="1"/>
    <col min="10" max="10" width="10.54296875" style="5" bestFit="1" customWidth="1"/>
    <col min="11" max="11" width="7.81640625" style="5" customWidth="1"/>
    <col min="12" max="16384" width="11.453125" style="5"/>
  </cols>
  <sheetData>
    <row r="2" spans="2:11" ht="17.5" x14ac:dyDescent="0.35">
      <c r="B2" s="105" t="s">
        <v>0</v>
      </c>
    </row>
    <row r="3" spans="2:11" x14ac:dyDescent="0.35">
      <c r="B3" s="6"/>
    </row>
    <row r="4" spans="2:11" ht="34.5" x14ac:dyDescent="0.35">
      <c r="B4" s="130" t="s">
        <v>1</v>
      </c>
      <c r="C4" s="131" t="s">
        <v>2</v>
      </c>
      <c r="D4" s="131" t="s">
        <v>3</v>
      </c>
      <c r="E4" s="132">
        <v>2007</v>
      </c>
      <c r="F4" s="132">
        <v>2008</v>
      </c>
      <c r="G4" s="132">
        <v>2009</v>
      </c>
      <c r="H4" s="132">
        <v>2010</v>
      </c>
      <c r="I4" s="161">
        <v>2011</v>
      </c>
    </row>
    <row r="5" spans="2:11" x14ac:dyDescent="0.35">
      <c r="B5" s="28" t="s">
        <v>4</v>
      </c>
      <c r="C5" s="15"/>
      <c r="D5" s="15"/>
      <c r="E5" s="15"/>
      <c r="F5" s="15"/>
      <c r="G5" s="15"/>
      <c r="H5" s="16"/>
      <c r="I5" s="162"/>
    </row>
    <row r="6" spans="2:11" x14ac:dyDescent="0.35">
      <c r="B6" s="20" t="s">
        <v>5</v>
      </c>
      <c r="C6" s="17"/>
      <c r="D6" s="17"/>
      <c r="E6" s="18"/>
      <c r="F6" s="18"/>
      <c r="G6" s="18"/>
      <c r="H6" s="18"/>
      <c r="I6" s="19"/>
    </row>
    <row r="7" spans="2:11" x14ac:dyDescent="0.35">
      <c r="B7" s="20" t="s">
        <v>6</v>
      </c>
      <c r="C7" s="21">
        <v>80112</v>
      </c>
      <c r="D7" s="21">
        <v>201447</v>
      </c>
      <c r="E7" s="21">
        <v>115638</v>
      </c>
      <c r="F7" s="21">
        <v>226625</v>
      </c>
      <c r="G7" s="21">
        <v>155816</v>
      </c>
      <c r="H7" s="21">
        <v>241058</v>
      </c>
      <c r="I7" s="22">
        <v>262952</v>
      </c>
      <c r="J7" s="8"/>
      <c r="K7" s="8"/>
    </row>
    <row r="8" spans="2:11" x14ac:dyDescent="0.35">
      <c r="B8" s="20" t="s">
        <v>7</v>
      </c>
      <c r="C8" s="21">
        <v>425269</v>
      </c>
      <c r="D8" s="21">
        <v>130524</v>
      </c>
      <c r="E8" s="21">
        <v>172326</v>
      </c>
      <c r="F8" s="21">
        <v>759010</v>
      </c>
      <c r="G8" s="21">
        <v>489291</v>
      </c>
      <c r="H8" s="21">
        <v>235072</v>
      </c>
      <c r="I8" s="22">
        <v>27983</v>
      </c>
    </row>
    <row r="9" spans="2:11" x14ac:dyDescent="0.35">
      <c r="B9" s="20" t="s">
        <v>8</v>
      </c>
      <c r="C9" s="21">
        <v>628547</v>
      </c>
      <c r="D9" s="21">
        <v>528636</v>
      </c>
      <c r="E9" s="21">
        <v>886210</v>
      </c>
      <c r="F9" s="21">
        <v>992806</v>
      </c>
      <c r="G9" s="21">
        <v>752349</v>
      </c>
      <c r="H9" s="21">
        <v>687873</v>
      </c>
      <c r="I9" s="22">
        <v>837267</v>
      </c>
      <c r="J9" s="8"/>
      <c r="K9" s="8"/>
    </row>
    <row r="10" spans="2:11" x14ac:dyDescent="0.35">
      <c r="B10" s="20" t="s">
        <v>9</v>
      </c>
      <c r="C10" s="21">
        <v>307595</v>
      </c>
      <c r="D10" s="21">
        <v>416351</v>
      </c>
      <c r="E10" s="21">
        <v>355317</v>
      </c>
      <c r="F10" s="21">
        <v>402296</v>
      </c>
      <c r="G10" s="21">
        <v>361135</v>
      </c>
      <c r="H10" s="21">
        <v>289475</v>
      </c>
      <c r="I10" s="22">
        <v>376626</v>
      </c>
      <c r="J10" s="8"/>
      <c r="K10" s="8"/>
    </row>
    <row r="11" spans="2:11" x14ac:dyDescent="0.35">
      <c r="B11" s="20" t="s">
        <v>10</v>
      </c>
      <c r="C11" s="21">
        <v>84929</v>
      </c>
      <c r="D11" s="21">
        <v>65084</v>
      </c>
      <c r="E11" s="21">
        <v>31590</v>
      </c>
      <c r="F11" s="21">
        <v>32928</v>
      </c>
      <c r="G11" s="21">
        <v>39550</v>
      </c>
      <c r="H11" s="21">
        <v>23617</v>
      </c>
      <c r="I11" s="22">
        <v>29530</v>
      </c>
    </row>
    <row r="12" spans="2:11" x14ac:dyDescent="0.35">
      <c r="B12" s="20" t="s">
        <v>11</v>
      </c>
      <c r="C12" s="21">
        <v>0</v>
      </c>
      <c r="D12" s="21">
        <v>0</v>
      </c>
      <c r="E12" s="21">
        <v>0</v>
      </c>
      <c r="F12" s="21">
        <v>57507</v>
      </c>
      <c r="G12" s="21">
        <v>0</v>
      </c>
      <c r="H12" s="21">
        <v>0</v>
      </c>
      <c r="I12" s="22">
        <v>0</v>
      </c>
    </row>
    <row r="13" spans="2:11" x14ac:dyDescent="0.35">
      <c r="B13" s="20" t="s">
        <v>12</v>
      </c>
      <c r="C13" s="21">
        <v>0</v>
      </c>
      <c r="D13" s="21">
        <v>0</v>
      </c>
      <c r="E13" s="21">
        <v>0</v>
      </c>
      <c r="F13" s="21">
        <v>106777</v>
      </c>
      <c r="G13" s="21">
        <v>0</v>
      </c>
      <c r="H13" s="21">
        <v>0</v>
      </c>
      <c r="I13" s="22">
        <v>0</v>
      </c>
    </row>
    <row r="14" spans="2:11" x14ac:dyDescent="0.35">
      <c r="B14" s="20" t="s">
        <v>13</v>
      </c>
      <c r="C14" s="25">
        <f t="shared" ref="C14:I14" si="0">SUM(C7:C13)</f>
        <v>1526452</v>
      </c>
      <c r="D14" s="25">
        <f t="shared" si="0"/>
        <v>1342042</v>
      </c>
      <c r="E14" s="25">
        <f t="shared" si="0"/>
        <v>1561081</v>
      </c>
      <c r="F14" s="25">
        <f t="shared" si="0"/>
        <v>2577949</v>
      </c>
      <c r="G14" s="25">
        <f t="shared" si="0"/>
        <v>1798141</v>
      </c>
      <c r="H14" s="25">
        <f t="shared" si="0"/>
        <v>1477095</v>
      </c>
      <c r="I14" s="26">
        <f t="shared" si="0"/>
        <v>1534358</v>
      </c>
      <c r="J14" s="24"/>
    </row>
    <row r="15" spans="2:11" x14ac:dyDescent="0.35">
      <c r="B15" s="20" t="s">
        <v>14</v>
      </c>
      <c r="C15" s="21"/>
      <c r="D15" s="21"/>
      <c r="E15" s="21"/>
      <c r="F15" s="21"/>
      <c r="G15" s="21"/>
      <c r="H15" s="21"/>
      <c r="I15" s="22"/>
    </row>
    <row r="16" spans="2:11" x14ac:dyDescent="0.35">
      <c r="B16" s="20" t="s">
        <v>15</v>
      </c>
      <c r="C16" s="21">
        <v>48870</v>
      </c>
      <c r="D16" s="21">
        <v>87849</v>
      </c>
      <c r="E16" s="21">
        <v>94592</v>
      </c>
      <c r="F16" s="21">
        <v>40822</v>
      </c>
      <c r="G16" s="21">
        <v>57522</v>
      </c>
      <c r="H16" s="21">
        <v>38230</v>
      </c>
      <c r="I16" s="22">
        <v>53815</v>
      </c>
    </row>
    <row r="17" spans="2:11" x14ac:dyDescent="0.35">
      <c r="B17" s="20" t="s">
        <v>16</v>
      </c>
      <c r="C17" s="21">
        <v>520851</v>
      </c>
      <c r="D17" s="21">
        <v>551268</v>
      </c>
      <c r="E17" s="21">
        <v>437566</v>
      </c>
      <c r="F17" s="21">
        <v>445517</v>
      </c>
      <c r="G17" s="21">
        <v>334677</v>
      </c>
      <c r="H17" s="21">
        <v>340108</v>
      </c>
      <c r="I17" s="22">
        <v>299457</v>
      </c>
    </row>
    <row r="18" spans="2:11" x14ac:dyDescent="0.35">
      <c r="B18" s="20" t="s">
        <v>11</v>
      </c>
      <c r="C18" s="21">
        <v>1481526</v>
      </c>
      <c r="D18" s="21">
        <v>2534733</v>
      </c>
      <c r="E18" s="21">
        <v>2324674</v>
      </c>
      <c r="F18" s="21">
        <v>2776061</v>
      </c>
      <c r="G18" s="25">
        <v>2880021</v>
      </c>
      <c r="H18" s="25">
        <v>2870683</v>
      </c>
      <c r="I18" s="26">
        <v>4177137</v>
      </c>
      <c r="J18" s="8"/>
      <c r="K18" s="8"/>
    </row>
    <row r="19" spans="2:11" x14ac:dyDescent="0.35">
      <c r="B19" s="20" t="s">
        <v>17</v>
      </c>
      <c r="C19" s="21">
        <v>731336</v>
      </c>
      <c r="D19" s="21">
        <v>1915182</v>
      </c>
      <c r="E19" s="21">
        <v>1837295</v>
      </c>
      <c r="F19" s="21">
        <v>1999218</v>
      </c>
      <c r="G19" s="21">
        <v>1908881</v>
      </c>
      <c r="H19" s="21">
        <v>1634481</v>
      </c>
      <c r="I19" s="22">
        <v>1466387</v>
      </c>
      <c r="J19" s="8"/>
      <c r="K19" s="8"/>
    </row>
    <row r="20" spans="2:11" x14ac:dyDescent="0.35">
      <c r="B20" s="20" t="s">
        <v>18</v>
      </c>
      <c r="C20" s="21">
        <v>9807</v>
      </c>
      <c r="D20" s="21">
        <v>26154</v>
      </c>
      <c r="E20" s="21">
        <v>17284</v>
      </c>
      <c r="F20" s="21">
        <v>72850</v>
      </c>
      <c r="G20" s="21">
        <v>76995</v>
      </c>
      <c r="H20" s="21">
        <v>44319</v>
      </c>
      <c r="I20" s="22">
        <v>26933</v>
      </c>
      <c r="J20" s="8"/>
      <c r="K20" s="8"/>
    </row>
    <row r="21" spans="2:11" x14ac:dyDescent="0.35">
      <c r="B21" s="20" t="s">
        <v>19</v>
      </c>
      <c r="C21" s="21">
        <v>4894680</v>
      </c>
      <c r="D21" s="21">
        <v>4687253</v>
      </c>
      <c r="E21" s="21">
        <v>4995527</v>
      </c>
      <c r="F21" s="21">
        <v>4097890</v>
      </c>
      <c r="G21" s="21">
        <v>7641378</v>
      </c>
      <c r="H21" s="21">
        <v>9036539</v>
      </c>
      <c r="I21" s="22">
        <v>9184742</v>
      </c>
    </row>
    <row r="22" spans="2:11" x14ac:dyDescent="0.35">
      <c r="B22" s="20" t="s">
        <v>20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39412</v>
      </c>
      <c r="I22" s="22">
        <v>38237</v>
      </c>
    </row>
    <row r="23" spans="2:11" x14ac:dyDescent="0.35">
      <c r="B23" s="20" t="s">
        <v>21</v>
      </c>
      <c r="C23" s="25">
        <f t="shared" ref="C23:I23" si="1">SUM(C16:C22)</f>
        <v>7687070</v>
      </c>
      <c r="D23" s="25">
        <f t="shared" si="1"/>
        <v>9802439</v>
      </c>
      <c r="E23" s="25">
        <f t="shared" si="1"/>
        <v>9706938</v>
      </c>
      <c r="F23" s="25">
        <f t="shared" si="1"/>
        <v>9432358</v>
      </c>
      <c r="G23" s="25">
        <f t="shared" si="1"/>
        <v>12899474</v>
      </c>
      <c r="H23" s="25">
        <f t="shared" si="1"/>
        <v>14003772</v>
      </c>
      <c r="I23" s="26">
        <f t="shared" si="1"/>
        <v>15246708</v>
      </c>
    </row>
    <row r="24" spans="2:11" x14ac:dyDescent="0.35">
      <c r="B24" s="106" t="s">
        <v>22</v>
      </c>
      <c r="C24" s="136">
        <f t="shared" ref="C24:I24" si="2">C14+C23</f>
        <v>9213522</v>
      </c>
      <c r="D24" s="136">
        <f t="shared" si="2"/>
        <v>11144481</v>
      </c>
      <c r="E24" s="136">
        <f t="shared" si="2"/>
        <v>11268019</v>
      </c>
      <c r="F24" s="136">
        <f t="shared" si="2"/>
        <v>12010307</v>
      </c>
      <c r="G24" s="136">
        <f t="shared" si="2"/>
        <v>14697615</v>
      </c>
      <c r="H24" s="136">
        <f t="shared" si="2"/>
        <v>15480867</v>
      </c>
      <c r="I24" s="123">
        <f t="shared" si="2"/>
        <v>16781066</v>
      </c>
    </row>
    <row r="25" spans="2:11" x14ac:dyDescent="0.35">
      <c r="B25" s="28" t="s">
        <v>23</v>
      </c>
      <c r="C25" s="27"/>
      <c r="D25" s="27"/>
      <c r="E25" s="27"/>
      <c r="F25" s="27"/>
      <c r="G25" s="27"/>
      <c r="H25" s="27"/>
      <c r="I25" s="163"/>
    </row>
    <row r="26" spans="2:11" x14ac:dyDescent="0.35">
      <c r="B26" s="20" t="s">
        <v>24</v>
      </c>
      <c r="C26" s="21"/>
      <c r="D26" s="21"/>
      <c r="E26" s="21"/>
      <c r="F26" s="21"/>
      <c r="G26" s="21"/>
      <c r="H26" s="21"/>
      <c r="I26" s="22"/>
    </row>
    <row r="27" spans="2:11" x14ac:dyDescent="0.35">
      <c r="B27" s="20" t="s">
        <v>25</v>
      </c>
      <c r="C27" s="21">
        <v>167713</v>
      </c>
      <c r="D27" s="21">
        <v>443095</v>
      </c>
      <c r="E27" s="21">
        <v>429078</v>
      </c>
      <c r="F27" s="21">
        <v>1376456</v>
      </c>
      <c r="G27" s="21">
        <v>758099</v>
      </c>
      <c r="H27" s="25">
        <v>682182</v>
      </c>
      <c r="I27" s="26">
        <v>1269423</v>
      </c>
      <c r="J27" s="8"/>
      <c r="K27" s="8"/>
    </row>
    <row r="28" spans="2:11" x14ac:dyDescent="0.35">
      <c r="B28" s="20" t="s">
        <v>26</v>
      </c>
      <c r="C28" s="21">
        <v>0</v>
      </c>
      <c r="D28" s="21">
        <v>264650</v>
      </c>
      <c r="E28" s="21">
        <v>250000</v>
      </c>
      <c r="F28" s="21">
        <v>300000</v>
      </c>
      <c r="G28" s="21">
        <v>300000</v>
      </c>
      <c r="H28" s="25">
        <v>250000</v>
      </c>
      <c r="I28" s="26">
        <v>199030</v>
      </c>
    </row>
    <row r="29" spans="2:11" x14ac:dyDescent="0.35">
      <c r="B29" s="20" t="s">
        <v>27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5">
        <v>0</v>
      </c>
      <c r="I29" s="26">
        <f>224002</f>
        <v>224002</v>
      </c>
    </row>
    <row r="30" spans="2:11" x14ac:dyDescent="0.35">
      <c r="B30" s="20" t="s">
        <v>28</v>
      </c>
      <c r="C30" s="21">
        <v>445305</v>
      </c>
      <c r="D30" s="21">
        <v>550014</v>
      </c>
      <c r="E30" s="21">
        <v>498601</v>
      </c>
      <c r="F30" s="21">
        <v>848692</v>
      </c>
      <c r="G30" s="21">
        <v>606263</v>
      </c>
      <c r="H30" s="25">
        <v>500749</v>
      </c>
      <c r="I30" s="26">
        <v>618347</v>
      </c>
      <c r="J30" s="8"/>
      <c r="K30" s="8"/>
    </row>
    <row r="31" spans="2:11" x14ac:dyDescent="0.35">
      <c r="B31" s="20" t="s">
        <v>29</v>
      </c>
      <c r="C31" s="21">
        <v>35633</v>
      </c>
      <c r="D31" s="21">
        <v>81199</v>
      </c>
      <c r="E31" s="21">
        <v>119222</v>
      </c>
      <c r="F31" s="21">
        <v>227108</v>
      </c>
      <c r="G31" s="21">
        <v>194225</v>
      </c>
      <c r="H31" s="25">
        <v>46445</v>
      </c>
      <c r="I31" s="26">
        <v>121499</v>
      </c>
      <c r="J31" s="8"/>
      <c r="K31" s="8"/>
    </row>
    <row r="32" spans="2:11" x14ac:dyDescent="0.35">
      <c r="B32" s="20" t="s">
        <v>30</v>
      </c>
      <c r="C32" s="21">
        <v>12516</v>
      </c>
      <c r="D32" s="21">
        <v>16749</v>
      </c>
      <c r="E32" s="21">
        <v>32924</v>
      </c>
      <c r="F32" s="21">
        <v>30121</v>
      </c>
      <c r="G32" s="21">
        <v>28520</v>
      </c>
      <c r="H32" s="25">
        <v>36419</v>
      </c>
      <c r="I32" s="26">
        <v>38470</v>
      </c>
      <c r="J32" s="8"/>
      <c r="K32" s="8"/>
    </row>
    <row r="33" spans="2:11" x14ac:dyDescent="0.35">
      <c r="B33" s="20" t="s">
        <v>31</v>
      </c>
      <c r="C33" s="21">
        <v>89170</v>
      </c>
      <c r="D33" s="21">
        <v>134486</v>
      </c>
      <c r="E33" s="21">
        <v>202687</v>
      </c>
      <c r="F33" s="21">
        <v>265960</v>
      </c>
      <c r="G33" s="21">
        <v>266636</v>
      </c>
      <c r="H33" s="25">
        <v>249145</v>
      </c>
      <c r="I33" s="26">
        <v>322083</v>
      </c>
    </row>
    <row r="34" spans="2:11" x14ac:dyDescent="0.35">
      <c r="B34" s="20" t="s">
        <v>32</v>
      </c>
      <c r="C34" s="25">
        <f t="shared" ref="C34:I34" si="3">SUM(C27:C33)</f>
        <v>750337</v>
      </c>
      <c r="D34" s="25">
        <f t="shared" si="3"/>
        <v>1490193</v>
      </c>
      <c r="E34" s="25">
        <f t="shared" si="3"/>
        <v>1532512</v>
      </c>
      <c r="F34" s="25">
        <f t="shared" si="3"/>
        <v>3048337</v>
      </c>
      <c r="G34" s="25">
        <f t="shared" si="3"/>
        <v>2153743</v>
      </c>
      <c r="H34" s="25">
        <f t="shared" si="3"/>
        <v>1764940</v>
      </c>
      <c r="I34" s="26">
        <f t="shared" si="3"/>
        <v>2792854</v>
      </c>
    </row>
    <row r="35" spans="2:11" x14ac:dyDescent="0.35">
      <c r="B35" s="20" t="s">
        <v>33</v>
      </c>
      <c r="C35" s="21"/>
      <c r="D35" s="21"/>
      <c r="E35" s="21"/>
      <c r="F35" s="21"/>
      <c r="G35" s="21"/>
      <c r="H35" s="21"/>
      <c r="I35" s="22"/>
    </row>
    <row r="36" spans="2:11" x14ac:dyDescent="0.35">
      <c r="B36" s="20" t="s">
        <v>25</v>
      </c>
      <c r="C36" s="21">
        <v>605043</v>
      </c>
      <c r="D36" s="21">
        <v>1194499</v>
      </c>
      <c r="E36" s="21">
        <v>1140789</v>
      </c>
      <c r="F36" s="21">
        <v>1251583</v>
      </c>
      <c r="G36" s="21">
        <v>959660</v>
      </c>
      <c r="H36" s="25">
        <v>700167</v>
      </c>
      <c r="I36" s="26">
        <v>719717</v>
      </c>
      <c r="J36" s="8"/>
      <c r="K36" s="8"/>
    </row>
    <row r="37" spans="2:11" x14ac:dyDescent="0.35">
      <c r="B37" s="20" t="s">
        <v>29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5">
        <v>0</v>
      </c>
      <c r="I37" s="26">
        <v>63481</v>
      </c>
    </row>
    <row r="38" spans="2:11" x14ac:dyDescent="0.35">
      <c r="B38" s="20" t="s">
        <v>28</v>
      </c>
      <c r="C38" s="21">
        <v>0</v>
      </c>
      <c r="D38" s="21">
        <v>314053</v>
      </c>
      <c r="E38" s="21">
        <v>243972</v>
      </c>
      <c r="F38" s="21">
        <v>224584</v>
      </c>
      <c r="G38" s="21">
        <v>175395</v>
      </c>
      <c r="H38" s="25">
        <v>136850</v>
      </c>
      <c r="I38" s="26">
        <v>111122</v>
      </c>
    </row>
    <row r="39" spans="2:11" x14ac:dyDescent="0.35">
      <c r="B39" s="20" t="s">
        <v>27</v>
      </c>
      <c r="C39" s="21">
        <v>470565</v>
      </c>
      <c r="D39" s="21">
        <v>476370</v>
      </c>
      <c r="E39" s="21">
        <v>583580</v>
      </c>
      <c r="F39" s="21">
        <v>585222</v>
      </c>
      <c r="G39" s="21">
        <v>1226864</v>
      </c>
      <c r="H39" s="25">
        <v>1228506</v>
      </c>
      <c r="I39" s="26">
        <v>1006146</v>
      </c>
      <c r="J39" s="8"/>
      <c r="K39" s="8"/>
    </row>
    <row r="40" spans="2:11" x14ac:dyDescent="0.35">
      <c r="B40" s="20" t="s">
        <v>30</v>
      </c>
      <c r="C40" s="21">
        <v>194615</v>
      </c>
      <c r="D40" s="21">
        <v>205660</v>
      </c>
      <c r="E40" s="21">
        <v>199819</v>
      </c>
      <c r="F40" s="21">
        <v>216176</v>
      </c>
      <c r="G40" s="21">
        <v>222826</v>
      </c>
      <c r="H40" s="25">
        <v>224990</v>
      </c>
      <c r="I40" s="26">
        <v>253366</v>
      </c>
    </row>
    <row r="41" spans="2:11" x14ac:dyDescent="0.35">
      <c r="B41" s="20" t="s">
        <v>34</v>
      </c>
      <c r="C41" s="21">
        <v>197288</v>
      </c>
      <c r="D41" s="21">
        <v>317089</v>
      </c>
      <c r="E41" s="21">
        <v>261965</v>
      </c>
      <c r="F41" s="21">
        <v>163609</v>
      </c>
      <c r="G41" s="21">
        <v>131623</v>
      </c>
      <c r="H41" s="25">
        <v>160869</v>
      </c>
      <c r="I41" s="26">
        <v>135676</v>
      </c>
    </row>
    <row r="42" spans="2:11" x14ac:dyDescent="0.35">
      <c r="B42" s="20" t="s">
        <v>31</v>
      </c>
      <c r="C42" s="21">
        <v>4532</v>
      </c>
      <c r="D42" s="21">
        <v>16383</v>
      </c>
      <c r="E42" s="21">
        <v>18919</v>
      </c>
      <c r="F42" s="21">
        <v>0</v>
      </c>
      <c r="G42" s="21">
        <v>0</v>
      </c>
      <c r="H42" s="25">
        <v>0</v>
      </c>
      <c r="I42" s="26"/>
    </row>
    <row r="43" spans="2:11" x14ac:dyDescent="0.35">
      <c r="B43" s="20" t="s">
        <v>35</v>
      </c>
      <c r="C43" s="25">
        <f t="shared" ref="C43:I43" si="4">SUM(C36:C42)</f>
        <v>1472043</v>
      </c>
      <c r="D43" s="25">
        <f t="shared" si="4"/>
        <v>2524054</v>
      </c>
      <c r="E43" s="25">
        <f t="shared" si="4"/>
        <v>2449044</v>
      </c>
      <c r="F43" s="25">
        <f t="shared" si="4"/>
        <v>2441174</v>
      </c>
      <c r="G43" s="25">
        <f t="shared" si="4"/>
        <v>2716368</v>
      </c>
      <c r="H43" s="25">
        <f t="shared" si="4"/>
        <v>2451382</v>
      </c>
      <c r="I43" s="26">
        <f t="shared" si="4"/>
        <v>2289508</v>
      </c>
    </row>
    <row r="44" spans="2:11" x14ac:dyDescent="0.35">
      <c r="B44" s="106" t="s">
        <v>36</v>
      </c>
      <c r="C44" s="136">
        <f t="shared" ref="C44:I44" si="5">C34+C43</f>
        <v>2222380</v>
      </c>
      <c r="D44" s="136">
        <f t="shared" si="5"/>
        <v>4014247</v>
      </c>
      <c r="E44" s="136">
        <f t="shared" si="5"/>
        <v>3981556</v>
      </c>
      <c r="F44" s="136">
        <f t="shared" si="5"/>
        <v>5489511</v>
      </c>
      <c r="G44" s="136">
        <f t="shared" si="5"/>
        <v>4870111</v>
      </c>
      <c r="H44" s="136">
        <f t="shared" si="5"/>
        <v>4216322</v>
      </c>
      <c r="I44" s="123">
        <f t="shared" si="5"/>
        <v>5082362</v>
      </c>
    </row>
    <row r="45" spans="2:11" x14ac:dyDescent="0.35">
      <c r="B45" s="164" t="s">
        <v>37</v>
      </c>
      <c r="C45" s="138">
        <f t="shared" ref="C45:I45" si="6">C24-C44</f>
        <v>6991142</v>
      </c>
      <c r="D45" s="138">
        <f t="shared" si="6"/>
        <v>7130234</v>
      </c>
      <c r="E45" s="138">
        <f t="shared" si="6"/>
        <v>7286463</v>
      </c>
      <c r="F45" s="138">
        <f t="shared" si="6"/>
        <v>6520796</v>
      </c>
      <c r="G45" s="138">
        <f t="shared" si="6"/>
        <v>9827504</v>
      </c>
      <c r="H45" s="138">
        <f t="shared" si="6"/>
        <v>11264545</v>
      </c>
      <c r="I45" s="165">
        <f t="shared" si="6"/>
        <v>11698704</v>
      </c>
    </row>
    <row r="46" spans="2:11" x14ac:dyDescent="0.35">
      <c r="B46" s="164" t="s">
        <v>38</v>
      </c>
      <c r="C46" s="138">
        <f>C45+C44</f>
        <v>9213522</v>
      </c>
      <c r="D46" s="138">
        <f t="shared" ref="D46" si="7">D45+D44</f>
        <v>11144481</v>
      </c>
      <c r="E46" s="138">
        <f>E45+E44</f>
        <v>11268019</v>
      </c>
      <c r="F46" s="138">
        <f>F45+F44</f>
        <v>12010307</v>
      </c>
      <c r="G46" s="138">
        <f>G45+G44</f>
        <v>14697615</v>
      </c>
      <c r="H46" s="138">
        <f>H45+H44</f>
        <v>15480867</v>
      </c>
      <c r="I46" s="165">
        <f t="shared" ref="I46" si="8">I45+I44</f>
        <v>16781066</v>
      </c>
    </row>
    <row r="47" spans="2:11" x14ac:dyDescent="0.35">
      <c r="E47" s="7"/>
      <c r="F47" s="7"/>
      <c r="G47" s="7"/>
      <c r="H47" s="7"/>
      <c r="I47" s="7"/>
    </row>
    <row r="48" spans="2:11" x14ac:dyDescent="0.35">
      <c r="E48" s="7"/>
      <c r="F48" s="7"/>
      <c r="G48" s="7"/>
      <c r="H48" s="7"/>
      <c r="I48" s="7"/>
    </row>
    <row r="49" spans="5:9" x14ac:dyDescent="0.35">
      <c r="E49" s="7"/>
      <c r="F49" s="7"/>
      <c r="G49" s="7"/>
      <c r="H49" s="7"/>
      <c r="I49" s="7"/>
    </row>
    <row r="50" spans="5:9" x14ac:dyDescent="0.35">
      <c r="E50" s="7"/>
      <c r="F50" s="7"/>
      <c r="G50" s="7"/>
      <c r="H50" s="7"/>
      <c r="I50" s="7"/>
    </row>
    <row r="51" spans="5:9" x14ac:dyDescent="0.35">
      <c r="E51" s="7"/>
      <c r="F51" s="7"/>
      <c r="G51" s="7"/>
      <c r="H51" s="7"/>
      <c r="I51" s="7"/>
    </row>
    <row r="52" spans="5:9" x14ac:dyDescent="0.35">
      <c r="E52" s="7"/>
      <c r="F52" s="7"/>
      <c r="G52" s="7"/>
      <c r="H52" s="7"/>
      <c r="I52" s="7"/>
    </row>
    <row r="53" spans="5:9" x14ac:dyDescent="0.35">
      <c r="E53" s="7"/>
      <c r="F53" s="7"/>
      <c r="G53" s="7"/>
      <c r="H53" s="7"/>
      <c r="I53" s="7"/>
    </row>
    <row r="54" spans="5:9" x14ac:dyDescent="0.35">
      <c r="E54" s="7"/>
      <c r="F54" s="7"/>
      <c r="G54" s="7"/>
      <c r="H54" s="7"/>
      <c r="I54" s="7"/>
    </row>
    <row r="55" spans="5:9" x14ac:dyDescent="0.35">
      <c r="E55" s="7"/>
      <c r="F55" s="7"/>
      <c r="G55" s="7"/>
      <c r="H55" s="7"/>
      <c r="I55" s="7"/>
    </row>
    <row r="56" spans="5:9" x14ac:dyDescent="0.35">
      <c r="E56" s="7"/>
      <c r="F56" s="7"/>
      <c r="G56" s="7"/>
      <c r="H56" s="7"/>
      <c r="I56" s="7"/>
    </row>
    <row r="57" spans="5:9" x14ac:dyDescent="0.35">
      <c r="E57" s="7"/>
      <c r="F57" s="7"/>
      <c r="G57" s="7"/>
      <c r="H57" s="7"/>
      <c r="I57" s="7"/>
    </row>
    <row r="58" spans="5:9" x14ac:dyDescent="0.35">
      <c r="E58" s="7"/>
      <c r="F58" s="7"/>
      <c r="G58" s="7"/>
      <c r="H58" s="7"/>
      <c r="I58" s="7"/>
    </row>
    <row r="59" spans="5:9" x14ac:dyDescent="0.35">
      <c r="E59" s="7"/>
      <c r="F59" s="7"/>
      <c r="G59" s="7"/>
      <c r="H59" s="7"/>
      <c r="I59" s="7"/>
    </row>
    <row r="60" spans="5:9" x14ac:dyDescent="0.35">
      <c r="E60" s="7"/>
      <c r="F60" s="7"/>
      <c r="G60" s="7"/>
      <c r="H60" s="7"/>
      <c r="I60" s="7"/>
    </row>
    <row r="61" spans="5:9" x14ac:dyDescent="0.35">
      <c r="E61" s="7"/>
      <c r="F61" s="7"/>
      <c r="G61" s="7"/>
      <c r="H61" s="7"/>
      <c r="I61" s="7"/>
    </row>
    <row r="62" spans="5:9" x14ac:dyDescent="0.35">
      <c r="E62" s="7"/>
      <c r="F62" s="7"/>
      <c r="G62" s="7"/>
      <c r="H62" s="7"/>
      <c r="I62" s="7"/>
    </row>
    <row r="63" spans="5:9" x14ac:dyDescent="0.35">
      <c r="E63" s="7"/>
      <c r="F63" s="7"/>
      <c r="G63" s="7"/>
      <c r="H63" s="7"/>
      <c r="I63" s="7"/>
    </row>
    <row r="64" spans="5:9" x14ac:dyDescent="0.35">
      <c r="E64" s="7"/>
      <c r="F64" s="7"/>
      <c r="G64" s="7"/>
      <c r="H64" s="7"/>
      <c r="I64" s="7"/>
    </row>
    <row r="65" spans="5:9" x14ac:dyDescent="0.35">
      <c r="E65" s="7"/>
      <c r="F65" s="7"/>
      <c r="G65" s="7"/>
      <c r="H65" s="7"/>
      <c r="I65" s="7"/>
    </row>
    <row r="66" spans="5:9" x14ac:dyDescent="0.35">
      <c r="E66" s="7"/>
      <c r="F66" s="7"/>
      <c r="G66" s="7"/>
      <c r="H66" s="7"/>
      <c r="I66" s="7"/>
    </row>
    <row r="67" spans="5:9" x14ac:dyDescent="0.35">
      <c r="E67" s="7"/>
      <c r="F67" s="7"/>
      <c r="G67" s="7"/>
      <c r="H67" s="7"/>
      <c r="I67" s="7"/>
    </row>
    <row r="68" spans="5:9" x14ac:dyDescent="0.35">
      <c r="E68" s="7"/>
      <c r="F68" s="7"/>
      <c r="G68" s="7"/>
      <c r="H68" s="7"/>
      <c r="I68" s="7"/>
    </row>
    <row r="69" spans="5:9" x14ac:dyDescent="0.35">
      <c r="E69" s="7"/>
      <c r="F69" s="7"/>
      <c r="G69" s="7"/>
      <c r="H69" s="7"/>
      <c r="I69" s="7"/>
    </row>
    <row r="70" spans="5:9" x14ac:dyDescent="0.35">
      <c r="E70" s="7"/>
      <c r="F70" s="7"/>
      <c r="G70" s="7"/>
      <c r="H70" s="7"/>
      <c r="I70" s="7"/>
    </row>
    <row r="71" spans="5:9" x14ac:dyDescent="0.35">
      <c r="E71" s="7"/>
      <c r="F71" s="7"/>
      <c r="G71" s="7"/>
      <c r="H71" s="7"/>
      <c r="I71" s="7"/>
    </row>
    <row r="72" spans="5:9" x14ac:dyDescent="0.35">
      <c r="E72" s="7"/>
      <c r="F72" s="7"/>
      <c r="G72" s="7"/>
      <c r="H72" s="7"/>
      <c r="I72" s="7"/>
    </row>
    <row r="73" spans="5:9" x14ac:dyDescent="0.35">
      <c r="E73" s="7"/>
      <c r="F73" s="7"/>
      <c r="G73" s="7"/>
      <c r="H73" s="7"/>
      <c r="I73" s="7"/>
    </row>
    <row r="74" spans="5:9" x14ac:dyDescent="0.35">
      <c r="E74" s="7"/>
      <c r="F74" s="7"/>
      <c r="G74" s="7"/>
      <c r="H74" s="7"/>
      <c r="I74" s="7"/>
    </row>
    <row r="75" spans="5:9" x14ac:dyDescent="0.35">
      <c r="E75" s="7"/>
      <c r="F75" s="7"/>
      <c r="G75" s="7"/>
      <c r="H75" s="7"/>
      <c r="I75" s="7"/>
    </row>
    <row r="76" spans="5:9" x14ac:dyDescent="0.35">
      <c r="E76" s="7"/>
      <c r="F76" s="7"/>
      <c r="G76" s="7"/>
      <c r="H76" s="7"/>
      <c r="I76" s="7"/>
    </row>
    <row r="77" spans="5:9" x14ac:dyDescent="0.35">
      <c r="E77" s="7"/>
      <c r="F77" s="7"/>
      <c r="G77" s="7"/>
      <c r="H77" s="7"/>
      <c r="I77" s="7"/>
    </row>
    <row r="78" spans="5:9" x14ac:dyDescent="0.35">
      <c r="E78" s="7"/>
      <c r="F78" s="7"/>
      <c r="G78" s="7"/>
      <c r="H78" s="7"/>
      <c r="I78" s="7"/>
    </row>
    <row r="79" spans="5:9" x14ac:dyDescent="0.35">
      <c r="E79" s="7"/>
      <c r="F79" s="7"/>
      <c r="G79" s="7"/>
      <c r="H79" s="7"/>
      <c r="I79" s="7"/>
    </row>
    <row r="80" spans="5:9" x14ac:dyDescent="0.35">
      <c r="E80" s="7"/>
      <c r="F80" s="7"/>
      <c r="G80" s="7"/>
      <c r="H80" s="7"/>
      <c r="I80" s="7"/>
    </row>
    <row r="81" spans="5:9" x14ac:dyDescent="0.35">
      <c r="E81" s="7"/>
      <c r="F81" s="7"/>
      <c r="G81" s="7"/>
      <c r="H81" s="7"/>
      <c r="I81" s="7"/>
    </row>
    <row r="82" spans="5:9" x14ac:dyDescent="0.35">
      <c r="E82" s="7"/>
      <c r="F82" s="7"/>
      <c r="G82" s="7"/>
      <c r="H82" s="7"/>
      <c r="I82" s="7"/>
    </row>
    <row r="83" spans="5:9" x14ac:dyDescent="0.35">
      <c r="E83" s="7"/>
      <c r="F83" s="7"/>
      <c r="G83" s="7"/>
      <c r="H83" s="7"/>
      <c r="I83" s="7"/>
    </row>
    <row r="84" spans="5:9" x14ac:dyDescent="0.35">
      <c r="E84" s="7"/>
      <c r="F84" s="7"/>
      <c r="G84" s="7"/>
      <c r="H84" s="7"/>
      <c r="I84" s="7"/>
    </row>
    <row r="85" spans="5:9" x14ac:dyDescent="0.35">
      <c r="E85" s="7"/>
      <c r="F85" s="7"/>
      <c r="G85" s="7"/>
      <c r="H85" s="7"/>
      <c r="I85" s="7"/>
    </row>
    <row r="86" spans="5:9" x14ac:dyDescent="0.35">
      <c r="E86" s="7"/>
      <c r="F86" s="7"/>
      <c r="G86" s="7"/>
      <c r="H86" s="7"/>
      <c r="I86" s="7"/>
    </row>
    <row r="87" spans="5:9" x14ac:dyDescent="0.35">
      <c r="E87" s="7"/>
      <c r="F87" s="7"/>
      <c r="G87" s="7"/>
      <c r="H87" s="7"/>
      <c r="I87" s="7"/>
    </row>
    <row r="88" spans="5:9" x14ac:dyDescent="0.35">
      <c r="E88" s="7"/>
      <c r="F88" s="7"/>
      <c r="G88" s="7"/>
      <c r="H88" s="7"/>
      <c r="I88" s="7"/>
    </row>
    <row r="89" spans="5:9" x14ac:dyDescent="0.35">
      <c r="E89" s="7"/>
      <c r="F89" s="7"/>
      <c r="G89" s="7"/>
      <c r="H89" s="7"/>
      <c r="I89" s="7"/>
    </row>
    <row r="90" spans="5:9" x14ac:dyDescent="0.35">
      <c r="E90" s="7"/>
      <c r="F90" s="7"/>
      <c r="G90" s="7"/>
      <c r="H90" s="7"/>
      <c r="I90" s="7"/>
    </row>
    <row r="91" spans="5:9" x14ac:dyDescent="0.35">
      <c r="E91" s="7"/>
      <c r="F91" s="7"/>
      <c r="G91" s="7"/>
      <c r="H91" s="7"/>
      <c r="I91" s="7"/>
    </row>
    <row r="92" spans="5:9" x14ac:dyDescent="0.35">
      <c r="E92" s="7"/>
      <c r="F92" s="7"/>
      <c r="G92" s="7"/>
      <c r="H92" s="7"/>
      <c r="I92" s="7"/>
    </row>
    <row r="93" spans="5:9" x14ac:dyDescent="0.35">
      <c r="E93" s="7"/>
      <c r="F93" s="7"/>
      <c r="G93" s="7"/>
      <c r="H93" s="7"/>
      <c r="I93" s="7"/>
    </row>
    <row r="94" spans="5:9" x14ac:dyDescent="0.35">
      <c r="E94" s="7"/>
      <c r="F94" s="7"/>
      <c r="G94" s="7"/>
      <c r="H94" s="7"/>
      <c r="I94" s="7"/>
    </row>
    <row r="95" spans="5:9" x14ac:dyDescent="0.35">
      <c r="E95" s="7"/>
      <c r="F95" s="7"/>
      <c r="G95" s="7"/>
      <c r="H95" s="7"/>
      <c r="I95" s="7"/>
    </row>
    <row r="96" spans="5:9" x14ac:dyDescent="0.35">
      <c r="E96" s="7"/>
      <c r="F96" s="7"/>
      <c r="G96" s="7"/>
      <c r="H96" s="7"/>
      <c r="I96" s="7"/>
    </row>
    <row r="97" spans="5:9" x14ac:dyDescent="0.35">
      <c r="E97" s="7"/>
      <c r="F97" s="7"/>
      <c r="G97" s="7"/>
      <c r="H97" s="7"/>
      <c r="I97" s="7"/>
    </row>
    <row r="98" spans="5:9" x14ac:dyDescent="0.35">
      <c r="E98" s="7"/>
      <c r="F98" s="7"/>
      <c r="G98" s="7"/>
      <c r="H98" s="7"/>
      <c r="I98" s="7"/>
    </row>
    <row r="99" spans="5:9" x14ac:dyDescent="0.35">
      <c r="E99" s="7"/>
      <c r="F99" s="7"/>
      <c r="G99" s="7"/>
      <c r="H99" s="7"/>
      <c r="I99" s="7"/>
    </row>
    <row r="100" spans="5:9" x14ac:dyDescent="0.35">
      <c r="E100" s="7"/>
      <c r="F100" s="7"/>
      <c r="G100" s="7"/>
      <c r="H100" s="7"/>
      <c r="I100" s="7"/>
    </row>
    <row r="101" spans="5:9" x14ac:dyDescent="0.35">
      <c r="E101" s="7"/>
      <c r="F101" s="7"/>
      <c r="G101" s="7"/>
      <c r="H101" s="7"/>
      <c r="I101" s="7"/>
    </row>
    <row r="102" spans="5:9" x14ac:dyDescent="0.35">
      <c r="E102" s="7"/>
      <c r="F102" s="7"/>
      <c r="G102" s="7"/>
      <c r="H102" s="7"/>
      <c r="I102" s="7"/>
    </row>
    <row r="103" spans="5:9" x14ac:dyDescent="0.35">
      <c r="E103" s="7"/>
      <c r="F103" s="7"/>
      <c r="G103" s="7"/>
      <c r="H103" s="7"/>
      <c r="I103" s="7"/>
    </row>
    <row r="104" spans="5:9" x14ac:dyDescent="0.35">
      <c r="E104" s="7"/>
      <c r="F104" s="7"/>
      <c r="G104" s="7"/>
      <c r="H104" s="7"/>
      <c r="I104" s="7"/>
    </row>
    <row r="105" spans="5:9" x14ac:dyDescent="0.35">
      <c r="E105" s="7"/>
      <c r="F105" s="7"/>
      <c r="G105" s="7"/>
      <c r="H105" s="7"/>
      <c r="I105" s="7"/>
    </row>
    <row r="106" spans="5:9" x14ac:dyDescent="0.35">
      <c r="E106" s="7"/>
      <c r="F106" s="7"/>
      <c r="G106" s="7"/>
      <c r="H106" s="7"/>
      <c r="I106" s="7"/>
    </row>
    <row r="107" spans="5:9" x14ac:dyDescent="0.35">
      <c r="E107" s="7"/>
      <c r="F107" s="7"/>
      <c r="G107" s="7"/>
      <c r="H107" s="7"/>
      <c r="I107" s="7"/>
    </row>
    <row r="108" spans="5:9" x14ac:dyDescent="0.35">
      <c r="E108" s="7"/>
      <c r="F108" s="7"/>
      <c r="G108" s="7"/>
      <c r="H108" s="7"/>
      <c r="I108" s="7"/>
    </row>
    <row r="109" spans="5:9" x14ac:dyDescent="0.35">
      <c r="E109" s="7"/>
      <c r="F109" s="7"/>
      <c r="G109" s="7"/>
      <c r="H109" s="7"/>
      <c r="I109" s="7"/>
    </row>
    <row r="110" spans="5:9" x14ac:dyDescent="0.35">
      <c r="E110" s="7"/>
      <c r="F110" s="7"/>
      <c r="G110" s="7"/>
      <c r="H110" s="7"/>
      <c r="I110" s="7"/>
    </row>
    <row r="111" spans="5:9" x14ac:dyDescent="0.35">
      <c r="E111" s="7"/>
      <c r="F111" s="7"/>
      <c r="G111" s="7"/>
      <c r="H111" s="7"/>
      <c r="I111" s="7"/>
    </row>
    <row r="112" spans="5:9" x14ac:dyDescent="0.35">
      <c r="E112" s="7"/>
      <c r="F112" s="7"/>
      <c r="G112" s="7"/>
      <c r="H112" s="7"/>
      <c r="I112" s="7"/>
    </row>
    <row r="113" spans="5:9" x14ac:dyDescent="0.35">
      <c r="E113" s="7"/>
      <c r="F113" s="7"/>
      <c r="G113" s="7"/>
      <c r="H113" s="7"/>
      <c r="I113" s="7"/>
    </row>
    <row r="114" spans="5:9" x14ac:dyDescent="0.35">
      <c r="E114" s="7"/>
      <c r="F114" s="7"/>
      <c r="G114" s="7"/>
      <c r="H114" s="7"/>
      <c r="I114" s="7"/>
    </row>
    <row r="115" spans="5:9" x14ac:dyDescent="0.35">
      <c r="E115" s="7"/>
      <c r="F115" s="7"/>
      <c r="G115" s="7"/>
      <c r="H115" s="7"/>
      <c r="I115" s="7"/>
    </row>
    <row r="116" spans="5:9" x14ac:dyDescent="0.35">
      <c r="E116" s="7"/>
      <c r="F116" s="7"/>
      <c r="G116" s="7"/>
      <c r="H116" s="7"/>
      <c r="I116" s="7"/>
    </row>
    <row r="117" spans="5:9" x14ac:dyDescent="0.35">
      <c r="E117" s="7"/>
      <c r="F117" s="7"/>
      <c r="G117" s="7"/>
      <c r="H117" s="7"/>
      <c r="I117" s="7"/>
    </row>
    <row r="118" spans="5:9" x14ac:dyDescent="0.35">
      <c r="E118" s="7"/>
      <c r="F118" s="7"/>
      <c r="G118" s="7"/>
      <c r="H118" s="7"/>
      <c r="I118" s="7"/>
    </row>
    <row r="119" spans="5:9" x14ac:dyDescent="0.35">
      <c r="E119" s="7"/>
      <c r="F119" s="7"/>
      <c r="G119" s="7"/>
      <c r="H119" s="7"/>
      <c r="I119" s="7"/>
    </row>
    <row r="120" spans="5:9" x14ac:dyDescent="0.35">
      <c r="E120" s="7"/>
      <c r="F120" s="7"/>
      <c r="G120" s="7"/>
      <c r="H120" s="7"/>
      <c r="I120" s="7"/>
    </row>
    <row r="121" spans="5:9" x14ac:dyDescent="0.35">
      <c r="E121" s="7"/>
      <c r="F121" s="7"/>
      <c r="G121" s="7"/>
      <c r="H121" s="7"/>
      <c r="I121" s="7"/>
    </row>
    <row r="122" spans="5:9" x14ac:dyDescent="0.35">
      <c r="E122" s="7"/>
      <c r="F122" s="7"/>
      <c r="G122" s="7"/>
      <c r="H122" s="7"/>
      <c r="I122" s="7"/>
    </row>
    <row r="123" spans="5:9" x14ac:dyDescent="0.35">
      <c r="E123" s="7"/>
      <c r="F123" s="7"/>
      <c r="G123" s="7"/>
      <c r="H123" s="7"/>
      <c r="I123" s="7"/>
    </row>
    <row r="124" spans="5:9" x14ac:dyDescent="0.35">
      <c r="E124" s="7"/>
      <c r="F124" s="7"/>
      <c r="G124" s="7"/>
      <c r="H124" s="7"/>
      <c r="I124" s="7"/>
    </row>
    <row r="125" spans="5:9" x14ac:dyDescent="0.35">
      <c r="E125" s="7"/>
      <c r="F125" s="7"/>
      <c r="G125" s="7"/>
      <c r="H125" s="7"/>
      <c r="I125" s="7"/>
    </row>
    <row r="126" spans="5:9" x14ac:dyDescent="0.35">
      <c r="E126" s="7"/>
      <c r="F126" s="7"/>
      <c r="G126" s="7"/>
      <c r="H126" s="7"/>
      <c r="I126" s="7"/>
    </row>
    <row r="127" spans="5:9" x14ac:dyDescent="0.35">
      <c r="E127" s="7"/>
      <c r="F127" s="7"/>
      <c r="G127" s="7"/>
      <c r="H127" s="7"/>
      <c r="I127" s="7"/>
    </row>
    <row r="128" spans="5:9" x14ac:dyDescent="0.35">
      <c r="E128" s="7"/>
      <c r="F128" s="7"/>
      <c r="G128" s="7"/>
      <c r="H128" s="7"/>
      <c r="I128" s="7"/>
    </row>
    <row r="129" spans="5:9" x14ac:dyDescent="0.35">
      <c r="E129" s="7"/>
      <c r="F129" s="7"/>
      <c r="G129" s="7"/>
      <c r="H129" s="7"/>
      <c r="I129" s="7"/>
    </row>
    <row r="130" spans="5:9" x14ac:dyDescent="0.35">
      <c r="E130" s="7"/>
      <c r="F130" s="7"/>
      <c r="G130" s="7"/>
      <c r="H130" s="7"/>
      <c r="I130" s="7"/>
    </row>
    <row r="131" spans="5:9" x14ac:dyDescent="0.35">
      <c r="E131" s="7"/>
      <c r="F131" s="7"/>
      <c r="G131" s="7"/>
      <c r="H131" s="7"/>
      <c r="I131" s="7"/>
    </row>
    <row r="132" spans="5:9" x14ac:dyDescent="0.35">
      <c r="E132" s="7"/>
      <c r="F132" s="7"/>
      <c r="G132" s="7"/>
      <c r="H132" s="7"/>
      <c r="I132" s="7"/>
    </row>
    <row r="133" spans="5:9" x14ac:dyDescent="0.35">
      <c r="E133" s="7"/>
      <c r="F133" s="7"/>
      <c r="G133" s="7"/>
      <c r="H133" s="7"/>
      <c r="I133" s="7"/>
    </row>
    <row r="134" spans="5:9" x14ac:dyDescent="0.35">
      <c r="E134" s="7"/>
      <c r="F134" s="7"/>
      <c r="G134" s="7"/>
      <c r="H134" s="7"/>
      <c r="I134" s="7"/>
    </row>
    <row r="135" spans="5:9" x14ac:dyDescent="0.35">
      <c r="E135" s="7"/>
      <c r="F135" s="7"/>
      <c r="G135" s="7"/>
      <c r="H135" s="7"/>
      <c r="I135" s="7"/>
    </row>
    <row r="136" spans="5:9" x14ac:dyDescent="0.35">
      <c r="E136" s="7"/>
      <c r="F136" s="7"/>
      <c r="G136" s="7"/>
      <c r="H136" s="7"/>
      <c r="I136" s="7"/>
    </row>
    <row r="137" spans="5:9" x14ac:dyDescent="0.35">
      <c r="E137" s="7"/>
      <c r="F137" s="7"/>
      <c r="G137" s="7"/>
      <c r="H137" s="7"/>
      <c r="I137" s="7"/>
    </row>
    <row r="138" spans="5:9" x14ac:dyDescent="0.35">
      <c r="E138" s="7"/>
      <c r="F138" s="7"/>
      <c r="G138" s="7"/>
      <c r="H138" s="7"/>
      <c r="I138" s="7"/>
    </row>
    <row r="139" spans="5:9" x14ac:dyDescent="0.35">
      <c r="E139" s="7"/>
      <c r="F139" s="7"/>
      <c r="G139" s="7"/>
      <c r="H139" s="7"/>
      <c r="I139" s="7"/>
    </row>
    <row r="140" spans="5:9" x14ac:dyDescent="0.35">
      <c r="E140" s="7"/>
      <c r="F140" s="7"/>
      <c r="G140" s="7"/>
      <c r="H140" s="7"/>
      <c r="I140" s="7"/>
    </row>
    <row r="141" spans="5:9" x14ac:dyDescent="0.35">
      <c r="E141" s="7"/>
      <c r="F141" s="7"/>
      <c r="G141" s="7"/>
      <c r="H141" s="7"/>
      <c r="I141" s="7"/>
    </row>
    <row r="142" spans="5:9" x14ac:dyDescent="0.35">
      <c r="E142" s="7"/>
      <c r="F142" s="7"/>
      <c r="G142" s="7"/>
      <c r="H142" s="7"/>
      <c r="I142" s="7"/>
    </row>
    <row r="143" spans="5:9" x14ac:dyDescent="0.35">
      <c r="E143" s="7"/>
      <c r="F143" s="7"/>
      <c r="G143" s="7"/>
      <c r="H143" s="7"/>
      <c r="I143" s="7"/>
    </row>
    <row r="144" spans="5:9" x14ac:dyDescent="0.35">
      <c r="E144" s="7"/>
      <c r="F144" s="7"/>
      <c r="G144" s="7"/>
      <c r="H144" s="7"/>
      <c r="I144" s="7"/>
    </row>
    <row r="145" spans="5:9" x14ac:dyDescent="0.35">
      <c r="E145" s="7"/>
      <c r="F145" s="7"/>
      <c r="G145" s="7"/>
      <c r="H145" s="7"/>
      <c r="I145" s="7"/>
    </row>
    <row r="146" spans="5:9" x14ac:dyDescent="0.35">
      <c r="E146" s="7"/>
      <c r="F146" s="7"/>
      <c r="G146" s="7"/>
      <c r="H146" s="7"/>
      <c r="I146" s="7"/>
    </row>
    <row r="147" spans="5:9" x14ac:dyDescent="0.35">
      <c r="E147" s="7"/>
      <c r="F147" s="7"/>
      <c r="G147" s="7"/>
      <c r="H147" s="7"/>
      <c r="I147" s="7"/>
    </row>
    <row r="148" spans="5:9" x14ac:dyDescent="0.35">
      <c r="E148" s="7"/>
      <c r="F148" s="7"/>
      <c r="G148" s="7"/>
      <c r="H148" s="7"/>
      <c r="I148" s="7"/>
    </row>
    <row r="149" spans="5:9" x14ac:dyDescent="0.35">
      <c r="E149" s="7"/>
      <c r="F149" s="7"/>
      <c r="G149" s="7"/>
      <c r="H149" s="7"/>
      <c r="I149" s="7"/>
    </row>
    <row r="150" spans="5:9" x14ac:dyDescent="0.35">
      <c r="E150" s="7"/>
      <c r="F150" s="7"/>
      <c r="G150" s="7"/>
      <c r="H150" s="7"/>
      <c r="I150" s="7"/>
    </row>
    <row r="151" spans="5:9" x14ac:dyDescent="0.35">
      <c r="E151" s="7"/>
      <c r="F151" s="7"/>
      <c r="G151" s="7"/>
      <c r="H151" s="7"/>
      <c r="I151" s="7"/>
    </row>
    <row r="152" spans="5:9" x14ac:dyDescent="0.35">
      <c r="E152" s="7"/>
      <c r="F152" s="7"/>
      <c r="G152" s="7"/>
      <c r="H152" s="7"/>
      <c r="I152" s="7"/>
    </row>
    <row r="153" spans="5:9" x14ac:dyDescent="0.35">
      <c r="E153" s="7"/>
      <c r="F153" s="7"/>
      <c r="G153" s="7"/>
      <c r="H153" s="7"/>
      <c r="I153" s="7"/>
    </row>
    <row r="154" spans="5:9" x14ac:dyDescent="0.35">
      <c r="E154" s="7"/>
      <c r="F154" s="7"/>
      <c r="G154" s="7"/>
      <c r="H154" s="7"/>
      <c r="I154" s="7"/>
    </row>
    <row r="155" spans="5:9" x14ac:dyDescent="0.35">
      <c r="E155" s="7"/>
      <c r="F155" s="7"/>
      <c r="G155" s="7"/>
      <c r="H155" s="7"/>
      <c r="I155" s="7"/>
    </row>
    <row r="156" spans="5:9" x14ac:dyDescent="0.35">
      <c r="E156" s="7"/>
      <c r="F156" s="7"/>
      <c r="G156" s="7"/>
      <c r="H156" s="7"/>
      <c r="I156" s="7"/>
    </row>
    <row r="157" spans="5:9" x14ac:dyDescent="0.35">
      <c r="E157" s="7"/>
      <c r="F157" s="7"/>
      <c r="G157" s="7"/>
      <c r="H157" s="7"/>
      <c r="I157" s="7"/>
    </row>
    <row r="158" spans="5:9" x14ac:dyDescent="0.35">
      <c r="E158" s="7"/>
      <c r="F158" s="7"/>
      <c r="G158" s="7"/>
      <c r="H158" s="7"/>
      <c r="I158" s="7"/>
    </row>
    <row r="159" spans="5:9" x14ac:dyDescent="0.35">
      <c r="E159" s="7"/>
      <c r="F159" s="7"/>
      <c r="G159" s="7"/>
      <c r="H159" s="7"/>
      <c r="I159" s="7"/>
    </row>
    <row r="160" spans="5:9" x14ac:dyDescent="0.35">
      <c r="E160" s="7"/>
      <c r="F160" s="7"/>
      <c r="G160" s="7"/>
      <c r="H160" s="7"/>
      <c r="I160" s="7"/>
    </row>
    <row r="161" spans="5:9" x14ac:dyDescent="0.35">
      <c r="E161" s="7"/>
      <c r="F161" s="7"/>
      <c r="G161" s="7"/>
      <c r="H161" s="7"/>
      <c r="I161" s="7"/>
    </row>
    <row r="162" spans="5:9" x14ac:dyDescent="0.35">
      <c r="E162" s="7"/>
      <c r="F162" s="7"/>
      <c r="G162" s="7"/>
      <c r="H162" s="7"/>
      <c r="I162" s="7"/>
    </row>
    <row r="163" spans="5:9" x14ac:dyDescent="0.35">
      <c r="E163" s="7"/>
      <c r="F163" s="7"/>
      <c r="G163" s="7"/>
      <c r="H163" s="7"/>
      <c r="I163" s="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4B50F-CDDE-4D70-A82F-59BB629A8F44}">
  <sheetPr>
    <tabColor theme="0" tint="-0.499984740745262"/>
  </sheetPr>
  <dimension ref="B2:Y84"/>
  <sheetViews>
    <sheetView showGridLines="0" zoomScale="120" zoomScaleNormal="120" zoomScaleSheetLayoutView="100" workbookViewId="0">
      <selection activeCell="B5" sqref="B5"/>
    </sheetView>
  </sheetViews>
  <sheetFormatPr defaultColWidth="11.453125" defaultRowHeight="15" customHeight="1" outlineLevelCol="1" x14ac:dyDescent="0.35"/>
  <cols>
    <col min="1" max="1" width="1.7265625" style="5" customWidth="1"/>
    <col min="2" max="2" width="30.54296875" style="5" customWidth="1"/>
    <col min="3" max="5" width="10.54296875" style="5" customWidth="1" outlineLevel="1"/>
    <col min="6" max="9" width="10.54296875" style="5" customWidth="1"/>
    <col min="10" max="16384" width="11.453125" style="5"/>
  </cols>
  <sheetData>
    <row r="2" spans="2:9" ht="14.5" customHeight="1" x14ac:dyDescent="0.35">
      <c r="B2" s="105" t="s">
        <v>39</v>
      </c>
    </row>
    <row r="3" spans="2:9" ht="14.5" customHeight="1" x14ac:dyDescent="0.35">
      <c r="B3" s="104"/>
    </row>
    <row r="4" spans="2:9" ht="34.5" x14ac:dyDescent="0.35">
      <c r="B4" s="130" t="s">
        <v>1</v>
      </c>
      <c r="C4" s="131" t="s">
        <v>2</v>
      </c>
      <c r="D4" s="131" t="s">
        <v>3</v>
      </c>
      <c r="E4" s="132">
        <v>2007</v>
      </c>
      <c r="F4" s="132">
        <v>2008</v>
      </c>
      <c r="G4" s="132">
        <v>2009</v>
      </c>
      <c r="H4" s="132">
        <v>2010</v>
      </c>
      <c r="I4" s="161">
        <v>2011</v>
      </c>
    </row>
    <row r="5" spans="2:9" ht="14.5" x14ac:dyDescent="0.35">
      <c r="B5" s="28" t="s">
        <v>40</v>
      </c>
      <c r="C5" s="27">
        <v>1723519</v>
      </c>
      <c r="D5" s="27">
        <v>3631022</v>
      </c>
      <c r="E5" s="27">
        <v>3787144</v>
      </c>
      <c r="F5" s="27">
        <v>3805007</v>
      </c>
      <c r="G5" s="27">
        <v>3449768</v>
      </c>
      <c r="H5" s="27">
        <v>3023069</v>
      </c>
      <c r="I5" s="163">
        <v>3668610</v>
      </c>
    </row>
    <row r="6" spans="2:9" ht="14.5" x14ac:dyDescent="0.35">
      <c r="B6" s="20" t="s">
        <v>41</v>
      </c>
      <c r="C6" s="21">
        <v>1406186</v>
      </c>
      <c r="D6" s="21">
        <v>3052356</v>
      </c>
      <c r="E6" s="21">
        <v>2983399</v>
      </c>
      <c r="F6" s="21">
        <v>3136767</v>
      </c>
      <c r="G6" s="21">
        <v>2693035</v>
      </c>
      <c r="H6" s="21">
        <v>2423433</v>
      </c>
      <c r="I6" s="22">
        <v>2904365</v>
      </c>
    </row>
    <row r="7" spans="2:9" ht="14.5" x14ac:dyDescent="0.35">
      <c r="B7" s="106" t="s">
        <v>42</v>
      </c>
      <c r="C7" s="136">
        <f t="shared" ref="C7:I7" si="0">C5-C6</f>
        <v>317333</v>
      </c>
      <c r="D7" s="136">
        <f t="shared" si="0"/>
        <v>578666</v>
      </c>
      <c r="E7" s="136">
        <f t="shared" si="0"/>
        <v>803745</v>
      </c>
      <c r="F7" s="136">
        <f t="shared" si="0"/>
        <v>668240</v>
      </c>
      <c r="G7" s="136">
        <f t="shared" si="0"/>
        <v>756733</v>
      </c>
      <c r="H7" s="136">
        <f t="shared" si="0"/>
        <v>599636</v>
      </c>
      <c r="I7" s="123">
        <f t="shared" si="0"/>
        <v>764245</v>
      </c>
    </row>
    <row r="8" spans="2:9" ht="14.5" x14ac:dyDescent="0.35">
      <c r="B8" s="28" t="s">
        <v>43</v>
      </c>
      <c r="C8" s="30"/>
      <c r="D8" s="30"/>
      <c r="E8" s="30"/>
      <c r="F8" s="30"/>
      <c r="G8" s="30"/>
      <c r="H8" s="30"/>
      <c r="I8" s="166"/>
    </row>
    <row r="9" spans="2:9" ht="14.5" x14ac:dyDescent="0.35">
      <c r="B9" s="20" t="s">
        <v>44</v>
      </c>
      <c r="C9" s="21">
        <v>168494</v>
      </c>
      <c r="D9" s="21">
        <v>234925</v>
      </c>
      <c r="E9" s="21">
        <v>305288</v>
      </c>
      <c r="F9" s="21">
        <v>288963</v>
      </c>
      <c r="G9" s="21">
        <v>322030</v>
      </c>
      <c r="H9" s="21">
        <v>253709</v>
      </c>
      <c r="I9" s="22">
        <v>282230</v>
      </c>
    </row>
    <row r="10" spans="2:9" ht="14.5" x14ac:dyDescent="0.35">
      <c r="B10" s="20" t="s">
        <v>45</v>
      </c>
      <c r="C10" s="21">
        <v>106416</v>
      </c>
      <c r="D10" s="21">
        <v>65266</v>
      </c>
      <c r="E10" s="21">
        <v>169873</v>
      </c>
      <c r="F10" s="21">
        <v>125120</v>
      </c>
      <c r="G10" s="21">
        <v>133896</v>
      </c>
      <c r="H10" s="21">
        <v>127327</v>
      </c>
      <c r="I10" s="22">
        <v>134722</v>
      </c>
    </row>
    <row r="11" spans="2:9" ht="14.5" x14ac:dyDescent="0.35">
      <c r="B11" s="20" t="s">
        <v>46</v>
      </c>
      <c r="C11" s="21">
        <v>0</v>
      </c>
      <c r="D11" s="21">
        <v>0</v>
      </c>
      <c r="E11" s="21">
        <v>0</v>
      </c>
      <c r="F11" s="21">
        <v>74786</v>
      </c>
      <c r="G11" s="21">
        <v>81691</v>
      </c>
      <c r="H11" s="21">
        <v>88343</v>
      </c>
      <c r="I11" s="22">
        <v>74460</v>
      </c>
    </row>
    <row r="12" spans="2:9" ht="14.5" x14ac:dyDescent="0.35">
      <c r="B12" s="106" t="s">
        <v>47</v>
      </c>
      <c r="C12" s="136">
        <f t="shared" ref="C12:I12" si="1">C7-C9-C10-C11</f>
        <v>42423</v>
      </c>
      <c r="D12" s="136">
        <f t="shared" si="1"/>
        <v>278475</v>
      </c>
      <c r="E12" s="136">
        <f t="shared" si="1"/>
        <v>328584</v>
      </c>
      <c r="F12" s="136">
        <f t="shared" si="1"/>
        <v>179371</v>
      </c>
      <c r="G12" s="136">
        <f t="shared" si="1"/>
        <v>219116</v>
      </c>
      <c r="H12" s="136">
        <f t="shared" si="1"/>
        <v>130257</v>
      </c>
      <c r="I12" s="123">
        <f t="shared" si="1"/>
        <v>272833</v>
      </c>
    </row>
    <row r="13" spans="2:9" ht="14.5" x14ac:dyDescent="0.35">
      <c r="B13" s="28" t="s">
        <v>48</v>
      </c>
      <c r="C13" s="30"/>
      <c r="D13" s="30"/>
      <c r="E13" s="30"/>
      <c r="F13" s="30"/>
      <c r="G13" s="30"/>
      <c r="H13" s="30"/>
      <c r="I13" s="166"/>
    </row>
    <row r="14" spans="2:9" ht="14.5" x14ac:dyDescent="0.35">
      <c r="B14" s="20" t="s">
        <v>49</v>
      </c>
      <c r="C14" s="25">
        <v>44095</v>
      </c>
      <c r="D14" s="25">
        <v>25055</v>
      </c>
      <c r="E14" s="25">
        <v>51978</v>
      </c>
      <c r="F14" s="25">
        <v>59528</v>
      </c>
      <c r="G14" s="25">
        <v>38773</v>
      </c>
      <c r="H14" s="25">
        <v>12981</v>
      </c>
      <c r="I14" s="26">
        <v>18785</v>
      </c>
    </row>
    <row r="15" spans="2:9" ht="14.5" x14ac:dyDescent="0.35">
      <c r="B15" s="20" t="s">
        <v>50</v>
      </c>
      <c r="C15" s="25">
        <v>79360</v>
      </c>
      <c r="D15" s="25">
        <v>64006</v>
      </c>
      <c r="E15" s="25">
        <v>61229</v>
      </c>
      <c r="F15" s="25">
        <v>83363</v>
      </c>
      <c r="G15" s="25">
        <v>69957</v>
      </c>
      <c r="H15" s="25">
        <v>81374</v>
      </c>
      <c r="I15" s="26">
        <v>72283</v>
      </c>
    </row>
    <row r="16" spans="2:9" ht="14.5" x14ac:dyDescent="0.35">
      <c r="B16" s="20" t="s">
        <v>51</v>
      </c>
      <c r="C16" s="25">
        <f>-73833</f>
        <v>-73833</v>
      </c>
      <c r="D16" s="25">
        <f>-229691</f>
        <v>-229691</v>
      </c>
      <c r="E16" s="25">
        <f>-203490</f>
        <v>-203490</v>
      </c>
      <c r="F16" s="25">
        <f>-256859</f>
        <v>-256859</v>
      </c>
      <c r="G16" s="25">
        <f>-279662</f>
        <v>-279662</v>
      </c>
      <c r="H16" s="25">
        <f>-192208</f>
        <v>-192208</v>
      </c>
      <c r="I16" s="26">
        <f>-195963</f>
        <v>-195963</v>
      </c>
    </row>
    <row r="17" spans="2:9" ht="14.5" x14ac:dyDescent="0.35">
      <c r="B17" s="20" t="s">
        <v>52</v>
      </c>
      <c r="C17" s="25">
        <v>-19199</v>
      </c>
      <c r="D17" s="25">
        <v>11511</v>
      </c>
      <c r="E17" s="25">
        <v>78040</v>
      </c>
      <c r="F17" s="25">
        <v>-206520</v>
      </c>
      <c r="G17" s="25">
        <v>-51360</v>
      </c>
      <c r="H17" s="25">
        <v>758</v>
      </c>
      <c r="I17" s="26">
        <v>-15848</v>
      </c>
    </row>
    <row r="18" spans="2:9" ht="14.5" x14ac:dyDescent="0.35">
      <c r="B18" s="20" t="s">
        <v>53</v>
      </c>
      <c r="C18" s="25">
        <f>530911</f>
        <v>530911</v>
      </c>
      <c r="D18" s="25">
        <f>289258+4957</f>
        <v>294215</v>
      </c>
      <c r="E18" s="25">
        <v>223700</v>
      </c>
      <c r="F18" s="25">
        <f>491875</f>
        <v>491875</v>
      </c>
      <c r="G18" s="25">
        <f>697010</f>
        <v>697010</v>
      </c>
      <c r="H18" s="25">
        <v>592268</v>
      </c>
      <c r="I18" s="26">
        <v>746023</v>
      </c>
    </row>
    <row r="19" spans="2:9" ht="14.5" x14ac:dyDescent="0.35">
      <c r="B19" s="20" t="s">
        <v>54</v>
      </c>
      <c r="C19" s="25">
        <f>-285950-19334</f>
        <v>-305284</v>
      </c>
      <c r="D19" s="25">
        <f>-183418</f>
        <v>-183418</v>
      </c>
      <c r="E19" s="25">
        <v>-238106</v>
      </c>
      <c r="F19" s="25">
        <v>-236730</v>
      </c>
      <c r="G19" s="25">
        <v>-389284</v>
      </c>
      <c r="H19" s="25">
        <v>-295491</v>
      </c>
      <c r="I19" s="26">
        <v>-493335</v>
      </c>
    </row>
    <row r="20" spans="2:9" ht="23" x14ac:dyDescent="0.35">
      <c r="B20" s="137" t="s">
        <v>55</v>
      </c>
      <c r="C20" s="136">
        <f t="shared" ref="C20:I20" si="2">C12+C16+C14+C18+C19+C17+C15</f>
        <v>298473</v>
      </c>
      <c r="D20" s="136">
        <f t="shared" si="2"/>
        <v>260153</v>
      </c>
      <c r="E20" s="136">
        <f t="shared" si="2"/>
        <v>301935</v>
      </c>
      <c r="F20" s="136">
        <f t="shared" si="2"/>
        <v>114028</v>
      </c>
      <c r="G20" s="136">
        <f t="shared" si="2"/>
        <v>304550</v>
      </c>
      <c r="H20" s="136">
        <f t="shared" si="2"/>
        <v>329939</v>
      </c>
      <c r="I20" s="123">
        <f t="shared" si="2"/>
        <v>404778</v>
      </c>
    </row>
    <row r="21" spans="2:9" ht="14.5" x14ac:dyDescent="0.35">
      <c r="B21" s="28" t="s">
        <v>56</v>
      </c>
      <c r="C21" s="30">
        <v>27894</v>
      </c>
      <c r="D21" s="30">
        <v>68771</v>
      </c>
      <c r="E21" s="30">
        <v>68072</v>
      </c>
      <c r="F21" s="30">
        <v>14018</v>
      </c>
      <c r="G21" s="30">
        <v>61738</v>
      </c>
      <c r="H21" s="30">
        <v>31947</v>
      </c>
      <c r="I21" s="166">
        <v>25024</v>
      </c>
    </row>
    <row r="22" spans="2:9" ht="14.5" x14ac:dyDescent="0.35">
      <c r="B22" s="106" t="s">
        <v>57</v>
      </c>
      <c r="C22" s="136">
        <f t="shared" ref="C22:I22" si="3">C20-C21</f>
        <v>270579</v>
      </c>
      <c r="D22" s="136">
        <f t="shared" si="3"/>
        <v>191382</v>
      </c>
      <c r="E22" s="136">
        <f t="shared" si="3"/>
        <v>233863</v>
      </c>
      <c r="F22" s="136">
        <f t="shared" si="3"/>
        <v>100010</v>
      </c>
      <c r="G22" s="136">
        <f t="shared" si="3"/>
        <v>242812</v>
      </c>
      <c r="H22" s="136">
        <f t="shared" si="3"/>
        <v>297992</v>
      </c>
      <c r="I22" s="123">
        <f t="shared" si="3"/>
        <v>379754</v>
      </c>
    </row>
    <row r="23" spans="2:9" ht="23" x14ac:dyDescent="0.35">
      <c r="B23" s="29" t="s">
        <v>58</v>
      </c>
      <c r="C23" s="30">
        <v>-31220</v>
      </c>
      <c r="D23" s="30">
        <v>-29468</v>
      </c>
      <c r="E23" s="30">
        <v>-21827</v>
      </c>
      <c r="F23" s="30">
        <v>-29373</v>
      </c>
      <c r="G23" s="30">
        <v>-32985</v>
      </c>
      <c r="H23" s="30">
        <v>-9114</v>
      </c>
      <c r="I23" s="166">
        <v>-9780</v>
      </c>
    </row>
    <row r="24" spans="2:9" ht="14.5" x14ac:dyDescent="0.35">
      <c r="B24" s="106" t="s">
        <v>59</v>
      </c>
      <c r="C24" s="136">
        <f t="shared" ref="C24:I24" si="4">C22+C23</f>
        <v>239359</v>
      </c>
      <c r="D24" s="136">
        <f t="shared" si="4"/>
        <v>161914</v>
      </c>
      <c r="E24" s="136">
        <f t="shared" si="4"/>
        <v>212036</v>
      </c>
      <c r="F24" s="136">
        <f t="shared" si="4"/>
        <v>70637</v>
      </c>
      <c r="G24" s="136">
        <f t="shared" si="4"/>
        <v>209827</v>
      </c>
      <c r="H24" s="136">
        <f t="shared" si="4"/>
        <v>288878</v>
      </c>
      <c r="I24" s="123">
        <f t="shared" si="4"/>
        <v>369974</v>
      </c>
    </row>
    <row r="25" spans="2:9" ht="14.5" x14ac:dyDescent="0.35">
      <c r="C25" s="7"/>
      <c r="D25" s="7"/>
      <c r="E25" s="7"/>
      <c r="F25" s="7"/>
      <c r="G25" s="7"/>
      <c r="H25" s="7"/>
      <c r="I25" s="7"/>
    </row>
    <row r="26" spans="2:9" ht="14.5" x14ac:dyDescent="0.35">
      <c r="C26" s="7"/>
      <c r="D26" s="7"/>
      <c r="E26" s="7"/>
      <c r="F26" s="10"/>
      <c r="G26" s="10"/>
      <c r="H26" s="10"/>
      <c r="I26" s="10"/>
    </row>
    <row r="27" spans="2:9" ht="14.5" x14ac:dyDescent="0.35">
      <c r="C27" s="7"/>
      <c r="D27" s="7"/>
      <c r="E27" s="7"/>
      <c r="F27" s="10"/>
      <c r="G27" s="10"/>
      <c r="H27" s="10"/>
      <c r="I27" s="10"/>
    </row>
    <row r="28" spans="2:9" ht="14.5" x14ac:dyDescent="0.35">
      <c r="C28" s="7"/>
      <c r="D28" s="7"/>
      <c r="E28" s="7"/>
      <c r="F28" s="10"/>
      <c r="G28" s="10"/>
      <c r="H28" s="10"/>
      <c r="I28" s="10"/>
    </row>
    <row r="29" spans="2:9" ht="14.5" x14ac:dyDescent="0.35">
      <c r="C29" s="7"/>
      <c r="D29" s="7"/>
      <c r="E29" s="7"/>
      <c r="F29" s="10"/>
      <c r="G29" s="10"/>
      <c r="H29" s="10"/>
      <c r="I29" s="10"/>
    </row>
    <row r="30" spans="2:9" ht="14.5" x14ac:dyDescent="0.35">
      <c r="C30" s="7"/>
      <c r="D30" s="7"/>
      <c r="E30" s="7"/>
      <c r="F30" s="10"/>
      <c r="G30" s="10"/>
      <c r="H30" s="10"/>
      <c r="I30" s="10"/>
    </row>
    <row r="31" spans="2:9" ht="14.5" x14ac:dyDescent="0.35">
      <c r="C31" s="7"/>
      <c r="D31" s="7"/>
      <c r="E31" s="7"/>
      <c r="F31" s="10"/>
      <c r="G31" s="10"/>
      <c r="H31" s="10"/>
      <c r="I31" s="10"/>
    </row>
    <row r="32" spans="2:9" ht="14.5" x14ac:dyDescent="0.35">
      <c r="C32" s="7"/>
      <c r="D32" s="7"/>
      <c r="E32" s="7"/>
      <c r="F32" s="10"/>
      <c r="G32" s="10"/>
      <c r="H32" s="10"/>
      <c r="I32" s="10"/>
    </row>
    <row r="33" spans="2:25" ht="14.5" x14ac:dyDescent="0.35">
      <c r="C33" s="7"/>
      <c r="D33" s="7"/>
      <c r="E33" s="7"/>
      <c r="F33" s="10"/>
      <c r="G33" s="10"/>
      <c r="H33" s="10"/>
      <c r="I33" s="10"/>
    </row>
    <row r="34" spans="2:25" s="2" customFormat="1" ht="14.5" x14ac:dyDescent="0.35">
      <c r="B34" s="5"/>
      <c r="C34" s="7"/>
      <c r="D34" s="7"/>
      <c r="E34" s="7"/>
      <c r="F34" s="10"/>
      <c r="G34" s="10"/>
      <c r="H34" s="10"/>
      <c r="I34" s="10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2:25" s="2" customFormat="1" ht="14.5" x14ac:dyDescent="0.35">
      <c r="B35" s="5"/>
      <c r="C35" s="7"/>
      <c r="D35" s="7"/>
      <c r="E35" s="7"/>
      <c r="F35" s="10"/>
      <c r="G35" s="10"/>
      <c r="H35" s="10"/>
      <c r="I35" s="10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2:25" s="2" customFormat="1" ht="14.5" x14ac:dyDescent="0.35">
      <c r="B36" s="5"/>
      <c r="C36" s="7"/>
      <c r="D36" s="7"/>
      <c r="E36" s="7"/>
      <c r="F36" s="10"/>
      <c r="G36" s="10"/>
      <c r="H36" s="10"/>
      <c r="I36" s="10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2:25" s="2" customFormat="1" ht="14.5" x14ac:dyDescent="0.35">
      <c r="B37" s="5"/>
      <c r="C37" s="7"/>
      <c r="D37" s="7"/>
      <c r="E37" s="7"/>
      <c r="F37" s="10"/>
      <c r="G37" s="10"/>
      <c r="H37" s="10"/>
      <c r="I37" s="10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2:25" s="2" customFormat="1" ht="14.5" x14ac:dyDescent="0.35">
      <c r="B38" s="5"/>
      <c r="C38" s="7"/>
      <c r="D38" s="7"/>
      <c r="E38" s="7"/>
      <c r="F38" s="10"/>
      <c r="G38" s="10"/>
      <c r="H38" s="10"/>
      <c r="I38" s="10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2:25" s="2" customFormat="1" ht="14.5" x14ac:dyDescent="0.35">
      <c r="B39" s="5"/>
      <c r="C39" s="7"/>
      <c r="D39" s="7"/>
      <c r="E39" s="7"/>
      <c r="F39" s="10"/>
      <c r="G39" s="10"/>
      <c r="H39" s="10"/>
      <c r="I39" s="10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2:25" s="2" customFormat="1" ht="14.5" x14ac:dyDescent="0.35">
      <c r="B40" s="5"/>
      <c r="C40" s="7"/>
      <c r="D40" s="7"/>
      <c r="E40" s="7"/>
      <c r="F40" s="10"/>
      <c r="G40" s="10"/>
      <c r="H40" s="10"/>
      <c r="I40" s="10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2:25" s="2" customFormat="1" ht="14.5" x14ac:dyDescent="0.35">
      <c r="B41" s="5"/>
      <c r="C41" s="7"/>
      <c r="D41" s="7"/>
      <c r="E41" s="7"/>
      <c r="F41" s="10"/>
      <c r="G41" s="10"/>
      <c r="H41" s="10"/>
      <c r="I41" s="10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2:25" s="2" customFormat="1" ht="14.5" x14ac:dyDescent="0.35">
      <c r="B42" s="5"/>
      <c r="C42" s="7"/>
      <c r="D42" s="7"/>
      <c r="E42" s="7"/>
      <c r="F42" s="10"/>
      <c r="G42" s="10"/>
      <c r="H42" s="10"/>
      <c r="I42" s="10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2:25" s="2" customFormat="1" ht="14.5" x14ac:dyDescent="0.35">
      <c r="B43" s="5"/>
      <c r="C43" s="7"/>
      <c r="D43" s="7"/>
      <c r="E43" s="7"/>
      <c r="F43" s="10"/>
      <c r="G43" s="10"/>
      <c r="H43" s="10"/>
      <c r="I43" s="10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2:25" s="2" customFormat="1" ht="14.5" x14ac:dyDescent="0.35">
      <c r="B44" s="5"/>
      <c r="C44" s="7"/>
      <c r="D44" s="7"/>
      <c r="E44" s="7"/>
      <c r="F44" s="10"/>
      <c r="G44" s="10"/>
      <c r="H44" s="10"/>
      <c r="I44" s="10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2:25" s="2" customFormat="1" ht="14.5" x14ac:dyDescent="0.35">
      <c r="B45" s="5"/>
      <c r="C45" s="7"/>
      <c r="D45" s="7"/>
      <c r="E45" s="7"/>
      <c r="F45" s="10"/>
      <c r="G45" s="10"/>
      <c r="H45" s="10"/>
      <c r="I45" s="10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2:25" s="2" customFormat="1" ht="14.5" x14ac:dyDescent="0.35">
      <c r="B46" s="5"/>
      <c r="C46" s="7"/>
      <c r="D46" s="7"/>
      <c r="E46" s="7"/>
      <c r="F46" s="10"/>
      <c r="G46" s="10"/>
      <c r="H46" s="10"/>
      <c r="I46" s="10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2:25" s="2" customFormat="1" ht="14.5" x14ac:dyDescent="0.35">
      <c r="B47" s="5"/>
      <c r="C47" s="7"/>
      <c r="D47" s="7"/>
      <c r="E47" s="7"/>
      <c r="F47" s="10"/>
      <c r="G47" s="10"/>
      <c r="H47" s="10"/>
      <c r="I47" s="10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2:25" s="2" customFormat="1" ht="14.5" x14ac:dyDescent="0.35">
      <c r="B48" s="5"/>
      <c r="C48" s="7"/>
      <c r="D48" s="7"/>
      <c r="E48" s="7"/>
      <c r="F48" s="10"/>
      <c r="G48" s="10"/>
      <c r="H48" s="10"/>
      <c r="I48" s="10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2:25" s="2" customFormat="1" ht="14.5" x14ac:dyDescent="0.35">
      <c r="B49" s="5"/>
      <c r="C49" s="7"/>
      <c r="D49" s="7"/>
      <c r="E49" s="7"/>
      <c r="F49" s="10"/>
      <c r="G49" s="10"/>
      <c r="H49" s="10"/>
      <c r="I49" s="10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2:25" s="2" customFormat="1" ht="14.5" x14ac:dyDescent="0.35">
      <c r="B50" s="5"/>
      <c r="C50" s="7"/>
      <c r="D50" s="7"/>
      <c r="E50" s="7"/>
      <c r="F50" s="10"/>
      <c r="G50" s="10"/>
      <c r="H50" s="10"/>
      <c r="I50" s="10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2:25" s="2" customFormat="1" ht="14.5" x14ac:dyDescent="0.35">
      <c r="B51" s="5"/>
      <c r="C51" s="7"/>
      <c r="D51" s="7"/>
      <c r="E51" s="7"/>
      <c r="F51" s="10"/>
      <c r="G51" s="10"/>
      <c r="H51" s="10"/>
      <c r="I51" s="10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2:25" s="2" customFormat="1" ht="14.5" x14ac:dyDescent="0.35">
      <c r="B52" s="5"/>
      <c r="C52" s="7"/>
      <c r="D52" s="7"/>
      <c r="E52" s="7"/>
      <c r="F52" s="10"/>
      <c r="G52" s="10"/>
      <c r="H52" s="10"/>
      <c r="I52" s="10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2:25" s="2" customFormat="1" ht="14.5" x14ac:dyDescent="0.35">
      <c r="B53" s="5"/>
      <c r="C53" s="7"/>
      <c r="D53" s="7"/>
      <c r="E53" s="7"/>
      <c r="F53" s="10"/>
      <c r="G53" s="10"/>
      <c r="H53" s="10"/>
      <c r="I53" s="10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2:25" s="2" customFormat="1" ht="14.5" x14ac:dyDescent="0.35">
      <c r="B54" s="5"/>
      <c r="C54" s="7"/>
      <c r="D54" s="7"/>
      <c r="E54" s="7"/>
      <c r="F54" s="10"/>
      <c r="G54" s="10"/>
      <c r="H54" s="10"/>
      <c r="I54" s="10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2:25" s="2" customFormat="1" ht="14.5" x14ac:dyDescent="0.35">
      <c r="B55" s="5"/>
      <c r="C55" s="7"/>
      <c r="D55" s="7"/>
      <c r="E55" s="7"/>
      <c r="F55" s="10"/>
      <c r="G55" s="10"/>
      <c r="H55" s="10"/>
      <c r="I55" s="10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2:25" s="2" customFormat="1" ht="14.5" x14ac:dyDescent="0.35">
      <c r="B56" s="5"/>
      <c r="C56" s="7"/>
      <c r="D56" s="7"/>
      <c r="E56" s="7"/>
      <c r="F56" s="10"/>
      <c r="G56" s="10"/>
      <c r="H56" s="10"/>
      <c r="I56" s="10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2:25" s="2" customFormat="1" ht="14.5" x14ac:dyDescent="0.35">
      <c r="B57" s="5"/>
      <c r="C57" s="7"/>
      <c r="D57" s="7"/>
      <c r="E57" s="7"/>
      <c r="F57" s="10"/>
      <c r="G57" s="10"/>
      <c r="H57" s="10"/>
      <c r="I57" s="10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2:25" s="2" customFormat="1" ht="14.5" x14ac:dyDescent="0.35">
      <c r="B58" s="5"/>
      <c r="C58" s="7"/>
      <c r="D58" s="7"/>
      <c r="E58" s="7"/>
      <c r="F58" s="10"/>
      <c r="G58" s="10"/>
      <c r="H58" s="10"/>
      <c r="I58" s="10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2:25" s="2" customFormat="1" ht="14.5" x14ac:dyDescent="0.35">
      <c r="B59" s="5"/>
      <c r="C59" s="7"/>
      <c r="D59" s="7"/>
      <c r="E59" s="7"/>
      <c r="F59" s="10"/>
      <c r="G59" s="10"/>
      <c r="H59" s="10"/>
      <c r="I59" s="10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2:25" s="2" customFormat="1" ht="14.5" x14ac:dyDescent="0.35">
      <c r="B60" s="5"/>
      <c r="C60" s="7"/>
      <c r="D60" s="7"/>
      <c r="E60" s="7"/>
      <c r="F60" s="10"/>
      <c r="G60" s="10"/>
      <c r="H60" s="10"/>
      <c r="I60" s="10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2:25" s="2" customFormat="1" ht="14.5" x14ac:dyDescent="0.35">
      <c r="B61" s="5"/>
      <c r="C61" s="7"/>
      <c r="D61" s="7"/>
      <c r="E61" s="7"/>
      <c r="F61" s="10"/>
      <c r="G61" s="10"/>
      <c r="H61" s="10"/>
      <c r="I61" s="10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2:25" s="2" customFormat="1" ht="14.5" x14ac:dyDescent="0.35">
      <c r="B62" s="5"/>
      <c r="C62" s="7"/>
      <c r="D62" s="7"/>
      <c r="E62" s="7"/>
      <c r="F62" s="10"/>
      <c r="G62" s="10"/>
      <c r="H62" s="10"/>
      <c r="I62" s="10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2:25" s="2" customFormat="1" ht="14.5" x14ac:dyDescent="0.35">
      <c r="B63" s="5"/>
      <c r="C63" s="7"/>
      <c r="D63" s="7"/>
      <c r="E63" s="7"/>
      <c r="F63" s="10"/>
      <c r="G63" s="10"/>
      <c r="H63" s="10"/>
      <c r="I63" s="10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2:25" s="2" customFormat="1" ht="14.5" x14ac:dyDescent="0.35">
      <c r="B64" s="5"/>
      <c r="C64" s="7"/>
      <c r="D64" s="7"/>
      <c r="E64" s="7"/>
      <c r="F64" s="10"/>
      <c r="G64" s="10"/>
      <c r="H64" s="10"/>
      <c r="I64" s="10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2:25" s="2" customFormat="1" ht="14.5" x14ac:dyDescent="0.35">
      <c r="B65" s="5"/>
      <c r="C65" s="7"/>
      <c r="D65" s="7"/>
      <c r="E65" s="7"/>
      <c r="F65" s="10"/>
      <c r="G65" s="10"/>
      <c r="H65" s="10"/>
      <c r="I65" s="10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2:25" s="2" customFormat="1" ht="14.5" x14ac:dyDescent="0.35">
      <c r="B66" s="5"/>
      <c r="C66" s="7"/>
      <c r="D66" s="7"/>
      <c r="E66" s="7"/>
      <c r="F66" s="10"/>
      <c r="G66" s="10"/>
      <c r="H66" s="10"/>
      <c r="I66" s="10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2:25" s="2" customFormat="1" ht="14.5" x14ac:dyDescent="0.35">
      <c r="B67" s="5"/>
      <c r="C67" s="7"/>
      <c r="D67" s="7"/>
      <c r="E67" s="7"/>
      <c r="F67" s="10"/>
      <c r="G67" s="10"/>
      <c r="H67" s="10"/>
      <c r="I67" s="10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2:25" s="2" customFormat="1" ht="14.5" x14ac:dyDescent="0.35">
      <c r="B68" s="5"/>
      <c r="C68" s="7"/>
      <c r="D68" s="7"/>
      <c r="E68" s="7"/>
      <c r="F68" s="10"/>
      <c r="G68" s="10"/>
      <c r="H68" s="10"/>
      <c r="I68" s="10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2:25" s="2" customFormat="1" ht="14.5" x14ac:dyDescent="0.35">
      <c r="B69" s="5"/>
      <c r="C69" s="7"/>
      <c r="D69" s="7"/>
      <c r="E69" s="7"/>
      <c r="F69" s="10"/>
      <c r="G69" s="10"/>
      <c r="H69" s="10"/>
      <c r="I69" s="10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2:25" s="2" customFormat="1" ht="14.5" x14ac:dyDescent="0.35">
      <c r="B70" s="5"/>
      <c r="C70" s="7"/>
      <c r="D70" s="7"/>
      <c r="E70" s="7"/>
      <c r="F70" s="10"/>
      <c r="G70" s="10"/>
      <c r="H70" s="10"/>
      <c r="I70" s="10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2:25" s="2" customFormat="1" ht="14.5" x14ac:dyDescent="0.35">
      <c r="B71" s="5"/>
      <c r="C71" s="7"/>
      <c r="D71" s="7"/>
      <c r="E71" s="7"/>
      <c r="F71" s="10"/>
      <c r="G71" s="10"/>
      <c r="H71" s="10"/>
      <c r="I71" s="10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2:25" s="2" customFormat="1" ht="14.5" x14ac:dyDescent="0.35">
      <c r="B72" s="5"/>
      <c r="C72" s="7"/>
      <c r="D72" s="7"/>
      <c r="E72" s="7"/>
      <c r="F72" s="10"/>
      <c r="G72" s="10"/>
      <c r="H72" s="10"/>
      <c r="I72" s="10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2:25" s="2" customFormat="1" ht="14.5" x14ac:dyDescent="0.35">
      <c r="B73" s="5"/>
      <c r="C73" s="7"/>
      <c r="D73" s="7"/>
      <c r="E73" s="7"/>
      <c r="F73" s="10"/>
      <c r="G73" s="10"/>
      <c r="H73" s="10"/>
      <c r="I73" s="10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2:25" s="2" customFormat="1" ht="14.5" x14ac:dyDescent="0.35">
      <c r="B74" s="5"/>
      <c r="C74" s="7"/>
      <c r="D74" s="7"/>
      <c r="E74" s="7"/>
      <c r="F74" s="10"/>
      <c r="G74" s="10"/>
      <c r="H74" s="10"/>
      <c r="I74" s="10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2:25" s="2" customFormat="1" ht="14.5" x14ac:dyDescent="0.35">
      <c r="B75" s="5"/>
      <c r="C75" s="7"/>
      <c r="D75" s="7"/>
      <c r="E75" s="7"/>
      <c r="F75" s="10"/>
      <c r="G75" s="10"/>
      <c r="H75" s="10"/>
      <c r="I75" s="10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2:25" s="2" customFormat="1" ht="14.5" x14ac:dyDescent="0.35">
      <c r="B76" s="5"/>
      <c r="C76" s="7"/>
      <c r="D76" s="7"/>
      <c r="E76" s="7"/>
      <c r="F76" s="10"/>
      <c r="G76" s="10"/>
      <c r="H76" s="10"/>
      <c r="I76" s="10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2:25" s="2" customFormat="1" ht="14.5" x14ac:dyDescent="0.35">
      <c r="B77" s="5"/>
      <c r="C77" s="7"/>
      <c r="D77" s="7"/>
      <c r="E77" s="7"/>
      <c r="F77" s="10"/>
      <c r="G77" s="10"/>
      <c r="H77" s="10"/>
      <c r="I77" s="10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2:25" s="2" customFormat="1" ht="14.5" x14ac:dyDescent="0.35">
      <c r="B78" s="5"/>
      <c r="C78" s="7"/>
      <c r="D78" s="7"/>
      <c r="E78" s="7"/>
      <c r="F78" s="10"/>
      <c r="G78" s="10"/>
      <c r="H78" s="10"/>
      <c r="I78" s="10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2:25" s="2" customFormat="1" ht="14.5" x14ac:dyDescent="0.35">
      <c r="B79" s="5"/>
      <c r="C79" s="7"/>
      <c r="D79" s="7"/>
      <c r="E79" s="7"/>
      <c r="F79" s="10"/>
      <c r="G79" s="10"/>
      <c r="H79" s="10"/>
      <c r="I79" s="10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2:25" s="2" customFormat="1" ht="14.5" x14ac:dyDescent="0.35">
      <c r="B80" s="5"/>
      <c r="C80" s="7"/>
      <c r="D80" s="7"/>
      <c r="E80" s="7"/>
      <c r="F80" s="10"/>
      <c r="G80" s="10"/>
      <c r="H80" s="10"/>
      <c r="I80" s="10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2:25" s="2" customFormat="1" ht="14.5" x14ac:dyDescent="0.35">
      <c r="B81" s="5"/>
      <c r="C81" s="7"/>
      <c r="D81" s="7"/>
      <c r="E81" s="7"/>
      <c r="F81" s="10"/>
      <c r="G81" s="10"/>
      <c r="H81" s="10"/>
      <c r="I81" s="10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2:25" s="2" customFormat="1" ht="14.5" x14ac:dyDescent="0.35">
      <c r="B82" s="5"/>
      <c r="C82" s="7"/>
      <c r="D82" s="7"/>
      <c r="E82" s="7"/>
      <c r="F82" s="10"/>
      <c r="G82" s="10"/>
      <c r="H82" s="10"/>
      <c r="I82" s="10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2:25" s="2" customFormat="1" ht="14.5" x14ac:dyDescent="0.35">
      <c r="B83" s="5"/>
      <c r="C83" s="5"/>
      <c r="D83" s="5"/>
      <c r="E83" s="5"/>
      <c r="F83" s="10"/>
      <c r="G83" s="10"/>
      <c r="H83" s="10"/>
      <c r="I83" s="10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2:25" s="2" customFormat="1" ht="14.5" x14ac:dyDescent="0.3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8B0D4-48AA-4B91-8A01-200B09D7643D}">
  <sheetPr>
    <tabColor theme="0" tint="-0.499984740745262"/>
  </sheetPr>
  <dimension ref="B2:L140"/>
  <sheetViews>
    <sheetView showGridLines="0" zoomScale="120" zoomScaleNormal="120" workbookViewId="0">
      <selection activeCell="D5" sqref="D5"/>
    </sheetView>
  </sheetViews>
  <sheetFormatPr defaultColWidth="11.453125" defaultRowHeight="14.5" x14ac:dyDescent="0.35"/>
  <cols>
    <col min="1" max="1" width="2.26953125" customWidth="1"/>
    <col min="2" max="2" width="45.54296875" customWidth="1"/>
    <col min="3" max="3" width="11.26953125" customWidth="1"/>
    <col min="4" max="4" width="10.81640625" customWidth="1"/>
    <col min="5" max="9" width="9.81640625" customWidth="1"/>
  </cols>
  <sheetData>
    <row r="2" spans="2:9" ht="17.5" x14ac:dyDescent="0.35">
      <c r="B2" s="105" t="s">
        <v>60</v>
      </c>
    </row>
    <row r="3" spans="2:9" x14ac:dyDescent="0.35">
      <c r="B3" s="3"/>
    </row>
    <row r="4" spans="2:9" ht="34.5" x14ac:dyDescent="0.35">
      <c r="B4" s="130" t="s">
        <v>1</v>
      </c>
      <c r="C4" s="131" t="s">
        <v>2</v>
      </c>
      <c r="D4" s="131" t="s">
        <v>3</v>
      </c>
      <c r="E4" s="132">
        <v>2007</v>
      </c>
      <c r="F4" s="132">
        <v>2008</v>
      </c>
      <c r="G4" s="132">
        <v>2009</v>
      </c>
      <c r="H4" s="132">
        <v>2010</v>
      </c>
      <c r="I4" s="161">
        <v>2011</v>
      </c>
    </row>
    <row r="5" spans="2:9" x14ac:dyDescent="0.35">
      <c r="B5" s="38" t="s">
        <v>61</v>
      </c>
      <c r="C5" s="34"/>
      <c r="D5" s="34"/>
      <c r="E5" s="34"/>
      <c r="F5" s="34"/>
      <c r="G5" s="35"/>
      <c r="H5" s="35"/>
      <c r="I5" s="167"/>
    </row>
    <row r="6" spans="2:9" x14ac:dyDescent="0.35">
      <c r="B6" s="39" t="s">
        <v>62</v>
      </c>
      <c r="C6" s="13">
        <f>'Tabla A2. Formulado'!B22</f>
        <v>239359</v>
      </c>
      <c r="D6" s="13">
        <f>'Tabla A2. Formulado'!C22</f>
        <v>161914</v>
      </c>
      <c r="E6" s="13">
        <f>'Tabla A2. Formulado'!D22</f>
        <v>212036</v>
      </c>
      <c r="F6" s="13">
        <f>'Tabla A2. Formulado'!E22</f>
        <v>70637</v>
      </c>
      <c r="G6" s="13">
        <f>'Tabla A2. Formulado'!F22</f>
        <v>209827</v>
      </c>
      <c r="H6" s="13">
        <f>'Tabla A2. Formulado'!G22</f>
        <v>288878</v>
      </c>
      <c r="I6" s="14">
        <f>'Tabla A2. Formulado'!H22</f>
        <v>369974</v>
      </c>
    </row>
    <row r="7" spans="2:9" s="12" customFormat="1" ht="24" x14ac:dyDescent="0.35">
      <c r="B7" s="33" t="s">
        <v>63</v>
      </c>
      <c r="C7" s="36"/>
      <c r="D7" s="36"/>
      <c r="E7" s="36"/>
      <c r="F7" s="36"/>
      <c r="G7" s="36"/>
      <c r="H7" s="36"/>
      <c r="I7" s="37"/>
    </row>
    <row r="8" spans="2:9" x14ac:dyDescent="0.35">
      <c r="B8" s="39" t="s">
        <v>64</v>
      </c>
      <c r="C8" s="13">
        <v>136368</v>
      </c>
      <c r="D8" s="13">
        <v>294693</v>
      </c>
      <c r="E8" s="13">
        <v>262042</v>
      </c>
      <c r="F8" s="13">
        <v>272199</v>
      </c>
      <c r="G8" s="13">
        <v>264082</v>
      </c>
      <c r="H8" s="13">
        <v>249471</v>
      </c>
      <c r="I8" s="14">
        <v>269813</v>
      </c>
    </row>
    <row r="9" spans="2:9" x14ac:dyDescent="0.35">
      <c r="B9" s="39" t="s">
        <v>65</v>
      </c>
      <c r="C9" s="13">
        <v>13518</v>
      </c>
      <c r="D9" s="13">
        <v>33112</v>
      </c>
      <c r="E9" s="13">
        <v>92341</v>
      </c>
      <c r="F9" s="13">
        <v>65586</v>
      </c>
      <c r="G9" s="13">
        <v>86829</v>
      </c>
      <c r="H9" s="13">
        <v>71111</v>
      </c>
      <c r="I9" s="14">
        <v>138898</v>
      </c>
    </row>
    <row r="10" spans="2:9" x14ac:dyDescent="0.35">
      <c r="B10" s="39" t="s">
        <v>66</v>
      </c>
      <c r="C10" s="13"/>
      <c r="D10" s="13"/>
      <c r="E10" s="13">
        <v>0</v>
      </c>
      <c r="F10" s="13">
        <v>1642</v>
      </c>
      <c r="G10" s="13">
        <v>1642</v>
      </c>
      <c r="H10" s="13">
        <v>1642</v>
      </c>
      <c r="I10" s="14">
        <v>18625</v>
      </c>
    </row>
    <row r="11" spans="2:9" x14ac:dyDescent="0.35">
      <c r="B11" s="39" t="s">
        <v>67</v>
      </c>
      <c r="C11" s="13"/>
      <c r="D11" s="13">
        <v>-13144</v>
      </c>
      <c r="E11" s="13">
        <v>-26624</v>
      </c>
      <c r="F11" s="13">
        <v>-131189</v>
      </c>
      <c r="G11" s="13"/>
      <c r="H11" s="13">
        <v>-1885</v>
      </c>
      <c r="I11" s="14">
        <v>-8554</v>
      </c>
    </row>
    <row r="12" spans="2:9" x14ac:dyDescent="0.35">
      <c r="B12" s="39" t="s">
        <v>68</v>
      </c>
      <c r="C12" s="13"/>
      <c r="D12" s="13"/>
      <c r="E12" s="13"/>
      <c r="F12" s="13"/>
      <c r="G12" s="13">
        <v>65576</v>
      </c>
      <c r="H12" s="13"/>
      <c r="I12" s="14">
        <v>0</v>
      </c>
    </row>
    <row r="13" spans="2:9" x14ac:dyDescent="0.35">
      <c r="B13" s="39" t="s">
        <v>69</v>
      </c>
      <c r="C13" s="13">
        <v>15236</v>
      </c>
      <c r="D13" s="13"/>
      <c r="E13" s="13"/>
      <c r="F13" s="13"/>
      <c r="G13" s="13">
        <v>16058</v>
      </c>
      <c r="H13" s="13">
        <v>74237</v>
      </c>
      <c r="I13" s="14">
        <v>13803</v>
      </c>
    </row>
    <row r="14" spans="2:9" x14ac:dyDescent="0.35">
      <c r="B14" s="39" t="s">
        <v>70</v>
      </c>
      <c r="C14" s="13"/>
      <c r="D14" s="13">
        <v>-125914</v>
      </c>
      <c r="E14" s="13">
        <v>-109153</v>
      </c>
      <c r="F14" s="13">
        <v>-220473</v>
      </c>
      <c r="G14" s="13">
        <v>-481868</v>
      </c>
      <c r="H14" s="13">
        <v>-509220</v>
      </c>
      <c r="I14" s="14">
        <v>-641155</v>
      </c>
    </row>
    <row r="15" spans="2:9" x14ac:dyDescent="0.35">
      <c r="B15" s="39" t="s">
        <v>71</v>
      </c>
      <c r="C15" s="13"/>
      <c r="D15" s="13"/>
      <c r="E15" s="13"/>
      <c r="F15" s="13"/>
      <c r="G15" s="13"/>
      <c r="H15" s="13">
        <v>2620</v>
      </c>
      <c r="I15" s="14"/>
    </row>
    <row r="16" spans="2:9" x14ac:dyDescent="0.35">
      <c r="B16" s="39" t="s">
        <v>72</v>
      </c>
      <c r="C16" s="13"/>
      <c r="D16" s="13"/>
      <c r="E16" s="13"/>
      <c r="F16" s="13">
        <v>4108</v>
      </c>
      <c r="G16" s="13">
        <v>7757</v>
      </c>
      <c r="H16" s="13">
        <v>4165</v>
      </c>
      <c r="I16" s="14">
        <v>5243</v>
      </c>
    </row>
    <row r="17" spans="2:9" x14ac:dyDescent="0.35">
      <c r="B17" s="39" t="s">
        <v>73</v>
      </c>
      <c r="C17" s="13"/>
      <c r="D17" s="13"/>
      <c r="E17" s="13"/>
      <c r="F17" s="13">
        <v>2304</v>
      </c>
      <c r="G17" s="13">
        <v>5298</v>
      </c>
      <c r="H17" s="13">
        <v>7798</v>
      </c>
      <c r="I17" s="14">
        <v>2138</v>
      </c>
    </row>
    <row r="18" spans="2:9" ht="24" x14ac:dyDescent="0.35">
      <c r="B18" s="39" t="s">
        <v>74</v>
      </c>
      <c r="C18" s="13">
        <v>9749</v>
      </c>
      <c r="D18" s="13">
        <v>0</v>
      </c>
      <c r="E18" s="13">
        <v>-72008</v>
      </c>
      <c r="F18" s="13">
        <v>112164</v>
      </c>
      <c r="G18" s="13">
        <v>-64545</v>
      </c>
      <c r="H18" s="13">
        <v>2321</v>
      </c>
      <c r="I18" s="14">
        <v>53325</v>
      </c>
    </row>
    <row r="19" spans="2:9" x14ac:dyDescent="0.35">
      <c r="B19" s="39" t="s">
        <v>75</v>
      </c>
      <c r="C19" s="13">
        <v>31220</v>
      </c>
      <c r="D19" s="13">
        <v>29468</v>
      </c>
      <c r="E19" s="13">
        <v>21827</v>
      </c>
      <c r="F19" s="13">
        <v>29373</v>
      </c>
      <c r="G19" s="13">
        <v>32985</v>
      </c>
      <c r="H19" s="13">
        <v>9114</v>
      </c>
      <c r="I19" s="14">
        <v>9780</v>
      </c>
    </row>
    <row r="20" spans="2:9" x14ac:dyDescent="0.35">
      <c r="B20" s="39" t="s">
        <v>76</v>
      </c>
      <c r="C20" s="13"/>
      <c r="D20" s="13"/>
      <c r="E20" s="13"/>
      <c r="F20" s="13">
        <v>17268</v>
      </c>
      <c r="G20" s="13">
        <v>5389</v>
      </c>
      <c r="H20" s="13">
        <v>4697</v>
      </c>
      <c r="I20" s="14">
        <v>26795</v>
      </c>
    </row>
    <row r="21" spans="2:9" x14ac:dyDescent="0.35">
      <c r="B21" s="39" t="s">
        <v>77</v>
      </c>
      <c r="C21" s="13"/>
      <c r="D21" s="13"/>
      <c r="E21" s="13"/>
      <c r="F21" s="13">
        <v>-15315</v>
      </c>
      <c r="G21" s="13">
        <v>-16644</v>
      </c>
      <c r="H21" s="13">
        <v>-8532</v>
      </c>
      <c r="I21" s="14">
        <v>-15851</v>
      </c>
    </row>
    <row r="22" spans="2:9" x14ac:dyDescent="0.35">
      <c r="B22" s="39" t="s">
        <v>46</v>
      </c>
      <c r="C22" s="13"/>
      <c r="D22" s="13"/>
      <c r="E22" s="13"/>
      <c r="F22" s="13">
        <v>74786</v>
      </c>
      <c r="G22" s="13">
        <v>81691</v>
      </c>
      <c r="H22" s="13">
        <v>88343</v>
      </c>
      <c r="I22" s="14">
        <v>74460</v>
      </c>
    </row>
    <row r="23" spans="2:9" x14ac:dyDescent="0.35">
      <c r="B23" s="39" t="s">
        <v>78</v>
      </c>
      <c r="C23" s="13">
        <v>0</v>
      </c>
      <c r="D23" s="13">
        <v>1536</v>
      </c>
      <c r="E23" s="13">
        <v>-10067</v>
      </c>
      <c r="F23" s="13">
        <v>22030</v>
      </c>
      <c r="G23" s="13"/>
      <c r="H23" s="13">
        <v>6295</v>
      </c>
      <c r="I23" s="14"/>
    </row>
    <row r="24" spans="2:9" x14ac:dyDescent="0.35">
      <c r="B24" s="39" t="s">
        <v>79</v>
      </c>
      <c r="C24" s="13">
        <v>-25106</v>
      </c>
      <c r="D24" s="13">
        <v>950</v>
      </c>
      <c r="E24" s="13"/>
      <c r="F24" s="13"/>
      <c r="G24" s="13"/>
      <c r="H24" s="13"/>
      <c r="I24" s="14"/>
    </row>
    <row r="25" spans="2:9" ht="24" x14ac:dyDescent="0.35">
      <c r="B25" s="39" t="s">
        <v>80</v>
      </c>
      <c r="C25" s="13"/>
      <c r="D25" s="13"/>
      <c r="E25" s="13">
        <v>30247</v>
      </c>
      <c r="F25" s="13">
        <v>-17279</v>
      </c>
      <c r="G25" s="13"/>
      <c r="H25" s="13"/>
      <c r="I25" s="14"/>
    </row>
    <row r="26" spans="2:9" x14ac:dyDescent="0.35">
      <c r="B26" s="39" t="s">
        <v>81</v>
      </c>
      <c r="C26" s="13">
        <v>21876</v>
      </c>
      <c r="D26" s="13">
        <v>-4957</v>
      </c>
      <c r="E26" s="13"/>
      <c r="F26" s="13"/>
      <c r="G26" s="13"/>
      <c r="H26" s="13"/>
      <c r="I26" s="14"/>
    </row>
    <row r="27" spans="2:9" x14ac:dyDescent="0.35">
      <c r="B27" s="39" t="s">
        <v>82</v>
      </c>
      <c r="C27" s="13">
        <v>23735</v>
      </c>
      <c r="D27" s="13">
        <v>19306</v>
      </c>
      <c r="E27" s="13"/>
      <c r="F27" s="13"/>
      <c r="G27" s="13"/>
      <c r="H27" s="13"/>
      <c r="I27" s="14"/>
    </row>
    <row r="28" spans="2:9" x14ac:dyDescent="0.35">
      <c r="B28" s="39" t="s">
        <v>83</v>
      </c>
      <c r="C28" s="13"/>
      <c r="D28" s="13">
        <v>3375</v>
      </c>
      <c r="E28" s="13"/>
      <c r="F28" s="13"/>
      <c r="G28" s="13"/>
      <c r="H28" s="13"/>
      <c r="I28" s="14"/>
    </row>
    <row r="29" spans="2:9" x14ac:dyDescent="0.35">
      <c r="B29" s="39" t="s">
        <v>84</v>
      </c>
      <c r="C29" s="13">
        <v>-361653</v>
      </c>
      <c r="D29" s="13"/>
      <c r="E29" s="13"/>
      <c r="F29" s="13"/>
      <c r="G29" s="13"/>
      <c r="H29" s="13"/>
      <c r="I29" s="14"/>
    </row>
    <row r="30" spans="2:9" x14ac:dyDescent="0.35">
      <c r="B30" s="39" t="s">
        <v>85</v>
      </c>
      <c r="C30" s="13"/>
      <c r="D30" s="13"/>
      <c r="E30" s="13"/>
      <c r="F30" s="13"/>
      <c r="G30" s="13"/>
      <c r="H30" s="13"/>
      <c r="I30" s="14">
        <v>96799</v>
      </c>
    </row>
    <row r="31" spans="2:9" x14ac:dyDescent="0.35">
      <c r="B31" s="133" t="s">
        <v>86</v>
      </c>
      <c r="C31" s="13">
        <f t="shared" ref="C31:I31" si="0">C6+SUM(C8:C30)</f>
        <v>104302</v>
      </c>
      <c r="D31" s="13">
        <f t="shared" si="0"/>
        <v>400339</v>
      </c>
      <c r="E31" s="13">
        <f t="shared" si="0"/>
        <v>400641</v>
      </c>
      <c r="F31" s="13">
        <f t="shared" si="0"/>
        <v>287841</v>
      </c>
      <c r="G31" s="13">
        <f t="shared" si="0"/>
        <v>214077</v>
      </c>
      <c r="H31" s="13">
        <f t="shared" si="0"/>
        <v>291055</v>
      </c>
      <c r="I31" s="14">
        <f t="shared" si="0"/>
        <v>414093</v>
      </c>
    </row>
    <row r="32" spans="2:9" x14ac:dyDescent="0.35">
      <c r="B32" s="39" t="s">
        <v>87</v>
      </c>
      <c r="C32" s="13"/>
      <c r="D32" s="13"/>
      <c r="E32" s="13"/>
      <c r="F32" s="13"/>
      <c r="G32" s="13"/>
      <c r="H32" s="13"/>
      <c r="I32" s="14"/>
    </row>
    <row r="33" spans="2:10" x14ac:dyDescent="0.35">
      <c r="B33" s="39" t="s">
        <v>88</v>
      </c>
      <c r="C33" s="13">
        <v>-303033</v>
      </c>
      <c r="D33" s="13">
        <v>69289</v>
      </c>
      <c r="E33" s="13">
        <v>-398443</v>
      </c>
      <c r="F33" s="13">
        <v>-41619</v>
      </c>
      <c r="G33" s="13">
        <v>232644</v>
      </c>
      <c r="H33" s="13">
        <v>88135</v>
      </c>
      <c r="I33" s="14">
        <v>-154371</v>
      </c>
    </row>
    <row r="34" spans="2:10" x14ac:dyDescent="0.35">
      <c r="B34" s="39" t="s">
        <v>20</v>
      </c>
      <c r="C34" s="13">
        <v>-127698</v>
      </c>
      <c r="D34" s="13">
        <v>-93612</v>
      </c>
      <c r="E34" s="13">
        <v>37986</v>
      </c>
      <c r="F34" s="13">
        <v>-49283</v>
      </c>
      <c r="G34" s="13">
        <v>35863</v>
      </c>
      <c r="H34" s="13">
        <v>24450</v>
      </c>
      <c r="I34" s="14">
        <v>-88114</v>
      </c>
    </row>
    <row r="35" spans="2:10" x14ac:dyDescent="0.35">
      <c r="B35" s="39" t="s">
        <v>10</v>
      </c>
      <c r="C35" s="13">
        <v>-80790</v>
      </c>
      <c r="D35" s="13">
        <v>20892</v>
      </c>
      <c r="E35" s="13">
        <v>29891</v>
      </c>
      <c r="F35" s="13">
        <v>-1338</v>
      </c>
      <c r="G35" s="13">
        <v>-6622</v>
      </c>
      <c r="H35" s="13">
        <v>15933</v>
      </c>
      <c r="I35" s="14">
        <v>-5913</v>
      </c>
    </row>
    <row r="36" spans="2:10" x14ac:dyDescent="0.35">
      <c r="B36" s="39" t="s">
        <v>28</v>
      </c>
      <c r="C36" s="13">
        <v>187541</v>
      </c>
      <c r="D36" s="13">
        <v>99215</v>
      </c>
      <c r="E36" s="13">
        <v>-20966</v>
      </c>
      <c r="F36" s="13">
        <v>350091</v>
      </c>
      <c r="G36" s="13">
        <v>-242429</v>
      </c>
      <c r="H36" s="13">
        <v>-105514</v>
      </c>
      <c r="I36" s="14">
        <v>117598</v>
      </c>
    </row>
    <row r="37" spans="2:10" x14ac:dyDescent="0.35">
      <c r="B37" s="39" t="s">
        <v>30</v>
      </c>
      <c r="C37" s="13">
        <v>158753</v>
      </c>
      <c r="D37" s="13">
        <v>12722</v>
      </c>
      <c r="E37" s="13">
        <v>22646</v>
      </c>
      <c r="F37" s="13">
        <v>-3714</v>
      </c>
      <c r="G37" s="13">
        <v>-340</v>
      </c>
      <c r="H37" s="13">
        <v>5366</v>
      </c>
      <c r="I37" s="14">
        <v>3632</v>
      </c>
    </row>
    <row r="38" spans="2:10" x14ac:dyDescent="0.35">
      <c r="B38" s="39" t="s">
        <v>29</v>
      </c>
      <c r="C38" s="13">
        <v>3927</v>
      </c>
      <c r="D38" s="13">
        <v>45126</v>
      </c>
      <c r="E38" s="13">
        <v>42518</v>
      </c>
      <c r="F38" s="13">
        <v>107886</v>
      </c>
      <c r="G38" s="13">
        <v>-32883</v>
      </c>
      <c r="H38" s="13">
        <v>-147780</v>
      </c>
      <c r="I38" s="14">
        <v>75054</v>
      </c>
    </row>
    <row r="39" spans="2:10" x14ac:dyDescent="0.35">
      <c r="B39" s="39" t="s">
        <v>31</v>
      </c>
      <c r="C39" s="13">
        <v>216513</v>
      </c>
      <c r="D39" s="13">
        <v>485448</v>
      </c>
      <c r="E39" s="13">
        <v>79087</v>
      </c>
      <c r="F39" s="13">
        <v>63273</v>
      </c>
      <c r="G39" s="13">
        <v>676</v>
      </c>
      <c r="H39" s="13">
        <v>11755</v>
      </c>
      <c r="I39" s="14">
        <v>72938</v>
      </c>
    </row>
    <row r="40" spans="2:10" x14ac:dyDescent="0.35">
      <c r="B40" s="39" t="s">
        <v>18</v>
      </c>
      <c r="C40" s="13"/>
      <c r="D40" s="13"/>
      <c r="E40" s="13">
        <v>7422</v>
      </c>
      <c r="F40" s="13">
        <v>-55566</v>
      </c>
      <c r="G40" s="13">
        <v>-4145</v>
      </c>
      <c r="H40" s="13"/>
      <c r="I40" s="14"/>
    </row>
    <row r="41" spans="2:10" x14ac:dyDescent="0.35">
      <c r="B41" s="39" t="s">
        <v>89</v>
      </c>
      <c r="C41" s="13"/>
      <c r="D41" s="13"/>
      <c r="E41" s="13">
        <v>-24709</v>
      </c>
      <c r="F41" s="13">
        <v>-98356</v>
      </c>
      <c r="G41" s="13">
        <v>-31986</v>
      </c>
      <c r="H41" s="13"/>
      <c r="I41" s="14">
        <v>-25193</v>
      </c>
    </row>
    <row r="42" spans="2:10" x14ac:dyDescent="0.35">
      <c r="B42" s="39" t="s">
        <v>90</v>
      </c>
      <c r="C42" s="13"/>
      <c r="D42" s="13"/>
      <c r="E42" s="13">
        <v>0</v>
      </c>
      <c r="F42" s="13">
        <v>-18919</v>
      </c>
      <c r="G42" s="13">
        <v>0</v>
      </c>
      <c r="H42" s="13"/>
      <c r="I42" s="14"/>
    </row>
    <row r="43" spans="2:10" x14ac:dyDescent="0.35">
      <c r="B43" s="39" t="s">
        <v>91</v>
      </c>
      <c r="C43" s="13"/>
      <c r="D43" s="13"/>
      <c r="E43" s="13"/>
      <c r="F43" s="13">
        <v>0</v>
      </c>
      <c r="G43" s="13">
        <v>17077</v>
      </c>
      <c r="H43" s="13"/>
      <c r="I43" s="14"/>
    </row>
    <row r="44" spans="2:10" ht="24" x14ac:dyDescent="0.35">
      <c r="B44" s="134" t="s">
        <v>92</v>
      </c>
      <c r="C44" s="135">
        <f t="shared" ref="C44:I44" si="1">C31+SUM(C33:C43)</f>
        <v>159515</v>
      </c>
      <c r="D44" s="135">
        <f t="shared" si="1"/>
        <v>1039419</v>
      </c>
      <c r="E44" s="135">
        <f t="shared" si="1"/>
        <v>176073</v>
      </c>
      <c r="F44" s="135">
        <f t="shared" si="1"/>
        <v>540296</v>
      </c>
      <c r="G44" s="135">
        <f t="shared" si="1"/>
        <v>181932</v>
      </c>
      <c r="H44" s="135">
        <f t="shared" si="1"/>
        <v>183400</v>
      </c>
      <c r="I44" s="127">
        <f t="shared" si="1"/>
        <v>409724</v>
      </c>
    </row>
    <row r="45" spans="2:10" ht="24" x14ac:dyDescent="0.35">
      <c r="B45" s="38" t="s">
        <v>93</v>
      </c>
      <c r="C45" s="34"/>
      <c r="D45" s="34"/>
      <c r="E45" s="34"/>
      <c r="F45" s="34"/>
      <c r="G45" s="34"/>
      <c r="H45" s="34"/>
      <c r="I45" s="168"/>
      <c r="J45" s="4"/>
    </row>
    <row r="46" spans="2:10" x14ac:dyDescent="0.35">
      <c r="B46" s="39" t="s">
        <v>94</v>
      </c>
      <c r="C46" s="13">
        <v>84428</v>
      </c>
      <c r="D46" s="13">
        <v>12280</v>
      </c>
      <c r="E46" s="13">
        <v>53670</v>
      </c>
      <c r="F46" s="13">
        <v>306587</v>
      </c>
      <c r="G46" s="13">
        <v>220176</v>
      </c>
      <c r="H46" s="13">
        <v>176872</v>
      </c>
      <c r="I46" s="14">
        <v>21056</v>
      </c>
    </row>
    <row r="47" spans="2:10" x14ac:dyDescent="0.35">
      <c r="B47" s="39" t="s">
        <v>95</v>
      </c>
      <c r="C47" s="13">
        <v>400648</v>
      </c>
      <c r="D47" s="13">
        <v>159295</v>
      </c>
      <c r="E47" s="13">
        <v>202406</v>
      </c>
      <c r="F47" s="13">
        <v>309394</v>
      </c>
      <c r="G47" s="13">
        <v>1066465</v>
      </c>
      <c r="H47" s="13">
        <v>547856</v>
      </c>
      <c r="I47" s="14">
        <v>715280</v>
      </c>
    </row>
    <row r="48" spans="2:10" x14ac:dyDescent="0.35">
      <c r="B48" s="39" t="s">
        <v>96</v>
      </c>
      <c r="C48" s="13">
        <v>-17760</v>
      </c>
      <c r="D48" s="13">
        <v>-61806</v>
      </c>
      <c r="E48" s="13"/>
      <c r="F48" s="13">
        <v>-118902</v>
      </c>
      <c r="G48" s="13">
        <v>-490834</v>
      </c>
      <c r="H48" s="13">
        <v>-3333</v>
      </c>
      <c r="I48" s="14">
        <v>0</v>
      </c>
    </row>
    <row r="49" spans="2:9" x14ac:dyDescent="0.35">
      <c r="B49" s="39" t="s">
        <v>97</v>
      </c>
      <c r="C49" s="13">
        <v>-192689</v>
      </c>
      <c r="D49" s="13">
        <v>-339143</v>
      </c>
      <c r="E49" s="13">
        <v>-235556</v>
      </c>
      <c r="F49" s="13">
        <v>-939212</v>
      </c>
      <c r="G49" s="13">
        <v>-505568</v>
      </c>
      <c r="H49" s="13">
        <v>-491977</v>
      </c>
      <c r="I49" s="14">
        <v>-253530</v>
      </c>
    </row>
    <row r="50" spans="2:9" x14ac:dyDescent="0.35">
      <c r="B50" s="39" t="s">
        <v>98</v>
      </c>
      <c r="C50" s="13">
        <v>-125705</v>
      </c>
      <c r="D50" s="13">
        <v>-1184489</v>
      </c>
      <c r="E50" s="13">
        <v>-120471</v>
      </c>
      <c r="F50" s="13">
        <v>-409072</v>
      </c>
      <c r="G50" s="13">
        <v>-78183</v>
      </c>
      <c r="H50" s="13"/>
      <c r="I50" s="14">
        <v>-159046</v>
      </c>
    </row>
    <row r="51" spans="2:9" x14ac:dyDescent="0.35">
      <c r="B51" s="39" t="s">
        <v>99</v>
      </c>
      <c r="C51" s="13">
        <v>-394823</v>
      </c>
      <c r="D51" s="13"/>
      <c r="E51" s="13"/>
      <c r="F51" s="13"/>
      <c r="G51" s="13"/>
      <c r="H51" s="13"/>
      <c r="I51" s="14">
        <v>17386</v>
      </c>
    </row>
    <row r="52" spans="2:9" ht="24" x14ac:dyDescent="0.35">
      <c r="B52" s="39" t="s">
        <v>100</v>
      </c>
      <c r="C52" s="13">
        <v>-74000</v>
      </c>
      <c r="D52" s="13"/>
      <c r="E52" s="13"/>
      <c r="F52" s="13"/>
      <c r="G52" s="13"/>
      <c r="H52" s="13"/>
      <c r="I52" s="14">
        <v>-1349042</v>
      </c>
    </row>
    <row r="53" spans="2:9" x14ac:dyDescent="0.35">
      <c r="B53" s="39" t="s">
        <v>101</v>
      </c>
      <c r="C53" s="13">
        <v>-678575</v>
      </c>
      <c r="D53" s="13">
        <v>-946497</v>
      </c>
      <c r="E53" s="13">
        <v>-14033</v>
      </c>
      <c r="F53" s="13"/>
      <c r="G53" s="13"/>
      <c r="H53" s="13"/>
      <c r="I53" s="14"/>
    </row>
    <row r="54" spans="2:9" ht="24" x14ac:dyDescent="0.35">
      <c r="B54" s="39" t="s">
        <v>102</v>
      </c>
      <c r="C54" s="13"/>
      <c r="D54" s="13">
        <v>-16108</v>
      </c>
      <c r="E54" s="13">
        <v>-85037</v>
      </c>
      <c r="F54" s="13">
        <v>163597</v>
      </c>
      <c r="G54" s="13">
        <v>-184138</v>
      </c>
      <c r="H54" s="13"/>
      <c r="I54" s="14"/>
    </row>
    <row r="55" spans="2:9" x14ac:dyDescent="0.35">
      <c r="B55" s="39" t="s">
        <v>103</v>
      </c>
      <c r="C55" s="13"/>
      <c r="D55" s="13"/>
      <c r="E55" s="13"/>
      <c r="F55" s="13"/>
      <c r="G55" s="13"/>
      <c r="H55" s="13">
        <v>-92475</v>
      </c>
      <c r="I55" s="14"/>
    </row>
    <row r="56" spans="2:9" ht="24" x14ac:dyDescent="0.35">
      <c r="B56" s="39" t="s">
        <v>104</v>
      </c>
      <c r="C56" s="13"/>
      <c r="D56" s="13"/>
      <c r="E56" s="13"/>
      <c r="F56" s="13"/>
      <c r="G56" s="13"/>
      <c r="H56" s="13">
        <v>-47029</v>
      </c>
      <c r="I56" s="14"/>
    </row>
    <row r="57" spans="2:9" x14ac:dyDescent="0.35">
      <c r="B57" s="39" t="s">
        <v>105</v>
      </c>
      <c r="C57" s="13">
        <v>-105582</v>
      </c>
      <c r="D57" s="13"/>
      <c r="E57" s="13"/>
      <c r="F57" s="13"/>
      <c r="G57" s="13"/>
      <c r="H57" s="13"/>
      <c r="I57" s="14"/>
    </row>
    <row r="58" spans="2:9" x14ac:dyDescent="0.35">
      <c r="B58" s="39" t="s">
        <v>106</v>
      </c>
      <c r="C58" s="13">
        <v>-82420</v>
      </c>
      <c r="D58" s="13"/>
      <c r="E58" s="13"/>
      <c r="F58" s="13"/>
      <c r="G58" s="13"/>
      <c r="H58" s="13"/>
      <c r="I58" s="14"/>
    </row>
    <row r="59" spans="2:9" x14ac:dyDescent="0.35">
      <c r="B59" s="39" t="s">
        <v>107</v>
      </c>
      <c r="C59" s="13"/>
      <c r="D59" s="13"/>
      <c r="E59" s="13"/>
      <c r="F59" s="13"/>
      <c r="G59" s="13"/>
      <c r="H59" s="13"/>
      <c r="I59" s="14">
        <v>-33474</v>
      </c>
    </row>
    <row r="60" spans="2:9" ht="24" x14ac:dyDescent="0.35">
      <c r="B60" s="134" t="s">
        <v>108</v>
      </c>
      <c r="C60" s="135">
        <f t="shared" ref="C60:I60" si="2">SUM(C46:C59)</f>
        <v>-1186478</v>
      </c>
      <c r="D60" s="135">
        <f t="shared" si="2"/>
        <v>-2376468</v>
      </c>
      <c r="E60" s="135">
        <f t="shared" si="2"/>
        <v>-199021</v>
      </c>
      <c r="F60" s="135">
        <f t="shared" si="2"/>
        <v>-687608</v>
      </c>
      <c r="G60" s="135">
        <f t="shared" si="2"/>
        <v>27918</v>
      </c>
      <c r="H60" s="135">
        <f t="shared" si="2"/>
        <v>89914</v>
      </c>
      <c r="I60" s="127">
        <f t="shared" si="2"/>
        <v>-1041370</v>
      </c>
    </row>
    <row r="61" spans="2:9" ht="24" x14ac:dyDescent="0.35">
      <c r="B61" s="38" t="s">
        <v>109</v>
      </c>
      <c r="C61" s="34"/>
      <c r="D61" s="34"/>
      <c r="E61" s="34"/>
      <c r="F61" s="34"/>
      <c r="G61" s="34"/>
      <c r="H61" s="34"/>
      <c r="I61" s="168"/>
    </row>
    <row r="62" spans="2:9" x14ac:dyDescent="0.35">
      <c r="B62" s="39" t="s">
        <v>110</v>
      </c>
      <c r="C62" s="13">
        <v>-250835</v>
      </c>
      <c r="D62" s="13">
        <v>-117041</v>
      </c>
      <c r="E62" s="13">
        <v>-117470</v>
      </c>
      <c r="F62" s="13">
        <v>-128987</v>
      </c>
      <c r="G62" s="13">
        <v>-139352</v>
      </c>
      <c r="H62" s="13">
        <v>-145111</v>
      </c>
      <c r="I62" s="14">
        <v>-152021</v>
      </c>
    </row>
    <row r="63" spans="2:9" x14ac:dyDescent="0.35">
      <c r="B63" s="39" t="s">
        <v>111</v>
      </c>
      <c r="C63" s="13"/>
      <c r="D63" s="13">
        <v>264650</v>
      </c>
      <c r="E63" s="13">
        <v>133580</v>
      </c>
      <c r="F63" s="13">
        <v>50000</v>
      </c>
      <c r="G63" s="13">
        <v>640000</v>
      </c>
      <c r="H63" s="13"/>
      <c r="I63" s="14"/>
    </row>
    <row r="64" spans="2:9" x14ac:dyDescent="0.35">
      <c r="B64" s="39" t="s">
        <v>112</v>
      </c>
      <c r="C64" s="13">
        <v>844193</v>
      </c>
      <c r="D64" s="13">
        <v>855305</v>
      </c>
      <c r="E64" s="13">
        <v>74250</v>
      </c>
      <c r="F64" s="13">
        <v>968914</v>
      </c>
      <c r="G64" s="13">
        <v>-866367</v>
      </c>
      <c r="H64" s="13">
        <v>-331866</v>
      </c>
      <c r="I64" s="14">
        <v>553148</v>
      </c>
    </row>
    <row r="65" spans="2:9" x14ac:dyDescent="0.35">
      <c r="B65" s="39" t="s">
        <v>113</v>
      </c>
      <c r="C65" s="13"/>
      <c r="D65" s="13"/>
      <c r="E65" s="13">
        <v>-32014</v>
      </c>
      <c r="F65" s="13">
        <v>-42294</v>
      </c>
      <c r="G65" s="13">
        <v>-28557</v>
      </c>
      <c r="H65" s="13">
        <v>-44410</v>
      </c>
      <c r="I65" s="14">
        <v>-25410</v>
      </c>
    </row>
    <row r="66" spans="2:9" x14ac:dyDescent="0.35">
      <c r="B66" s="39" t="s">
        <v>114</v>
      </c>
      <c r="C66" s="13"/>
      <c r="D66" s="13"/>
      <c r="E66" s="13">
        <v>-25692</v>
      </c>
      <c r="F66" s="13">
        <v>-19870</v>
      </c>
      <c r="G66" s="13">
        <v>-19870</v>
      </c>
      <c r="H66" s="13">
        <v>-19870</v>
      </c>
      <c r="I66" s="14">
        <v>-127347</v>
      </c>
    </row>
    <row r="67" spans="2:9" x14ac:dyDescent="0.35">
      <c r="B67" s="39" t="s">
        <v>115</v>
      </c>
      <c r="C67" s="13">
        <v>-260265</v>
      </c>
      <c r="D67" s="13">
        <v>154613</v>
      </c>
      <c r="E67" s="13">
        <v>-35337</v>
      </c>
      <c r="F67" s="13">
        <v>17220</v>
      </c>
      <c r="G67" s="13">
        <v>-136232</v>
      </c>
      <c r="H67" s="13">
        <v>1344</v>
      </c>
      <c r="I67" s="14"/>
    </row>
    <row r="68" spans="2:9" x14ac:dyDescent="0.35">
      <c r="B68" s="39" t="s">
        <v>116</v>
      </c>
      <c r="C68" s="13"/>
      <c r="D68" s="13">
        <v>-122</v>
      </c>
      <c r="E68" s="13"/>
      <c r="F68" s="13"/>
      <c r="G68" s="13"/>
      <c r="H68" s="13"/>
      <c r="I68" s="14"/>
    </row>
    <row r="69" spans="2:9" x14ac:dyDescent="0.35">
      <c r="B69" s="39" t="s">
        <v>117</v>
      </c>
      <c r="C69" s="13">
        <v>1056706</v>
      </c>
      <c r="D69" s="13"/>
      <c r="E69" s="13"/>
      <c r="F69" s="13"/>
      <c r="G69" s="13"/>
      <c r="H69" s="13"/>
      <c r="I69" s="14"/>
    </row>
    <row r="70" spans="2:9" x14ac:dyDescent="0.35">
      <c r="B70" s="39" t="s">
        <v>118</v>
      </c>
      <c r="C70" s="13"/>
      <c r="D70" s="13"/>
      <c r="E70" s="13"/>
      <c r="F70" s="13"/>
      <c r="G70" s="13"/>
      <c r="H70" s="13">
        <v>114946</v>
      </c>
      <c r="I70" s="14"/>
    </row>
    <row r="71" spans="2:9" x14ac:dyDescent="0.35">
      <c r="B71" s="39" t="s">
        <v>119</v>
      </c>
      <c r="C71" s="13"/>
      <c r="D71" s="13"/>
      <c r="E71" s="13"/>
      <c r="F71" s="13"/>
      <c r="G71" s="13"/>
      <c r="H71" s="13">
        <v>32676</v>
      </c>
      <c r="I71" s="14"/>
    </row>
    <row r="72" spans="2:9" x14ac:dyDescent="0.35">
      <c r="B72" s="39" t="s">
        <v>120</v>
      </c>
      <c r="C72" s="13"/>
      <c r="D72" s="13"/>
      <c r="E72" s="13"/>
      <c r="F72" s="13"/>
      <c r="G72" s="13"/>
      <c r="H72" s="13"/>
      <c r="I72" s="14">
        <v>63481</v>
      </c>
    </row>
    <row r="73" spans="2:9" ht="24" x14ac:dyDescent="0.35">
      <c r="B73" s="39" t="s">
        <v>121</v>
      </c>
      <c r="C73" s="13"/>
      <c r="D73" s="13"/>
      <c r="E73" s="13"/>
      <c r="F73" s="13"/>
      <c r="G73" s="13"/>
      <c r="H73" s="13"/>
      <c r="I73" s="14">
        <v>192733</v>
      </c>
    </row>
    <row r="74" spans="2:9" x14ac:dyDescent="0.35">
      <c r="B74" s="39" t="s">
        <v>122</v>
      </c>
      <c r="C74" s="13"/>
      <c r="D74" s="13"/>
      <c r="E74" s="13"/>
      <c r="F74" s="13"/>
      <c r="G74" s="13">
        <v>0</v>
      </c>
      <c r="H74" s="13">
        <v>-50000</v>
      </c>
      <c r="I74" s="14">
        <v>-50970</v>
      </c>
    </row>
    <row r="75" spans="2:9" ht="24" x14ac:dyDescent="0.35">
      <c r="B75" s="134" t="s">
        <v>123</v>
      </c>
      <c r="C75" s="135">
        <f t="shared" ref="C75:I75" si="3">SUM(C62:C74)</f>
        <v>1389799</v>
      </c>
      <c r="D75" s="135">
        <f t="shared" si="3"/>
        <v>1157405</v>
      </c>
      <c r="E75" s="135">
        <f t="shared" si="3"/>
        <v>-2683</v>
      </c>
      <c r="F75" s="135">
        <f t="shared" si="3"/>
        <v>844983</v>
      </c>
      <c r="G75" s="135">
        <f t="shared" si="3"/>
        <v>-550378</v>
      </c>
      <c r="H75" s="135">
        <f t="shared" si="3"/>
        <v>-442291</v>
      </c>
      <c r="I75" s="127">
        <f t="shared" si="3"/>
        <v>453614</v>
      </c>
    </row>
    <row r="76" spans="2:9" x14ac:dyDescent="0.35">
      <c r="B76" s="38" t="s">
        <v>124</v>
      </c>
      <c r="C76" s="34">
        <f t="shared" ref="C76:I76" si="4">C44+C60+C75</f>
        <v>362836</v>
      </c>
      <c r="D76" s="34">
        <f t="shared" si="4"/>
        <v>-179644</v>
      </c>
      <c r="E76" s="34">
        <f t="shared" si="4"/>
        <v>-25631</v>
      </c>
      <c r="F76" s="34">
        <f t="shared" si="4"/>
        <v>697671</v>
      </c>
      <c r="G76" s="34">
        <f t="shared" si="4"/>
        <v>-340528</v>
      </c>
      <c r="H76" s="34">
        <f t="shared" si="4"/>
        <v>-168977</v>
      </c>
      <c r="I76" s="168">
        <f t="shared" si="4"/>
        <v>-178032</v>
      </c>
    </row>
    <row r="77" spans="2:9" x14ac:dyDescent="0.35">
      <c r="B77" s="39" t="s">
        <v>125</v>
      </c>
      <c r="C77" s="13"/>
      <c r="D77" s="13"/>
      <c r="E77" s="13"/>
      <c r="F77" s="13"/>
      <c r="G77" s="13"/>
      <c r="H77" s="13"/>
      <c r="I77" s="14">
        <v>-7163</v>
      </c>
    </row>
    <row r="78" spans="2:9" ht="24" x14ac:dyDescent="0.35">
      <c r="B78" s="39" t="s">
        <v>126</v>
      </c>
      <c r="C78" s="13">
        <v>142547</v>
      </c>
      <c r="D78" s="13">
        <v>511616</v>
      </c>
      <c r="E78" s="13">
        <v>313595</v>
      </c>
      <c r="F78" s="13">
        <v>287964</v>
      </c>
      <c r="G78" s="13">
        <v>985635</v>
      </c>
      <c r="H78" s="13">
        <v>645107</v>
      </c>
      <c r="I78" s="14">
        <v>476130</v>
      </c>
    </row>
    <row r="79" spans="2:9" ht="24" x14ac:dyDescent="0.35">
      <c r="B79" s="134" t="s">
        <v>127</v>
      </c>
      <c r="C79" s="135">
        <f t="shared" ref="C79:I79" si="5">C78+SUM(C76:C77)</f>
        <v>505383</v>
      </c>
      <c r="D79" s="135">
        <f t="shared" si="5"/>
        <v>331972</v>
      </c>
      <c r="E79" s="135">
        <f t="shared" si="5"/>
        <v>287964</v>
      </c>
      <c r="F79" s="135">
        <f t="shared" si="5"/>
        <v>985635</v>
      </c>
      <c r="G79" s="135">
        <f t="shared" si="5"/>
        <v>645107</v>
      </c>
      <c r="H79" s="135">
        <f t="shared" si="5"/>
        <v>476130</v>
      </c>
      <c r="I79" s="127">
        <f t="shared" si="5"/>
        <v>290935</v>
      </c>
    </row>
    <row r="80" spans="2:9" x14ac:dyDescent="0.35">
      <c r="C80" s="32" t="s">
        <v>128</v>
      </c>
      <c r="D80" s="32" t="s">
        <v>128</v>
      </c>
      <c r="E80" s="1"/>
      <c r="F80" s="1"/>
      <c r="G80" s="1"/>
      <c r="H80" s="1"/>
      <c r="I80" s="1"/>
    </row>
    <row r="81" spans="2:12" x14ac:dyDescent="0.35">
      <c r="C81" s="31"/>
      <c r="D81" s="31"/>
      <c r="E81" s="1"/>
      <c r="F81" s="1"/>
      <c r="G81" s="1"/>
      <c r="H81" s="1"/>
      <c r="I81" s="1"/>
    </row>
    <row r="82" spans="2:12" x14ac:dyDescent="0.35">
      <c r="C82" s="1"/>
      <c r="D82" s="1"/>
      <c r="E82" s="1"/>
      <c r="F82" s="1"/>
      <c r="G82" s="1"/>
      <c r="H82" s="1"/>
      <c r="I82" s="1"/>
    </row>
    <row r="83" spans="2:12" s="11" customFormat="1" x14ac:dyDescent="0.35">
      <c r="B83"/>
      <c r="C83" s="1"/>
      <c r="D83" s="1"/>
      <c r="E83" s="1"/>
      <c r="F83" s="1"/>
      <c r="G83" s="1"/>
      <c r="H83" s="1"/>
      <c r="I83" s="1"/>
      <c r="J83"/>
      <c r="K83"/>
      <c r="L83"/>
    </row>
    <row r="84" spans="2:12" s="11" customFormat="1" x14ac:dyDescent="0.35">
      <c r="B84"/>
      <c r="C84" s="1"/>
      <c r="D84" s="1"/>
      <c r="E84" s="1"/>
      <c r="F84" s="1"/>
      <c r="G84" s="1"/>
      <c r="H84" s="1"/>
      <c r="I84" s="1"/>
      <c r="J84"/>
      <c r="K84"/>
      <c r="L84"/>
    </row>
    <row r="85" spans="2:12" s="11" customFormat="1" x14ac:dyDescent="0.35">
      <c r="B85"/>
      <c r="C85" s="1"/>
      <c r="D85" s="1"/>
      <c r="E85" s="1"/>
      <c r="F85" s="1"/>
      <c r="G85" s="1"/>
      <c r="H85" s="1"/>
      <c r="I85" s="1"/>
      <c r="J85"/>
      <c r="K85"/>
      <c r="L85"/>
    </row>
    <row r="86" spans="2:12" s="11" customFormat="1" x14ac:dyDescent="0.35">
      <c r="B86"/>
      <c r="C86" s="1"/>
      <c r="D86" s="1"/>
      <c r="E86" s="1"/>
      <c r="F86" s="1"/>
      <c r="G86" s="1"/>
      <c r="H86" s="1"/>
      <c r="I86" s="1"/>
      <c r="J86"/>
      <c r="K86"/>
      <c r="L86"/>
    </row>
    <row r="87" spans="2:12" s="11" customFormat="1" x14ac:dyDescent="0.35">
      <c r="B87"/>
      <c r="C87" s="1"/>
      <c r="D87" s="1"/>
      <c r="E87" s="1"/>
      <c r="F87" s="1"/>
      <c r="G87" s="1"/>
      <c r="H87" s="1"/>
      <c r="I87" s="1"/>
      <c r="J87"/>
      <c r="K87"/>
      <c r="L87"/>
    </row>
    <row r="88" spans="2:12" s="11" customFormat="1" x14ac:dyDescent="0.35">
      <c r="B88"/>
      <c r="C88" s="1"/>
      <c r="D88" s="1"/>
      <c r="E88" s="1"/>
      <c r="F88" s="1"/>
      <c r="G88" s="1"/>
      <c r="H88" s="1"/>
      <c r="I88" s="1"/>
      <c r="J88"/>
      <c r="K88"/>
      <c r="L88"/>
    </row>
    <row r="89" spans="2:12" s="11" customFormat="1" x14ac:dyDescent="0.35">
      <c r="B89"/>
      <c r="C89" s="1"/>
      <c r="D89" s="1"/>
      <c r="E89" s="1"/>
      <c r="F89" s="1"/>
      <c r="G89" s="1"/>
      <c r="H89" s="1"/>
      <c r="I89" s="1"/>
      <c r="J89"/>
      <c r="K89"/>
      <c r="L89"/>
    </row>
    <row r="90" spans="2:12" s="11" customFormat="1" x14ac:dyDescent="0.35">
      <c r="B90"/>
      <c r="C90" s="1"/>
      <c r="D90" s="1"/>
      <c r="E90" s="1"/>
      <c r="F90" s="1"/>
      <c r="G90" s="1"/>
      <c r="H90" s="1"/>
      <c r="I90" s="1"/>
      <c r="J90"/>
      <c r="K90"/>
      <c r="L90"/>
    </row>
    <row r="91" spans="2:12" s="11" customFormat="1" x14ac:dyDescent="0.35">
      <c r="B91"/>
      <c r="C91" s="1"/>
      <c r="D91" s="1"/>
      <c r="E91" s="1"/>
      <c r="F91" s="1"/>
      <c r="G91" s="1"/>
      <c r="H91" s="1"/>
      <c r="I91" s="1"/>
      <c r="J91"/>
      <c r="K91"/>
      <c r="L91"/>
    </row>
    <row r="92" spans="2:12" s="11" customFormat="1" x14ac:dyDescent="0.35">
      <c r="B92"/>
      <c r="C92" s="1"/>
      <c r="D92" s="1"/>
      <c r="E92" s="1"/>
      <c r="F92" s="1"/>
      <c r="G92" s="1"/>
      <c r="H92" s="1"/>
      <c r="I92" s="1"/>
      <c r="J92"/>
      <c r="K92"/>
      <c r="L92"/>
    </row>
    <row r="93" spans="2:12" s="11" customFormat="1" x14ac:dyDescent="0.35">
      <c r="B93"/>
      <c r="C93" s="1"/>
      <c r="D93" s="1"/>
      <c r="E93" s="1"/>
      <c r="F93" s="1"/>
      <c r="G93" s="1"/>
      <c r="H93" s="1"/>
      <c r="I93" s="1"/>
      <c r="J93"/>
      <c r="K93"/>
      <c r="L93"/>
    </row>
    <row r="94" spans="2:12" s="11" customFormat="1" x14ac:dyDescent="0.35">
      <c r="B94"/>
      <c r="C94" s="1"/>
      <c r="D94" s="1"/>
      <c r="E94" s="1"/>
      <c r="F94" s="1"/>
      <c r="G94" s="1"/>
      <c r="H94" s="1"/>
      <c r="I94" s="1"/>
      <c r="J94"/>
      <c r="K94"/>
      <c r="L94"/>
    </row>
    <row r="95" spans="2:12" s="11" customFormat="1" x14ac:dyDescent="0.35">
      <c r="B95"/>
      <c r="C95" s="1"/>
      <c r="D95" s="1"/>
      <c r="E95" s="1"/>
      <c r="F95" s="1"/>
      <c r="G95" s="1"/>
      <c r="H95" s="1"/>
      <c r="I95" s="1"/>
      <c r="J95"/>
      <c r="K95"/>
      <c r="L95"/>
    </row>
    <row r="96" spans="2:12" s="11" customFormat="1" x14ac:dyDescent="0.35">
      <c r="B96"/>
      <c r="C96" s="1"/>
      <c r="D96" s="1"/>
      <c r="E96" s="1"/>
      <c r="F96" s="1"/>
      <c r="G96" s="1"/>
      <c r="H96" s="1"/>
      <c r="I96" s="1"/>
      <c r="J96"/>
      <c r="K96"/>
      <c r="L96"/>
    </row>
    <row r="97" spans="2:12" s="11" customFormat="1" x14ac:dyDescent="0.35">
      <c r="B97"/>
      <c r="C97" s="1"/>
      <c r="D97" s="1"/>
      <c r="E97" s="1"/>
      <c r="F97" s="1"/>
      <c r="G97" s="1"/>
      <c r="H97" s="1"/>
      <c r="I97" s="1"/>
      <c r="J97"/>
      <c r="K97"/>
      <c r="L97"/>
    </row>
    <row r="98" spans="2:12" s="11" customFormat="1" x14ac:dyDescent="0.35">
      <c r="B98"/>
      <c r="C98" s="1"/>
      <c r="D98" s="1"/>
      <c r="E98" s="1"/>
      <c r="F98" s="1"/>
      <c r="G98" s="1"/>
      <c r="H98" s="1"/>
      <c r="I98" s="1"/>
      <c r="J98"/>
      <c r="K98"/>
      <c r="L98"/>
    </row>
    <row r="99" spans="2:12" s="11" customFormat="1" x14ac:dyDescent="0.35">
      <c r="B99"/>
      <c r="C99" s="1"/>
      <c r="D99" s="1"/>
      <c r="E99" s="1"/>
      <c r="F99" s="1"/>
      <c r="G99" s="1"/>
      <c r="H99" s="1"/>
      <c r="I99" s="1"/>
      <c r="J99"/>
      <c r="K99"/>
      <c r="L99"/>
    </row>
    <row r="100" spans="2:12" s="11" customFormat="1" x14ac:dyDescent="0.35">
      <c r="B100"/>
      <c r="C100" s="1"/>
      <c r="D100" s="1"/>
      <c r="E100" s="1"/>
      <c r="F100" s="1"/>
      <c r="G100" s="1"/>
      <c r="H100" s="1"/>
      <c r="I100" s="1"/>
      <c r="J100"/>
      <c r="K100"/>
      <c r="L100"/>
    </row>
    <row r="101" spans="2:12" s="11" customFormat="1" x14ac:dyDescent="0.35">
      <c r="B101"/>
      <c r="C101" s="1"/>
      <c r="D101" s="1"/>
      <c r="E101" s="1"/>
      <c r="F101" s="1"/>
      <c r="G101" s="1"/>
      <c r="H101" s="1"/>
      <c r="I101" s="1"/>
      <c r="J101"/>
      <c r="K101"/>
      <c r="L101"/>
    </row>
    <row r="102" spans="2:12" s="11" customFormat="1" x14ac:dyDescent="0.35">
      <c r="B102"/>
      <c r="C102" s="1"/>
      <c r="D102" s="1"/>
      <c r="E102" s="1"/>
      <c r="F102" s="1"/>
      <c r="G102" s="1"/>
      <c r="H102" s="1"/>
      <c r="I102" s="1"/>
      <c r="J102"/>
      <c r="K102"/>
      <c r="L102"/>
    </row>
    <row r="103" spans="2:12" s="11" customFormat="1" x14ac:dyDescent="0.35">
      <c r="B103"/>
      <c r="C103" s="1"/>
      <c r="D103" s="1"/>
      <c r="E103" s="1"/>
      <c r="F103" s="1"/>
      <c r="G103" s="1"/>
      <c r="H103" s="1"/>
      <c r="I103" s="1"/>
      <c r="J103"/>
      <c r="K103"/>
      <c r="L103"/>
    </row>
    <row r="104" spans="2:12" s="11" customFormat="1" x14ac:dyDescent="0.35">
      <c r="B104"/>
      <c r="C104" s="1"/>
      <c r="D104" s="1"/>
      <c r="E104" s="1"/>
      <c r="F104" s="1"/>
      <c r="G104" s="1"/>
      <c r="H104" s="1"/>
      <c r="I104" s="1"/>
      <c r="J104"/>
      <c r="K104"/>
      <c r="L104"/>
    </row>
    <row r="105" spans="2:12" s="11" customFormat="1" x14ac:dyDescent="0.35">
      <c r="B105"/>
      <c r="C105" s="1"/>
      <c r="D105" s="1"/>
      <c r="E105" s="1"/>
      <c r="F105" s="1"/>
      <c r="G105" s="1"/>
      <c r="H105" s="1"/>
      <c r="I105" s="1"/>
      <c r="J105"/>
      <c r="K105"/>
      <c r="L105"/>
    </row>
    <row r="106" spans="2:12" s="11" customFormat="1" x14ac:dyDescent="0.35">
      <c r="B106"/>
      <c r="C106" s="1"/>
      <c r="D106" s="1"/>
      <c r="E106" s="1"/>
      <c r="F106" s="1"/>
      <c r="G106" s="1"/>
      <c r="H106" s="1"/>
      <c r="I106" s="1"/>
      <c r="J106"/>
      <c r="K106"/>
      <c r="L106"/>
    </row>
    <row r="107" spans="2:12" s="11" customFormat="1" x14ac:dyDescent="0.35">
      <c r="B107"/>
      <c r="C107" s="1"/>
      <c r="D107" s="1"/>
      <c r="E107" s="1"/>
      <c r="F107" s="1"/>
      <c r="G107" s="1"/>
      <c r="H107" s="1"/>
      <c r="I107" s="1"/>
      <c r="J107"/>
      <c r="K107"/>
      <c r="L107"/>
    </row>
    <row r="108" spans="2:12" s="11" customFormat="1" x14ac:dyDescent="0.35">
      <c r="B108"/>
      <c r="C108" s="1"/>
      <c r="D108" s="1"/>
      <c r="E108" s="1"/>
      <c r="F108" s="1"/>
      <c r="G108" s="1"/>
      <c r="H108" s="1"/>
      <c r="I108" s="1"/>
      <c r="J108"/>
      <c r="K108"/>
      <c r="L108"/>
    </row>
    <row r="109" spans="2:12" s="11" customFormat="1" x14ac:dyDescent="0.35">
      <c r="B109"/>
      <c r="C109" s="1"/>
      <c r="D109" s="1"/>
      <c r="E109" s="1"/>
      <c r="F109" s="1"/>
      <c r="G109" s="1"/>
      <c r="H109" s="1"/>
      <c r="I109" s="1"/>
      <c r="J109"/>
      <c r="K109"/>
      <c r="L109"/>
    </row>
    <row r="110" spans="2:12" s="11" customFormat="1" x14ac:dyDescent="0.35">
      <c r="B110"/>
      <c r="C110" s="1"/>
      <c r="D110" s="1"/>
      <c r="E110" s="1"/>
      <c r="F110" s="1"/>
      <c r="G110" s="1"/>
      <c r="H110" s="1"/>
      <c r="I110" s="1"/>
      <c r="J110"/>
      <c r="K110"/>
      <c r="L110"/>
    </row>
    <row r="111" spans="2:12" s="11" customFormat="1" x14ac:dyDescent="0.35">
      <c r="B111"/>
      <c r="C111" s="1"/>
      <c r="D111" s="1"/>
      <c r="E111" s="1"/>
      <c r="F111" s="1"/>
      <c r="G111" s="1"/>
      <c r="H111" s="1"/>
      <c r="I111" s="1"/>
      <c r="J111"/>
      <c r="K111"/>
      <c r="L111"/>
    </row>
    <row r="112" spans="2:12" s="11" customFormat="1" x14ac:dyDescent="0.35">
      <c r="B112"/>
      <c r="C112" s="1"/>
      <c r="D112" s="1"/>
      <c r="E112" s="1"/>
      <c r="F112" s="1"/>
      <c r="G112" s="1"/>
      <c r="H112" s="1"/>
      <c r="I112" s="1"/>
      <c r="J112"/>
      <c r="K112"/>
      <c r="L112"/>
    </row>
    <row r="113" spans="2:12" s="11" customFormat="1" x14ac:dyDescent="0.35">
      <c r="B113"/>
      <c r="C113" s="1"/>
      <c r="D113" s="1"/>
      <c r="E113" s="1"/>
      <c r="F113" s="1"/>
      <c r="G113" s="1"/>
      <c r="H113" s="1"/>
      <c r="I113" s="1"/>
      <c r="J113"/>
      <c r="K113"/>
      <c r="L113"/>
    </row>
    <row r="114" spans="2:12" s="11" customFormat="1" x14ac:dyDescent="0.35">
      <c r="B114"/>
      <c r="C114" s="1"/>
      <c r="D114" s="1"/>
      <c r="E114" s="1"/>
      <c r="F114" s="1"/>
      <c r="G114" s="1"/>
      <c r="H114" s="1"/>
      <c r="I114" s="1"/>
      <c r="J114"/>
      <c r="K114"/>
      <c r="L114"/>
    </row>
    <row r="115" spans="2:12" s="11" customFormat="1" x14ac:dyDescent="0.35">
      <c r="B115"/>
      <c r="C115" s="1"/>
      <c r="D115" s="1"/>
      <c r="E115" s="1"/>
      <c r="F115" s="1"/>
      <c r="G115" s="1"/>
      <c r="H115" s="1"/>
      <c r="I115" s="1"/>
      <c r="J115"/>
      <c r="K115"/>
      <c r="L115"/>
    </row>
    <row r="116" spans="2:12" s="11" customFormat="1" x14ac:dyDescent="0.35">
      <c r="B116"/>
      <c r="C116" s="1"/>
      <c r="D116" s="1"/>
      <c r="E116" s="1"/>
      <c r="F116" s="1"/>
      <c r="G116" s="1"/>
      <c r="H116" s="1"/>
      <c r="I116" s="1"/>
      <c r="J116"/>
      <c r="K116"/>
      <c r="L116"/>
    </row>
    <row r="117" spans="2:12" s="11" customFormat="1" x14ac:dyDescent="0.35">
      <c r="B117"/>
      <c r="C117" s="1"/>
      <c r="D117" s="1"/>
      <c r="E117" s="1"/>
      <c r="F117" s="1"/>
      <c r="G117" s="1"/>
      <c r="H117" s="1"/>
      <c r="I117" s="1"/>
      <c r="J117"/>
      <c r="K117"/>
      <c r="L117"/>
    </row>
    <row r="118" spans="2:12" s="11" customFormat="1" x14ac:dyDescent="0.35">
      <c r="B118"/>
      <c r="C118" s="1"/>
      <c r="D118" s="1"/>
      <c r="E118" s="1"/>
      <c r="F118" s="1"/>
      <c r="G118" s="1"/>
      <c r="H118" s="1"/>
      <c r="I118" s="1"/>
      <c r="J118"/>
      <c r="K118"/>
      <c r="L118"/>
    </row>
    <row r="119" spans="2:12" s="11" customFormat="1" x14ac:dyDescent="0.35">
      <c r="B119"/>
      <c r="C119" s="1"/>
      <c r="D119" s="1"/>
      <c r="E119" s="1"/>
      <c r="F119" s="1"/>
      <c r="G119" s="1"/>
      <c r="H119" s="1"/>
      <c r="I119" s="1"/>
      <c r="J119"/>
      <c r="K119"/>
      <c r="L119"/>
    </row>
    <row r="120" spans="2:12" s="11" customFormat="1" x14ac:dyDescent="0.35">
      <c r="B120"/>
      <c r="C120" s="1"/>
      <c r="D120" s="1"/>
      <c r="E120" s="1"/>
      <c r="F120" s="1"/>
      <c r="G120" s="1"/>
      <c r="H120" s="1"/>
      <c r="I120" s="1"/>
      <c r="J120"/>
      <c r="K120"/>
      <c r="L120"/>
    </row>
    <row r="121" spans="2:12" s="11" customFormat="1" x14ac:dyDescent="0.35">
      <c r="B121"/>
      <c r="C121" s="1"/>
      <c r="D121" s="1"/>
      <c r="E121" s="1"/>
      <c r="F121" s="1"/>
      <c r="G121" s="1"/>
      <c r="H121" s="1"/>
      <c r="I121" s="1"/>
      <c r="J121"/>
      <c r="K121"/>
      <c r="L121"/>
    </row>
    <row r="122" spans="2:12" s="11" customFormat="1" x14ac:dyDescent="0.35">
      <c r="B122"/>
      <c r="C122" s="1"/>
      <c r="D122" s="1"/>
      <c r="E122" s="1"/>
      <c r="F122" s="1"/>
      <c r="G122" s="1"/>
      <c r="H122" s="1"/>
      <c r="I122" s="1"/>
      <c r="J122"/>
      <c r="K122"/>
      <c r="L122"/>
    </row>
    <row r="123" spans="2:12" s="11" customFormat="1" x14ac:dyDescent="0.35">
      <c r="B123"/>
      <c r="C123" s="1"/>
      <c r="D123" s="1"/>
      <c r="E123" s="1"/>
      <c r="F123" s="1"/>
      <c r="G123" s="1"/>
      <c r="H123" s="1"/>
      <c r="I123" s="1"/>
      <c r="J123"/>
      <c r="K123"/>
      <c r="L123"/>
    </row>
    <row r="124" spans="2:12" s="11" customFormat="1" x14ac:dyDescent="0.35">
      <c r="B124"/>
      <c r="C124" s="1"/>
      <c r="D124" s="1"/>
      <c r="E124" s="1"/>
      <c r="F124" s="1"/>
      <c r="G124" s="1"/>
      <c r="H124" s="1"/>
      <c r="I124" s="1"/>
      <c r="J124"/>
      <c r="K124"/>
      <c r="L124"/>
    </row>
    <row r="125" spans="2:12" s="11" customFormat="1" x14ac:dyDescent="0.35">
      <c r="B125"/>
      <c r="C125" s="1"/>
      <c r="D125" s="1"/>
      <c r="E125" s="1"/>
      <c r="F125" s="1"/>
      <c r="G125" s="1"/>
      <c r="H125" s="1"/>
      <c r="I125" s="1"/>
      <c r="J125"/>
      <c r="K125"/>
      <c r="L125"/>
    </row>
    <row r="126" spans="2:12" s="11" customFormat="1" x14ac:dyDescent="0.35">
      <c r="B126"/>
      <c r="C126" s="1"/>
      <c r="D126" s="1"/>
      <c r="E126" s="1"/>
      <c r="F126" s="1"/>
      <c r="G126" s="1"/>
      <c r="H126" s="1"/>
      <c r="I126" s="1"/>
      <c r="J126"/>
      <c r="K126"/>
      <c r="L126"/>
    </row>
    <row r="127" spans="2:12" s="11" customFormat="1" x14ac:dyDescent="0.35">
      <c r="B127"/>
      <c r="C127" s="1"/>
      <c r="D127" s="1"/>
      <c r="E127" s="1"/>
      <c r="F127" s="1"/>
      <c r="G127" s="1"/>
      <c r="H127" s="1"/>
      <c r="I127" s="1"/>
      <c r="J127"/>
      <c r="K127"/>
      <c r="L127"/>
    </row>
    <row r="128" spans="2:12" s="11" customFormat="1" x14ac:dyDescent="0.35">
      <c r="B128"/>
      <c r="C128" s="1"/>
      <c r="D128" s="1"/>
      <c r="E128" s="1"/>
      <c r="F128" s="1"/>
      <c r="G128" s="1"/>
      <c r="H128" s="1"/>
      <c r="I128" s="1"/>
      <c r="J128"/>
      <c r="K128"/>
      <c r="L128"/>
    </row>
    <row r="129" spans="2:12" s="11" customFormat="1" x14ac:dyDescent="0.35">
      <c r="B129"/>
      <c r="C129" s="1"/>
      <c r="D129" s="1"/>
      <c r="E129" s="1"/>
      <c r="F129" s="1"/>
      <c r="G129" s="1"/>
      <c r="H129" s="1"/>
      <c r="I129" s="1"/>
      <c r="J129"/>
      <c r="K129"/>
      <c r="L129"/>
    </row>
    <row r="130" spans="2:12" s="11" customFormat="1" x14ac:dyDescent="0.35">
      <c r="B130"/>
      <c r="C130" s="1"/>
      <c r="D130" s="1"/>
      <c r="E130" s="1"/>
      <c r="F130" s="1"/>
      <c r="G130" s="1"/>
      <c r="H130" s="1"/>
      <c r="I130" s="1"/>
      <c r="J130"/>
      <c r="K130"/>
      <c r="L130"/>
    </row>
    <row r="131" spans="2:12" s="11" customFormat="1" x14ac:dyDescent="0.35">
      <c r="B131"/>
      <c r="C131" s="1"/>
      <c r="D131" s="1"/>
      <c r="E131" s="1"/>
      <c r="F131" s="1"/>
      <c r="G131" s="1"/>
      <c r="H131" s="1"/>
      <c r="I131" s="1"/>
      <c r="J131"/>
      <c r="K131"/>
      <c r="L131"/>
    </row>
    <row r="132" spans="2:12" s="11" customFormat="1" x14ac:dyDescent="0.35">
      <c r="B132"/>
      <c r="C132" s="1"/>
      <c r="D132" s="1"/>
      <c r="E132" s="1"/>
      <c r="F132" s="1"/>
      <c r="G132" s="1"/>
      <c r="H132" s="1"/>
      <c r="I132" s="1"/>
      <c r="J132"/>
      <c r="K132"/>
      <c r="L132"/>
    </row>
    <row r="133" spans="2:12" s="11" customFormat="1" x14ac:dyDescent="0.35">
      <c r="B133"/>
      <c r="C133" s="1"/>
      <c r="D133" s="1"/>
      <c r="E133" s="1"/>
      <c r="F133" s="1"/>
      <c r="G133" s="1"/>
      <c r="H133" s="1"/>
      <c r="I133" s="1"/>
      <c r="J133"/>
      <c r="K133"/>
      <c r="L133"/>
    </row>
    <row r="134" spans="2:12" s="11" customFormat="1" x14ac:dyDescent="0.35">
      <c r="B134"/>
      <c r="C134" s="1"/>
      <c r="D134" s="1"/>
      <c r="E134" s="1"/>
      <c r="F134" s="1"/>
      <c r="G134" s="1"/>
      <c r="H134" s="1"/>
      <c r="I134" s="1"/>
      <c r="J134"/>
      <c r="K134"/>
      <c r="L134"/>
    </row>
    <row r="135" spans="2:12" s="11" customFormat="1" x14ac:dyDescent="0.35">
      <c r="B135"/>
      <c r="C135" s="1"/>
      <c r="D135" s="1"/>
      <c r="E135" s="1"/>
      <c r="F135" s="1"/>
      <c r="G135" s="1"/>
      <c r="H135" s="1"/>
      <c r="I135" s="1"/>
      <c r="J135"/>
      <c r="K135"/>
      <c r="L135"/>
    </row>
    <row r="136" spans="2:12" s="11" customFormat="1" x14ac:dyDescent="0.35">
      <c r="B136"/>
      <c r="C136" s="1"/>
      <c r="D136" s="1"/>
      <c r="E136" s="1"/>
      <c r="F136" s="1"/>
      <c r="G136" s="1"/>
      <c r="H136" s="1"/>
      <c r="I136" s="1"/>
      <c r="J136"/>
      <c r="K136"/>
      <c r="L136"/>
    </row>
    <row r="137" spans="2:12" s="11" customFormat="1" x14ac:dyDescent="0.35">
      <c r="B137"/>
      <c r="C137" s="1"/>
      <c r="D137" s="1"/>
      <c r="E137" s="1"/>
      <c r="F137" s="1"/>
      <c r="G137" s="1"/>
      <c r="H137" s="1"/>
      <c r="I137" s="1"/>
      <c r="J137"/>
      <c r="K137"/>
      <c r="L137"/>
    </row>
    <row r="138" spans="2:12" s="11" customFormat="1" x14ac:dyDescent="0.35">
      <c r="B138"/>
      <c r="C138" s="1"/>
      <c r="D138" s="1"/>
      <c r="E138" s="1"/>
      <c r="F138" s="1"/>
      <c r="G138" s="1"/>
      <c r="H138" s="1"/>
      <c r="I138" s="1"/>
      <c r="J138"/>
      <c r="K138"/>
      <c r="L138"/>
    </row>
    <row r="139" spans="2:12" s="11" customFormat="1" x14ac:dyDescent="0.35">
      <c r="B139"/>
      <c r="C139" s="1"/>
      <c r="D139" s="1"/>
      <c r="E139" s="1"/>
      <c r="F139" s="1"/>
      <c r="G139" s="1"/>
      <c r="H139" s="1"/>
      <c r="I139" s="1"/>
      <c r="J139"/>
      <c r="K139"/>
      <c r="L139"/>
    </row>
    <row r="140" spans="2:12" s="11" customFormat="1" x14ac:dyDescent="0.35">
      <c r="B140"/>
      <c r="C140" s="1"/>
      <c r="D140" s="1"/>
      <c r="E140" s="1"/>
      <c r="F140" s="1"/>
      <c r="G140" s="1"/>
      <c r="H140" s="1"/>
      <c r="I140" s="1"/>
      <c r="J140"/>
      <c r="K140"/>
      <c r="L140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E1BD9-55D2-49DF-976B-80B958D7216D}">
  <sheetPr>
    <tabColor theme="0" tint="-0.499984740745262"/>
  </sheetPr>
  <dimension ref="B2:E160"/>
  <sheetViews>
    <sheetView showGridLines="0" zoomScale="120" zoomScaleNormal="120" workbookViewId="0">
      <selection activeCell="D28" sqref="D28"/>
    </sheetView>
  </sheetViews>
  <sheetFormatPr defaultColWidth="11.453125" defaultRowHeight="11.5" x14ac:dyDescent="0.25"/>
  <cols>
    <col min="1" max="1" width="2.1796875" style="41" customWidth="1"/>
    <col min="2" max="2" width="30.54296875" style="41" customWidth="1"/>
    <col min="3" max="3" width="10.54296875" style="41" customWidth="1"/>
    <col min="4" max="4" width="30.54296875" style="41" customWidth="1"/>
    <col min="5" max="5" width="10.54296875" style="41" customWidth="1"/>
    <col min="6" max="16384" width="11.453125" style="41"/>
  </cols>
  <sheetData>
    <row r="2" spans="2:5" ht="17.5" x14ac:dyDescent="0.35">
      <c r="B2" s="105" t="s">
        <v>129</v>
      </c>
    </row>
    <row r="3" spans="2:5" x14ac:dyDescent="0.25">
      <c r="B3" s="40"/>
      <c r="D3" s="40"/>
    </row>
    <row r="4" spans="2:5" ht="42" customHeight="1" x14ac:dyDescent="0.25">
      <c r="B4" s="120" t="s">
        <v>130</v>
      </c>
      <c r="C4" s="120" t="s">
        <v>131</v>
      </c>
      <c r="D4" s="120" t="s">
        <v>130</v>
      </c>
      <c r="E4" s="120" t="s">
        <v>131</v>
      </c>
    </row>
    <row r="5" spans="2:5" x14ac:dyDescent="0.25">
      <c r="B5" s="125" t="s">
        <v>4</v>
      </c>
      <c r="C5" s="169"/>
      <c r="D5" s="125" t="s">
        <v>23</v>
      </c>
      <c r="E5" s="169"/>
    </row>
    <row r="6" spans="2:5" x14ac:dyDescent="0.25">
      <c r="B6" s="45" t="s">
        <v>5</v>
      </c>
      <c r="C6" s="44"/>
      <c r="D6" s="45" t="s">
        <v>24</v>
      </c>
      <c r="E6" s="44"/>
    </row>
    <row r="7" spans="2:5" x14ac:dyDescent="0.25">
      <c r="B7" s="45" t="s">
        <v>6</v>
      </c>
      <c r="C7" s="14">
        <v>0</v>
      </c>
      <c r="D7" s="45" t="s">
        <v>25</v>
      </c>
      <c r="E7" s="14">
        <v>0</v>
      </c>
    </row>
    <row r="8" spans="2:5" x14ac:dyDescent="0.25">
      <c r="B8" s="45" t="s">
        <v>7</v>
      </c>
      <c r="C8" s="14">
        <v>0</v>
      </c>
      <c r="D8" s="45" t="s">
        <v>132</v>
      </c>
      <c r="E8" s="14">
        <v>0</v>
      </c>
    </row>
    <row r="9" spans="2:5" x14ac:dyDescent="0.25">
      <c r="B9" s="45" t="s">
        <v>8</v>
      </c>
      <c r="C9" s="14">
        <v>26442</v>
      </c>
      <c r="D9" s="45" t="s">
        <v>28</v>
      </c>
      <c r="E9" s="14">
        <v>8241</v>
      </c>
    </row>
    <row r="10" spans="2:5" x14ac:dyDescent="0.25">
      <c r="B10" s="45" t="s">
        <v>9</v>
      </c>
      <c r="C10" s="14">
        <v>35631</v>
      </c>
      <c r="D10" s="45" t="s">
        <v>29</v>
      </c>
      <c r="E10" s="14">
        <v>896</v>
      </c>
    </row>
    <row r="11" spans="2:5" x14ac:dyDescent="0.25">
      <c r="B11" s="45" t="s">
        <v>10</v>
      </c>
      <c r="C11" s="14">
        <v>0</v>
      </c>
      <c r="D11" s="45" t="s">
        <v>30</v>
      </c>
      <c r="E11" s="14">
        <v>0</v>
      </c>
    </row>
    <row r="12" spans="2:5" x14ac:dyDescent="0.25">
      <c r="B12" s="45" t="s">
        <v>13</v>
      </c>
      <c r="C12" s="14">
        <f>SUM(C7:C11)</f>
        <v>62073</v>
      </c>
      <c r="D12" s="45" t="s">
        <v>31</v>
      </c>
      <c r="E12" s="14">
        <v>25863</v>
      </c>
    </row>
    <row r="13" spans="2:5" x14ac:dyDescent="0.25">
      <c r="B13" s="45" t="s">
        <v>14</v>
      </c>
      <c r="C13" s="14"/>
      <c r="D13" s="45" t="s">
        <v>32</v>
      </c>
      <c r="E13" s="14">
        <f>SUM(E7:E12)</f>
        <v>35000</v>
      </c>
    </row>
    <row r="14" spans="2:5" x14ac:dyDescent="0.25">
      <c r="B14" s="45" t="s">
        <v>15</v>
      </c>
      <c r="C14" s="14">
        <v>28341</v>
      </c>
      <c r="D14" s="45" t="s">
        <v>33</v>
      </c>
      <c r="E14" s="14"/>
    </row>
    <row r="15" spans="2:5" x14ac:dyDescent="0.25">
      <c r="B15" s="45" t="s">
        <v>16</v>
      </c>
      <c r="C15" s="14">
        <v>215472</v>
      </c>
      <c r="D15" s="45" t="s">
        <v>25</v>
      </c>
      <c r="E15" s="14">
        <v>0</v>
      </c>
    </row>
    <row r="16" spans="2:5" x14ac:dyDescent="0.25">
      <c r="B16" s="45" t="s">
        <v>11</v>
      </c>
      <c r="C16" s="14">
        <v>38777</v>
      </c>
      <c r="D16" s="45" t="s">
        <v>27</v>
      </c>
      <c r="E16" s="14">
        <v>0</v>
      </c>
    </row>
    <row r="17" spans="2:5" x14ac:dyDescent="0.25">
      <c r="B17" s="45" t="s">
        <v>17</v>
      </c>
      <c r="C17" s="14">
        <v>6107</v>
      </c>
      <c r="D17" s="45" t="s">
        <v>28</v>
      </c>
      <c r="E17" s="14">
        <v>0</v>
      </c>
    </row>
    <row r="18" spans="2:5" x14ac:dyDescent="0.25">
      <c r="B18" s="45" t="s">
        <v>18</v>
      </c>
      <c r="C18" s="14">
        <v>8390</v>
      </c>
      <c r="D18" s="45" t="s">
        <v>30</v>
      </c>
      <c r="E18" s="14">
        <v>0</v>
      </c>
    </row>
    <row r="19" spans="2:5" x14ac:dyDescent="0.25">
      <c r="B19" s="45" t="s">
        <v>19</v>
      </c>
      <c r="C19" s="14">
        <v>5501543</v>
      </c>
      <c r="D19" s="45" t="s">
        <v>133</v>
      </c>
      <c r="E19" s="14">
        <v>0</v>
      </c>
    </row>
    <row r="20" spans="2:5" x14ac:dyDescent="0.25">
      <c r="B20" s="45" t="s">
        <v>21</v>
      </c>
      <c r="C20" s="14">
        <f>SUM(C14:C19)</f>
        <v>5798630</v>
      </c>
      <c r="D20" s="45" t="s">
        <v>35</v>
      </c>
      <c r="E20" s="14">
        <f>SUM(E15:E19)</f>
        <v>0</v>
      </c>
    </row>
    <row r="21" spans="2:5" x14ac:dyDescent="0.25">
      <c r="B21" s="126" t="s">
        <v>22</v>
      </c>
      <c r="C21" s="127">
        <f>C12+C20</f>
        <v>5860703</v>
      </c>
      <c r="D21" s="126" t="s">
        <v>36</v>
      </c>
      <c r="E21" s="127">
        <f>E13+E20</f>
        <v>35000</v>
      </c>
    </row>
    <row r="22" spans="2:5" x14ac:dyDescent="0.25">
      <c r="D22" s="128" t="s">
        <v>37</v>
      </c>
      <c r="E22" s="129">
        <f>C21-E21</f>
        <v>5825703</v>
      </c>
    </row>
    <row r="23" spans="2:5" x14ac:dyDescent="0.25">
      <c r="D23" s="128" t="s">
        <v>38</v>
      </c>
      <c r="E23" s="129">
        <f t="shared" ref="E23" si="0">E22+E21</f>
        <v>5860703</v>
      </c>
    </row>
    <row r="41" spans="3:5" x14ac:dyDescent="0.25">
      <c r="C41" s="43"/>
      <c r="E41" s="43"/>
    </row>
    <row r="42" spans="3:5" x14ac:dyDescent="0.25">
      <c r="C42" s="42"/>
      <c r="E42" s="42"/>
    </row>
    <row r="43" spans="3:5" x14ac:dyDescent="0.25">
      <c r="C43" s="43"/>
      <c r="E43" s="43"/>
    </row>
    <row r="44" spans="3:5" x14ac:dyDescent="0.25">
      <c r="C44" s="43"/>
      <c r="E44" s="43"/>
    </row>
    <row r="45" spans="3:5" x14ac:dyDescent="0.25">
      <c r="C45" s="43"/>
      <c r="E45" s="43"/>
    </row>
    <row r="46" spans="3:5" x14ac:dyDescent="0.25">
      <c r="C46" s="43"/>
      <c r="E46" s="43"/>
    </row>
    <row r="47" spans="3:5" x14ac:dyDescent="0.25">
      <c r="C47" s="43"/>
      <c r="E47" s="43"/>
    </row>
    <row r="48" spans="3:5" x14ac:dyDescent="0.25">
      <c r="C48" s="43"/>
      <c r="E48" s="43"/>
    </row>
    <row r="49" spans="3:5" x14ac:dyDescent="0.25">
      <c r="C49" s="43"/>
      <c r="E49" s="43"/>
    </row>
    <row r="50" spans="3:5" x14ac:dyDescent="0.25">
      <c r="C50" s="43"/>
      <c r="E50" s="43"/>
    </row>
    <row r="51" spans="3:5" x14ac:dyDescent="0.25">
      <c r="C51" s="43"/>
      <c r="E51" s="43"/>
    </row>
    <row r="52" spans="3:5" x14ac:dyDescent="0.25">
      <c r="C52" s="43"/>
      <c r="E52" s="43"/>
    </row>
    <row r="53" spans="3:5" x14ac:dyDescent="0.25">
      <c r="C53" s="43"/>
      <c r="E53" s="43"/>
    </row>
    <row r="54" spans="3:5" x14ac:dyDescent="0.25">
      <c r="C54" s="43"/>
      <c r="E54" s="43"/>
    </row>
    <row r="55" spans="3:5" x14ac:dyDescent="0.25">
      <c r="C55" s="43"/>
      <c r="E55" s="43"/>
    </row>
    <row r="56" spans="3:5" x14ac:dyDescent="0.25">
      <c r="C56" s="43"/>
      <c r="E56" s="43"/>
    </row>
    <row r="57" spans="3:5" x14ac:dyDescent="0.25">
      <c r="C57" s="43"/>
      <c r="E57" s="43"/>
    </row>
    <row r="58" spans="3:5" x14ac:dyDescent="0.25">
      <c r="C58" s="43"/>
      <c r="E58" s="43"/>
    </row>
    <row r="59" spans="3:5" x14ac:dyDescent="0.25">
      <c r="C59" s="43"/>
      <c r="E59" s="43"/>
    </row>
    <row r="60" spans="3:5" x14ac:dyDescent="0.25">
      <c r="C60" s="43"/>
      <c r="E60" s="43"/>
    </row>
    <row r="61" spans="3:5" x14ac:dyDescent="0.25">
      <c r="C61" s="43"/>
      <c r="E61" s="43"/>
    </row>
    <row r="62" spans="3:5" x14ac:dyDescent="0.25">
      <c r="C62" s="43"/>
      <c r="E62" s="43"/>
    </row>
    <row r="63" spans="3:5" x14ac:dyDescent="0.25">
      <c r="C63" s="43"/>
      <c r="E63" s="43"/>
    </row>
    <row r="64" spans="3:5" x14ac:dyDescent="0.25">
      <c r="C64" s="43"/>
      <c r="E64" s="43"/>
    </row>
    <row r="65" spans="3:5" x14ac:dyDescent="0.25">
      <c r="C65" s="43"/>
      <c r="E65" s="43"/>
    </row>
    <row r="66" spans="3:5" x14ac:dyDescent="0.25">
      <c r="C66" s="43"/>
      <c r="E66" s="43"/>
    </row>
    <row r="67" spans="3:5" x14ac:dyDescent="0.25">
      <c r="C67" s="43"/>
      <c r="E67" s="43"/>
    </row>
    <row r="68" spans="3:5" x14ac:dyDescent="0.25">
      <c r="C68" s="43"/>
      <c r="E68" s="43"/>
    </row>
    <row r="69" spans="3:5" x14ac:dyDescent="0.25">
      <c r="C69" s="43"/>
      <c r="E69" s="43"/>
    </row>
    <row r="70" spans="3:5" x14ac:dyDescent="0.25">
      <c r="C70" s="43"/>
      <c r="E70" s="43"/>
    </row>
    <row r="71" spans="3:5" x14ac:dyDescent="0.25">
      <c r="C71" s="43"/>
      <c r="E71" s="43"/>
    </row>
    <row r="72" spans="3:5" x14ac:dyDescent="0.25">
      <c r="C72" s="43"/>
      <c r="E72" s="43"/>
    </row>
    <row r="73" spans="3:5" x14ac:dyDescent="0.25">
      <c r="C73" s="43"/>
      <c r="E73" s="43"/>
    </row>
    <row r="74" spans="3:5" x14ac:dyDescent="0.25">
      <c r="C74" s="43"/>
      <c r="E74" s="43"/>
    </row>
    <row r="75" spans="3:5" x14ac:dyDescent="0.25">
      <c r="C75" s="43"/>
      <c r="E75" s="43"/>
    </row>
    <row r="76" spans="3:5" x14ac:dyDescent="0.25">
      <c r="C76" s="43"/>
      <c r="E76" s="43"/>
    </row>
    <row r="77" spans="3:5" x14ac:dyDescent="0.25">
      <c r="C77" s="43"/>
      <c r="E77" s="43"/>
    </row>
    <row r="78" spans="3:5" x14ac:dyDescent="0.25">
      <c r="C78" s="43"/>
      <c r="E78" s="43"/>
    </row>
    <row r="79" spans="3:5" x14ac:dyDescent="0.25">
      <c r="C79" s="43"/>
      <c r="E79" s="43"/>
    </row>
    <row r="80" spans="3:5" x14ac:dyDescent="0.25">
      <c r="C80" s="43"/>
      <c r="E80" s="43"/>
    </row>
    <row r="81" spans="3:5" x14ac:dyDescent="0.25">
      <c r="C81" s="43"/>
      <c r="E81" s="43"/>
    </row>
    <row r="82" spans="3:5" x14ac:dyDescent="0.25">
      <c r="C82" s="43"/>
      <c r="E82" s="43"/>
    </row>
    <row r="83" spans="3:5" x14ac:dyDescent="0.25">
      <c r="C83" s="43"/>
      <c r="E83" s="43"/>
    </row>
    <row r="84" spans="3:5" x14ac:dyDescent="0.25">
      <c r="C84" s="43"/>
      <c r="E84" s="43"/>
    </row>
    <row r="85" spans="3:5" x14ac:dyDescent="0.25">
      <c r="C85" s="43"/>
      <c r="E85" s="43"/>
    </row>
    <row r="86" spans="3:5" x14ac:dyDescent="0.25">
      <c r="C86" s="43"/>
      <c r="E86" s="43"/>
    </row>
    <row r="87" spans="3:5" x14ac:dyDescent="0.25">
      <c r="C87" s="43"/>
      <c r="E87" s="43"/>
    </row>
    <row r="88" spans="3:5" x14ac:dyDescent="0.25">
      <c r="C88" s="43"/>
      <c r="E88" s="43"/>
    </row>
    <row r="89" spans="3:5" x14ac:dyDescent="0.25">
      <c r="C89" s="43"/>
      <c r="E89" s="43"/>
    </row>
    <row r="90" spans="3:5" x14ac:dyDescent="0.25">
      <c r="C90" s="43"/>
      <c r="E90" s="43"/>
    </row>
    <row r="91" spans="3:5" x14ac:dyDescent="0.25">
      <c r="C91" s="43"/>
      <c r="E91" s="43"/>
    </row>
    <row r="92" spans="3:5" x14ac:dyDescent="0.25">
      <c r="C92" s="43"/>
      <c r="E92" s="43"/>
    </row>
    <row r="93" spans="3:5" x14ac:dyDescent="0.25">
      <c r="C93" s="43"/>
      <c r="E93" s="43"/>
    </row>
    <row r="94" spans="3:5" x14ac:dyDescent="0.25">
      <c r="C94" s="43"/>
      <c r="E94" s="43"/>
    </row>
    <row r="95" spans="3:5" x14ac:dyDescent="0.25">
      <c r="C95" s="43"/>
      <c r="E95" s="43"/>
    </row>
    <row r="96" spans="3:5" x14ac:dyDescent="0.25">
      <c r="C96" s="43"/>
      <c r="E96" s="43"/>
    </row>
    <row r="97" spans="3:5" x14ac:dyDescent="0.25">
      <c r="C97" s="43"/>
      <c r="E97" s="43"/>
    </row>
    <row r="98" spans="3:5" x14ac:dyDescent="0.25">
      <c r="C98" s="43"/>
      <c r="E98" s="43"/>
    </row>
    <row r="99" spans="3:5" x14ac:dyDescent="0.25">
      <c r="C99" s="43"/>
      <c r="E99" s="43"/>
    </row>
    <row r="100" spans="3:5" x14ac:dyDescent="0.25">
      <c r="C100" s="43"/>
      <c r="E100" s="43"/>
    </row>
    <row r="101" spans="3:5" x14ac:dyDescent="0.25">
      <c r="C101" s="43"/>
      <c r="E101" s="43"/>
    </row>
    <row r="102" spans="3:5" x14ac:dyDescent="0.25">
      <c r="C102" s="43"/>
      <c r="E102" s="43"/>
    </row>
    <row r="103" spans="3:5" x14ac:dyDescent="0.25">
      <c r="C103" s="43"/>
      <c r="E103" s="43"/>
    </row>
    <row r="104" spans="3:5" x14ac:dyDescent="0.25">
      <c r="C104" s="43"/>
      <c r="E104" s="43"/>
    </row>
    <row r="105" spans="3:5" x14ac:dyDescent="0.25">
      <c r="C105" s="43"/>
      <c r="E105" s="43"/>
    </row>
    <row r="106" spans="3:5" x14ac:dyDescent="0.25">
      <c r="C106" s="43"/>
      <c r="E106" s="43"/>
    </row>
    <row r="107" spans="3:5" x14ac:dyDescent="0.25">
      <c r="C107" s="43"/>
      <c r="E107" s="43"/>
    </row>
    <row r="108" spans="3:5" x14ac:dyDescent="0.25">
      <c r="C108" s="43"/>
      <c r="E108" s="43"/>
    </row>
    <row r="109" spans="3:5" x14ac:dyDescent="0.25">
      <c r="C109" s="43"/>
      <c r="E109" s="43"/>
    </row>
    <row r="110" spans="3:5" x14ac:dyDescent="0.25">
      <c r="C110" s="43"/>
      <c r="E110" s="43"/>
    </row>
    <row r="111" spans="3:5" x14ac:dyDescent="0.25">
      <c r="C111" s="43"/>
      <c r="E111" s="43"/>
    </row>
    <row r="112" spans="3:5" x14ac:dyDescent="0.25">
      <c r="C112" s="43"/>
      <c r="E112" s="43"/>
    </row>
    <row r="113" spans="3:5" x14ac:dyDescent="0.25">
      <c r="C113" s="43"/>
      <c r="E113" s="43"/>
    </row>
    <row r="114" spans="3:5" x14ac:dyDescent="0.25">
      <c r="C114" s="43"/>
      <c r="E114" s="43"/>
    </row>
    <row r="115" spans="3:5" x14ac:dyDescent="0.25">
      <c r="C115" s="43"/>
      <c r="E115" s="43"/>
    </row>
    <row r="116" spans="3:5" x14ac:dyDescent="0.25">
      <c r="C116" s="43"/>
      <c r="E116" s="43"/>
    </row>
    <row r="117" spans="3:5" x14ac:dyDescent="0.25">
      <c r="C117" s="43"/>
      <c r="E117" s="43"/>
    </row>
    <row r="118" spans="3:5" x14ac:dyDescent="0.25">
      <c r="C118" s="43"/>
      <c r="E118" s="43"/>
    </row>
    <row r="119" spans="3:5" x14ac:dyDescent="0.25">
      <c r="C119" s="43"/>
      <c r="E119" s="43"/>
    </row>
    <row r="120" spans="3:5" x14ac:dyDescent="0.25">
      <c r="C120" s="43"/>
      <c r="E120" s="43"/>
    </row>
    <row r="121" spans="3:5" x14ac:dyDescent="0.25">
      <c r="C121" s="43"/>
      <c r="E121" s="43"/>
    </row>
    <row r="122" spans="3:5" x14ac:dyDescent="0.25">
      <c r="C122" s="43"/>
      <c r="E122" s="43"/>
    </row>
    <row r="123" spans="3:5" x14ac:dyDescent="0.25">
      <c r="C123" s="43"/>
      <c r="E123" s="43"/>
    </row>
    <row r="124" spans="3:5" x14ac:dyDescent="0.25">
      <c r="C124" s="43"/>
      <c r="E124" s="43"/>
    </row>
    <row r="125" spans="3:5" x14ac:dyDescent="0.25">
      <c r="C125" s="43"/>
      <c r="E125" s="43"/>
    </row>
    <row r="126" spans="3:5" x14ac:dyDescent="0.25">
      <c r="C126" s="43"/>
      <c r="E126" s="43"/>
    </row>
    <row r="127" spans="3:5" x14ac:dyDescent="0.25">
      <c r="C127" s="43"/>
      <c r="E127" s="43"/>
    </row>
    <row r="128" spans="3:5" x14ac:dyDescent="0.25">
      <c r="C128" s="43"/>
      <c r="E128" s="43"/>
    </row>
    <row r="129" spans="3:5" x14ac:dyDescent="0.25">
      <c r="C129" s="43"/>
      <c r="E129" s="43"/>
    </row>
    <row r="130" spans="3:5" x14ac:dyDescent="0.25">
      <c r="C130" s="43"/>
      <c r="E130" s="43"/>
    </row>
    <row r="131" spans="3:5" x14ac:dyDescent="0.25">
      <c r="C131" s="43"/>
      <c r="E131" s="43"/>
    </row>
    <row r="132" spans="3:5" x14ac:dyDescent="0.25">
      <c r="C132" s="43"/>
      <c r="E132" s="43"/>
    </row>
    <row r="133" spans="3:5" x14ac:dyDescent="0.25">
      <c r="C133" s="43"/>
      <c r="E133" s="43"/>
    </row>
    <row r="134" spans="3:5" x14ac:dyDescent="0.25">
      <c r="C134" s="43"/>
      <c r="E134" s="43"/>
    </row>
    <row r="135" spans="3:5" x14ac:dyDescent="0.25">
      <c r="C135" s="43"/>
      <c r="E135" s="43"/>
    </row>
    <row r="136" spans="3:5" x14ac:dyDescent="0.25">
      <c r="C136" s="43"/>
      <c r="E136" s="43"/>
    </row>
    <row r="137" spans="3:5" x14ac:dyDescent="0.25">
      <c r="C137" s="43"/>
      <c r="E137" s="43"/>
    </row>
    <row r="138" spans="3:5" x14ac:dyDescent="0.25">
      <c r="C138" s="43"/>
      <c r="E138" s="43"/>
    </row>
    <row r="139" spans="3:5" x14ac:dyDescent="0.25">
      <c r="C139" s="43"/>
      <c r="E139" s="43"/>
    </row>
    <row r="140" spans="3:5" x14ac:dyDescent="0.25">
      <c r="C140" s="43"/>
      <c r="E140" s="43"/>
    </row>
    <row r="141" spans="3:5" x14ac:dyDescent="0.25">
      <c r="C141" s="43"/>
      <c r="E141" s="43"/>
    </row>
    <row r="142" spans="3:5" x14ac:dyDescent="0.25">
      <c r="C142" s="43"/>
      <c r="E142" s="43"/>
    </row>
    <row r="143" spans="3:5" x14ac:dyDescent="0.25">
      <c r="C143" s="43"/>
      <c r="E143" s="43"/>
    </row>
    <row r="144" spans="3:5" x14ac:dyDescent="0.25">
      <c r="C144" s="43"/>
      <c r="E144" s="43"/>
    </row>
    <row r="145" spans="3:5" x14ac:dyDescent="0.25">
      <c r="C145" s="43"/>
      <c r="E145" s="43"/>
    </row>
    <row r="146" spans="3:5" x14ac:dyDescent="0.25">
      <c r="C146" s="43"/>
      <c r="E146" s="43"/>
    </row>
    <row r="147" spans="3:5" x14ac:dyDescent="0.25">
      <c r="C147" s="43"/>
      <c r="E147" s="43"/>
    </row>
    <row r="148" spans="3:5" x14ac:dyDescent="0.25">
      <c r="C148" s="43"/>
      <c r="E148" s="43"/>
    </row>
    <row r="149" spans="3:5" x14ac:dyDescent="0.25">
      <c r="C149" s="43"/>
      <c r="E149" s="43"/>
    </row>
    <row r="150" spans="3:5" x14ac:dyDescent="0.25">
      <c r="C150" s="43"/>
      <c r="E150" s="43"/>
    </row>
    <row r="151" spans="3:5" x14ac:dyDescent="0.25">
      <c r="C151" s="43"/>
      <c r="E151" s="43"/>
    </row>
    <row r="152" spans="3:5" x14ac:dyDescent="0.25">
      <c r="C152" s="43"/>
      <c r="E152" s="43"/>
    </row>
    <row r="153" spans="3:5" x14ac:dyDescent="0.25">
      <c r="C153" s="43"/>
      <c r="E153" s="43"/>
    </row>
    <row r="154" spans="3:5" x14ac:dyDescent="0.25">
      <c r="C154" s="43"/>
      <c r="E154" s="43"/>
    </row>
    <row r="155" spans="3:5" x14ac:dyDescent="0.25">
      <c r="C155" s="43"/>
      <c r="E155" s="43"/>
    </row>
    <row r="156" spans="3:5" x14ac:dyDescent="0.25">
      <c r="C156" s="43"/>
      <c r="E156" s="43"/>
    </row>
    <row r="157" spans="3:5" x14ac:dyDescent="0.25">
      <c r="C157" s="43"/>
      <c r="E157" s="43"/>
    </row>
    <row r="158" spans="3:5" x14ac:dyDescent="0.25">
      <c r="C158" s="43"/>
      <c r="E158" s="43"/>
    </row>
    <row r="159" spans="3:5" x14ac:dyDescent="0.25">
      <c r="C159" s="43"/>
      <c r="E159" s="43"/>
    </row>
    <row r="160" spans="3:5" x14ac:dyDescent="0.25">
      <c r="C160" s="43"/>
      <c r="E160" s="43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E2B39-D0FF-4468-8C86-2889FF0AE42F}">
  <sheetPr>
    <tabColor theme="0" tint="-0.499984740745262"/>
  </sheetPr>
  <dimension ref="B2:I80"/>
  <sheetViews>
    <sheetView showGridLines="0" zoomScale="120" zoomScaleNormal="120" zoomScaleSheetLayoutView="100" workbookViewId="0">
      <selection activeCell="E4" sqref="E4"/>
    </sheetView>
  </sheetViews>
  <sheetFormatPr defaultColWidth="11.453125" defaultRowHeight="15" customHeight="1" x14ac:dyDescent="0.35"/>
  <cols>
    <col min="1" max="1" width="2.7265625" style="17" customWidth="1"/>
    <col min="2" max="2" width="43.1796875" style="17" bestFit="1" customWidth="1"/>
    <col min="3" max="3" width="14.453125" style="17" customWidth="1"/>
    <col min="4" max="4" width="4" style="17" customWidth="1"/>
    <col min="5" max="16384" width="11.453125" style="17"/>
  </cols>
  <sheetData>
    <row r="2" spans="2:9" ht="14.5" customHeight="1" x14ac:dyDescent="0.35">
      <c r="B2" s="105" t="s">
        <v>134</v>
      </c>
    </row>
    <row r="3" spans="2:9" ht="14.5" customHeight="1" x14ac:dyDescent="0.35">
      <c r="B3" s="104"/>
    </row>
    <row r="4" spans="2:9" ht="23" x14ac:dyDescent="0.35">
      <c r="B4" s="120" t="s">
        <v>130</v>
      </c>
      <c r="C4" s="120" t="s">
        <v>131</v>
      </c>
    </row>
    <row r="5" spans="2:9" ht="11.5" x14ac:dyDescent="0.35">
      <c r="B5" s="49" t="s">
        <v>40</v>
      </c>
      <c r="C5" s="166">
        <v>4330</v>
      </c>
    </row>
    <row r="6" spans="2:9" ht="11.5" x14ac:dyDescent="0.35">
      <c r="B6" s="50" t="s">
        <v>41</v>
      </c>
      <c r="C6" s="26">
        <v>1614</v>
      </c>
    </row>
    <row r="7" spans="2:9" ht="11.5" x14ac:dyDescent="0.35">
      <c r="B7" s="106" t="s">
        <v>42</v>
      </c>
      <c r="C7" s="121">
        <f t="shared" ref="C7" si="0">C5-C6</f>
        <v>2716</v>
      </c>
    </row>
    <row r="8" spans="2:9" s="5" customFormat="1" ht="14.5" x14ac:dyDescent="0.35">
      <c r="B8" s="28" t="s">
        <v>43</v>
      </c>
      <c r="C8" s="122"/>
      <c r="D8" s="25"/>
      <c r="E8" s="25"/>
      <c r="F8" s="25"/>
      <c r="G8" s="23"/>
      <c r="H8" s="23"/>
      <c r="I8" s="23"/>
    </row>
    <row r="9" spans="2:9" ht="11.5" x14ac:dyDescent="0.35">
      <c r="B9" s="20" t="s">
        <v>44</v>
      </c>
      <c r="C9" s="73">
        <v>0</v>
      </c>
    </row>
    <row r="10" spans="2:9" ht="11.5" x14ac:dyDescent="0.35">
      <c r="B10" s="20" t="s">
        <v>45</v>
      </c>
      <c r="C10" s="73">
        <v>0</v>
      </c>
    </row>
    <row r="11" spans="2:9" ht="11.5" x14ac:dyDescent="0.35">
      <c r="B11" s="106" t="s">
        <v>47</v>
      </c>
      <c r="C11" s="121">
        <f>C7-C9-C10</f>
        <v>2716</v>
      </c>
    </row>
    <row r="12" spans="2:9" ht="11.5" x14ac:dyDescent="0.35">
      <c r="B12" s="28" t="s">
        <v>48</v>
      </c>
      <c r="C12" s="122"/>
    </row>
    <row r="13" spans="2:9" ht="11.5" x14ac:dyDescent="0.35">
      <c r="B13" s="50" t="s">
        <v>49</v>
      </c>
      <c r="C13" s="26">
        <v>0</v>
      </c>
    </row>
    <row r="14" spans="2:9" ht="11.5" x14ac:dyDescent="0.35">
      <c r="B14" s="50" t="s">
        <v>51</v>
      </c>
      <c r="C14" s="26">
        <v>0</v>
      </c>
    </row>
    <row r="15" spans="2:9" ht="11.5" x14ac:dyDescent="0.35">
      <c r="B15" s="50" t="s">
        <v>52</v>
      </c>
      <c r="C15" s="26">
        <v>0</v>
      </c>
    </row>
    <row r="16" spans="2:9" ht="11.5" x14ac:dyDescent="0.35">
      <c r="B16" s="50" t="s">
        <v>135</v>
      </c>
      <c r="C16" s="26">
        <v>-36068</v>
      </c>
    </row>
    <row r="17" spans="2:4" ht="11.5" x14ac:dyDescent="0.35">
      <c r="B17" s="50" t="s">
        <v>53</v>
      </c>
      <c r="C17" s="26">
        <v>0</v>
      </c>
    </row>
    <row r="18" spans="2:4" ht="11.5" x14ac:dyDescent="0.35">
      <c r="B18" s="50" t="s">
        <v>54</v>
      </c>
      <c r="C18" s="26">
        <v>0</v>
      </c>
    </row>
    <row r="19" spans="2:4" ht="11.5" x14ac:dyDescent="0.35">
      <c r="B19" s="111" t="s">
        <v>55</v>
      </c>
      <c r="C19" s="123">
        <f>C11+C14+C13+C17+C18+C15+C16</f>
        <v>-33352</v>
      </c>
    </row>
    <row r="20" spans="2:4" ht="11.5" x14ac:dyDescent="0.35">
      <c r="B20" s="49" t="s">
        <v>56</v>
      </c>
      <c r="C20" s="166">
        <v>896</v>
      </c>
      <c r="D20" s="46"/>
    </row>
    <row r="21" spans="2:4" ht="11.5" x14ac:dyDescent="0.35">
      <c r="B21" s="111" t="s">
        <v>136</v>
      </c>
      <c r="C21" s="123">
        <f t="shared" ref="C21" si="1">C19-C20</f>
        <v>-34248</v>
      </c>
    </row>
    <row r="22" spans="2:4" ht="11.5" x14ac:dyDescent="0.35">
      <c r="C22" s="47"/>
    </row>
    <row r="23" spans="2:4" ht="11.5" x14ac:dyDescent="0.35">
      <c r="C23" s="47"/>
    </row>
    <row r="24" spans="2:4" ht="11.5" x14ac:dyDescent="0.35">
      <c r="C24" s="47"/>
    </row>
    <row r="25" spans="2:4" ht="11.5" x14ac:dyDescent="0.35">
      <c r="C25" s="47"/>
    </row>
    <row r="26" spans="2:4" ht="11.5" x14ac:dyDescent="0.35">
      <c r="C26" s="47"/>
    </row>
    <row r="27" spans="2:4" ht="11.5" x14ac:dyDescent="0.35">
      <c r="C27" s="47"/>
    </row>
    <row r="28" spans="2:4" ht="11.5" x14ac:dyDescent="0.35">
      <c r="C28" s="47"/>
    </row>
    <row r="29" spans="2:4" ht="11.5" x14ac:dyDescent="0.35">
      <c r="C29" s="47"/>
    </row>
    <row r="30" spans="2:4" s="48" customFormat="1" ht="11.5" x14ac:dyDescent="0.35">
      <c r="B30" s="17"/>
      <c r="C30" s="47"/>
      <c r="D30" s="17"/>
    </row>
    <row r="31" spans="2:4" s="48" customFormat="1" ht="11.5" x14ac:dyDescent="0.35">
      <c r="B31" s="17"/>
      <c r="C31" s="47"/>
      <c r="D31" s="17"/>
    </row>
    <row r="32" spans="2:4" s="48" customFormat="1" ht="11.5" x14ac:dyDescent="0.35">
      <c r="B32" s="17"/>
      <c r="C32" s="47"/>
      <c r="D32" s="17"/>
    </row>
    <row r="33" spans="2:4" s="48" customFormat="1" ht="11.5" x14ac:dyDescent="0.35">
      <c r="B33" s="17"/>
      <c r="C33" s="47"/>
      <c r="D33" s="17"/>
    </row>
    <row r="34" spans="2:4" s="48" customFormat="1" ht="11.5" x14ac:dyDescent="0.35">
      <c r="B34" s="17"/>
      <c r="C34" s="47"/>
      <c r="D34" s="17"/>
    </row>
    <row r="35" spans="2:4" s="48" customFormat="1" ht="11.5" x14ac:dyDescent="0.35">
      <c r="B35" s="17"/>
      <c r="C35" s="47"/>
      <c r="D35" s="17"/>
    </row>
    <row r="36" spans="2:4" s="48" customFormat="1" ht="11.5" x14ac:dyDescent="0.35">
      <c r="B36" s="17"/>
      <c r="C36" s="47"/>
      <c r="D36" s="17"/>
    </row>
    <row r="37" spans="2:4" s="48" customFormat="1" ht="11.5" x14ac:dyDescent="0.35">
      <c r="B37" s="17"/>
      <c r="C37" s="47"/>
      <c r="D37" s="17"/>
    </row>
    <row r="38" spans="2:4" s="48" customFormat="1" ht="11.5" x14ac:dyDescent="0.35">
      <c r="B38" s="17"/>
      <c r="C38" s="47"/>
      <c r="D38" s="17"/>
    </row>
    <row r="39" spans="2:4" s="48" customFormat="1" ht="11.5" x14ac:dyDescent="0.35">
      <c r="B39" s="17"/>
      <c r="C39" s="47"/>
      <c r="D39" s="17"/>
    </row>
    <row r="40" spans="2:4" s="48" customFormat="1" ht="11.5" x14ac:dyDescent="0.35">
      <c r="B40" s="17"/>
      <c r="C40" s="47"/>
      <c r="D40" s="17"/>
    </row>
    <row r="41" spans="2:4" s="48" customFormat="1" ht="11.5" x14ac:dyDescent="0.35">
      <c r="B41" s="17"/>
      <c r="C41" s="47"/>
      <c r="D41" s="17"/>
    </row>
    <row r="42" spans="2:4" s="48" customFormat="1" ht="11.5" x14ac:dyDescent="0.35">
      <c r="B42" s="17"/>
      <c r="C42" s="47"/>
      <c r="D42" s="17"/>
    </row>
    <row r="43" spans="2:4" s="48" customFormat="1" ht="11.5" x14ac:dyDescent="0.35">
      <c r="B43" s="17"/>
      <c r="C43" s="47"/>
      <c r="D43" s="17"/>
    </row>
    <row r="44" spans="2:4" s="48" customFormat="1" ht="11.5" x14ac:dyDescent="0.35">
      <c r="B44" s="17"/>
      <c r="C44" s="47"/>
      <c r="D44" s="17"/>
    </row>
    <row r="45" spans="2:4" s="48" customFormat="1" ht="11.5" x14ac:dyDescent="0.35">
      <c r="B45" s="17"/>
      <c r="C45" s="47"/>
      <c r="D45" s="17"/>
    </row>
    <row r="46" spans="2:4" s="48" customFormat="1" ht="11.5" x14ac:dyDescent="0.35">
      <c r="B46" s="17"/>
      <c r="C46" s="47"/>
      <c r="D46" s="17"/>
    </row>
    <row r="47" spans="2:4" s="48" customFormat="1" ht="11.5" x14ac:dyDescent="0.35">
      <c r="B47" s="17"/>
      <c r="C47" s="47"/>
      <c r="D47" s="17"/>
    </row>
    <row r="48" spans="2:4" s="48" customFormat="1" ht="11.5" x14ac:dyDescent="0.35">
      <c r="B48" s="17"/>
      <c r="C48" s="47"/>
      <c r="D48" s="17"/>
    </row>
    <row r="49" spans="2:4" s="48" customFormat="1" ht="11.5" x14ac:dyDescent="0.35">
      <c r="B49" s="17"/>
      <c r="C49" s="47"/>
      <c r="D49" s="17"/>
    </row>
    <row r="50" spans="2:4" s="48" customFormat="1" ht="11.5" x14ac:dyDescent="0.35">
      <c r="B50" s="17"/>
      <c r="C50" s="47"/>
      <c r="D50" s="17"/>
    </row>
    <row r="51" spans="2:4" s="48" customFormat="1" ht="11.5" x14ac:dyDescent="0.35">
      <c r="B51" s="17"/>
      <c r="C51" s="47"/>
      <c r="D51" s="17"/>
    </row>
    <row r="52" spans="2:4" s="48" customFormat="1" ht="11.5" x14ac:dyDescent="0.35">
      <c r="B52" s="17"/>
      <c r="C52" s="47"/>
      <c r="D52" s="17"/>
    </row>
    <row r="53" spans="2:4" s="48" customFormat="1" ht="11.5" x14ac:dyDescent="0.35">
      <c r="B53" s="17"/>
      <c r="C53" s="47"/>
      <c r="D53" s="17"/>
    </row>
    <row r="54" spans="2:4" s="48" customFormat="1" ht="11.5" x14ac:dyDescent="0.35">
      <c r="B54" s="17"/>
      <c r="C54" s="47"/>
      <c r="D54" s="17"/>
    </row>
    <row r="55" spans="2:4" s="48" customFormat="1" ht="11.5" x14ac:dyDescent="0.35">
      <c r="B55" s="17"/>
      <c r="C55" s="47"/>
      <c r="D55" s="17"/>
    </row>
    <row r="56" spans="2:4" s="48" customFormat="1" ht="11.5" x14ac:dyDescent="0.35">
      <c r="B56" s="17"/>
      <c r="C56" s="47"/>
      <c r="D56" s="17"/>
    </row>
    <row r="57" spans="2:4" s="48" customFormat="1" ht="11.5" x14ac:dyDescent="0.35">
      <c r="B57" s="17"/>
      <c r="C57" s="47"/>
      <c r="D57" s="17"/>
    </row>
    <row r="58" spans="2:4" s="48" customFormat="1" ht="11.5" x14ac:dyDescent="0.35">
      <c r="B58" s="17"/>
      <c r="C58" s="47"/>
      <c r="D58" s="17"/>
    </row>
    <row r="59" spans="2:4" s="48" customFormat="1" ht="11.5" x14ac:dyDescent="0.35">
      <c r="B59" s="17"/>
      <c r="C59" s="47"/>
      <c r="D59" s="17"/>
    </row>
    <row r="60" spans="2:4" s="48" customFormat="1" ht="11.5" x14ac:dyDescent="0.35">
      <c r="B60" s="17"/>
      <c r="C60" s="47"/>
      <c r="D60" s="17"/>
    </row>
    <row r="61" spans="2:4" s="48" customFormat="1" ht="11.5" x14ac:dyDescent="0.35">
      <c r="B61" s="17"/>
      <c r="C61" s="47"/>
      <c r="D61" s="17"/>
    </row>
    <row r="62" spans="2:4" s="48" customFormat="1" ht="11.5" x14ac:dyDescent="0.35">
      <c r="B62" s="17"/>
      <c r="C62" s="47"/>
      <c r="D62" s="17"/>
    </row>
    <row r="63" spans="2:4" s="48" customFormat="1" ht="11.5" x14ac:dyDescent="0.35">
      <c r="B63" s="17"/>
      <c r="C63" s="47"/>
      <c r="D63" s="17"/>
    </row>
    <row r="64" spans="2:4" s="48" customFormat="1" ht="11.5" x14ac:dyDescent="0.35">
      <c r="B64" s="17"/>
      <c r="C64" s="47"/>
      <c r="D64" s="17"/>
    </row>
    <row r="65" spans="2:4" s="48" customFormat="1" ht="11.5" x14ac:dyDescent="0.35">
      <c r="B65" s="17"/>
      <c r="C65" s="47"/>
      <c r="D65" s="17"/>
    </row>
    <row r="66" spans="2:4" s="48" customFormat="1" ht="11.5" x14ac:dyDescent="0.35">
      <c r="B66" s="17"/>
      <c r="C66" s="47"/>
      <c r="D66" s="17"/>
    </row>
    <row r="67" spans="2:4" s="48" customFormat="1" ht="11.5" x14ac:dyDescent="0.35">
      <c r="B67" s="17"/>
      <c r="C67" s="47"/>
      <c r="D67" s="17"/>
    </row>
    <row r="68" spans="2:4" s="48" customFormat="1" ht="11.5" x14ac:dyDescent="0.35">
      <c r="B68" s="17"/>
      <c r="C68" s="47"/>
      <c r="D68" s="17"/>
    </row>
    <row r="69" spans="2:4" s="48" customFormat="1" ht="11.5" x14ac:dyDescent="0.35">
      <c r="B69" s="17"/>
      <c r="C69" s="47"/>
      <c r="D69" s="17"/>
    </row>
    <row r="70" spans="2:4" s="48" customFormat="1" ht="11.5" x14ac:dyDescent="0.35">
      <c r="B70" s="17"/>
      <c r="C70" s="47"/>
      <c r="D70" s="17"/>
    </row>
    <row r="71" spans="2:4" s="48" customFormat="1" ht="11.5" x14ac:dyDescent="0.35">
      <c r="B71" s="17"/>
      <c r="C71" s="47"/>
      <c r="D71" s="17"/>
    </row>
    <row r="72" spans="2:4" s="48" customFormat="1" ht="11.5" x14ac:dyDescent="0.35">
      <c r="B72" s="17"/>
      <c r="C72" s="47"/>
      <c r="D72" s="17"/>
    </row>
    <row r="73" spans="2:4" s="48" customFormat="1" ht="11.5" x14ac:dyDescent="0.35">
      <c r="B73" s="17"/>
      <c r="C73" s="47"/>
      <c r="D73" s="17"/>
    </row>
    <row r="74" spans="2:4" s="48" customFormat="1" ht="11.5" x14ac:dyDescent="0.35">
      <c r="B74" s="17"/>
      <c r="C74" s="47"/>
      <c r="D74" s="17"/>
    </row>
    <row r="75" spans="2:4" s="48" customFormat="1" ht="11.5" x14ac:dyDescent="0.35">
      <c r="B75" s="17"/>
      <c r="C75" s="47"/>
      <c r="D75" s="17"/>
    </row>
    <row r="76" spans="2:4" s="48" customFormat="1" ht="11.5" x14ac:dyDescent="0.35">
      <c r="B76" s="17"/>
      <c r="C76" s="47"/>
      <c r="D76" s="17"/>
    </row>
    <row r="77" spans="2:4" s="48" customFormat="1" ht="11.5" x14ac:dyDescent="0.35">
      <c r="B77" s="17"/>
      <c r="C77" s="47"/>
      <c r="D77" s="17"/>
    </row>
    <row r="78" spans="2:4" s="48" customFormat="1" ht="11.5" x14ac:dyDescent="0.35">
      <c r="B78" s="17"/>
      <c r="C78" s="47"/>
      <c r="D78" s="17"/>
    </row>
    <row r="79" spans="2:4" s="48" customFormat="1" ht="11.5" x14ac:dyDescent="0.35">
      <c r="B79" s="17"/>
      <c r="C79" s="47"/>
      <c r="D79" s="17"/>
    </row>
    <row r="80" spans="2:4" s="48" customFormat="1" ht="11.5" x14ac:dyDescent="0.35">
      <c r="B80" s="17"/>
      <c r="C80" s="17"/>
      <c r="D80" s="17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2A49F-CD7D-4A3E-83AC-8666621305D0}">
  <sheetPr>
    <tabColor theme="0" tint="-0.499984740745262"/>
  </sheetPr>
  <dimension ref="C4:T85"/>
  <sheetViews>
    <sheetView showGridLines="0" topLeftCell="A3" zoomScale="120" zoomScaleNormal="120" zoomScaleSheetLayoutView="100" workbookViewId="0">
      <selection activeCell="L17" sqref="L17"/>
    </sheetView>
  </sheetViews>
  <sheetFormatPr defaultColWidth="11.453125" defaultRowHeight="15" customHeight="1" x14ac:dyDescent="0.35"/>
  <cols>
    <col min="1" max="2" width="2.81640625" style="5" customWidth="1"/>
    <col min="3" max="3" width="17.453125" style="5" bestFit="1" customWidth="1"/>
    <col min="4" max="4" width="13.7265625" style="5" customWidth="1"/>
    <col min="5" max="5" width="13.453125" style="5" customWidth="1"/>
    <col min="6" max="10" width="2.81640625" style="5" customWidth="1"/>
    <col min="11" max="16384" width="11.453125" style="5"/>
  </cols>
  <sheetData>
    <row r="4" spans="3:5" ht="14.5" customHeight="1" x14ac:dyDescent="0.35">
      <c r="C4" s="105" t="s">
        <v>137</v>
      </c>
    </row>
    <row r="5" spans="3:5" ht="14.5" customHeight="1" x14ac:dyDescent="0.35"/>
    <row r="6" spans="3:5" ht="14.5" x14ac:dyDescent="0.35">
      <c r="C6" s="6"/>
      <c r="D6" s="464">
        <v>2012</v>
      </c>
      <c r="E6" s="465"/>
    </row>
    <row r="7" spans="3:5" ht="29.25" customHeight="1" x14ac:dyDescent="0.35">
      <c r="C7" s="116" t="s">
        <v>138</v>
      </c>
      <c r="D7" s="117" t="s">
        <v>139</v>
      </c>
      <c r="E7" s="170" t="s">
        <v>140</v>
      </c>
    </row>
    <row r="8" spans="3:5" ht="14.5" x14ac:dyDescent="0.35">
      <c r="C8" s="28" t="s">
        <v>40</v>
      </c>
      <c r="D8" s="27">
        <v>1092000</v>
      </c>
      <c r="E8" s="163">
        <v>2147000</v>
      </c>
    </row>
    <row r="9" spans="3:5" ht="14.5" x14ac:dyDescent="0.35">
      <c r="C9" s="20" t="s">
        <v>141</v>
      </c>
      <c r="D9" s="51">
        <v>996000</v>
      </c>
      <c r="E9" s="22">
        <v>1952000</v>
      </c>
    </row>
    <row r="10" spans="3:5" ht="14.5" x14ac:dyDescent="0.35">
      <c r="C10" s="20" t="s">
        <v>47</v>
      </c>
      <c r="D10" s="21">
        <f>D8-D9</f>
        <v>96000</v>
      </c>
      <c r="E10" s="22">
        <f>E8-E9</f>
        <v>195000</v>
      </c>
    </row>
    <row r="11" spans="3:5" ht="14.5" x14ac:dyDescent="0.35">
      <c r="C11" s="28" t="s">
        <v>142</v>
      </c>
      <c r="D11" s="27">
        <v>186000</v>
      </c>
      <c r="E11" s="163">
        <v>380000</v>
      </c>
    </row>
    <row r="12" spans="3:5" ht="14.5" x14ac:dyDescent="0.35">
      <c r="C12" s="20" t="s">
        <v>143</v>
      </c>
      <c r="D12" s="61">
        <f>D11/D8</f>
        <v>0.17032967032967034</v>
      </c>
      <c r="E12" s="62">
        <f>E11/E8</f>
        <v>0.17699115044247787</v>
      </c>
    </row>
    <row r="13" spans="3:5" ht="14.5" x14ac:dyDescent="0.35">
      <c r="C13" s="106" t="s">
        <v>144</v>
      </c>
      <c r="D13" s="118">
        <v>98000</v>
      </c>
      <c r="E13" s="119">
        <v>354000</v>
      </c>
    </row>
    <row r="14" spans="3:5" ht="14.5" x14ac:dyDescent="0.35"/>
    <row r="15" spans="3:5" ht="14.5" x14ac:dyDescent="0.35"/>
    <row r="16" spans="3:5" ht="14.5" x14ac:dyDescent="0.35"/>
    <row r="17" ht="14.5" x14ac:dyDescent="0.35"/>
    <row r="18" ht="14.5" x14ac:dyDescent="0.35"/>
    <row r="19" ht="14.5" x14ac:dyDescent="0.35"/>
    <row r="20" ht="14.5" x14ac:dyDescent="0.35"/>
    <row r="21" ht="14.5" x14ac:dyDescent="0.35"/>
    <row r="22" ht="14.5" x14ac:dyDescent="0.35"/>
    <row r="23" ht="14.5" x14ac:dyDescent="0.35"/>
    <row r="24" ht="14.5" x14ac:dyDescent="0.35"/>
    <row r="25" ht="14.5" x14ac:dyDescent="0.35"/>
    <row r="26" ht="14.5" x14ac:dyDescent="0.35"/>
    <row r="27" ht="14.5" x14ac:dyDescent="0.35"/>
    <row r="28" ht="14.5" x14ac:dyDescent="0.35"/>
    <row r="29" ht="14.5" x14ac:dyDescent="0.35"/>
    <row r="30" ht="14.5" x14ac:dyDescent="0.35"/>
    <row r="31" ht="14.5" x14ac:dyDescent="0.35"/>
    <row r="32" ht="14.5" x14ac:dyDescent="0.35"/>
    <row r="33" spans="11:20" ht="14.5" x14ac:dyDescent="0.35"/>
    <row r="34" spans="11:20" ht="14.5" x14ac:dyDescent="0.35"/>
    <row r="35" spans="11:20" s="2" customFormat="1" ht="14.5" x14ac:dyDescent="0.35"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1:20" s="2" customFormat="1" ht="14.5" x14ac:dyDescent="0.35"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1:20" s="2" customFormat="1" ht="14.5" x14ac:dyDescent="0.35"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1:20" s="2" customFormat="1" ht="14.5" x14ac:dyDescent="0.35"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1:20" s="2" customFormat="1" ht="14.5" x14ac:dyDescent="0.35"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1:20" s="2" customFormat="1" ht="14.5" x14ac:dyDescent="0.35"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1:20" s="2" customFormat="1" ht="14.5" x14ac:dyDescent="0.35"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1:20" s="2" customFormat="1" ht="14.5" x14ac:dyDescent="0.35"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1:20" s="2" customFormat="1" ht="14.5" x14ac:dyDescent="0.35"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1:20" s="2" customFormat="1" ht="14.5" x14ac:dyDescent="0.35"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1:20" s="2" customFormat="1" ht="14.5" x14ac:dyDescent="0.35"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1:20" s="2" customFormat="1" ht="14.5" x14ac:dyDescent="0.35"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1:20" s="2" customFormat="1" ht="14.5" x14ac:dyDescent="0.35"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1:20" s="2" customFormat="1" ht="14.5" x14ac:dyDescent="0.35"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1:20" s="2" customFormat="1" ht="14.5" x14ac:dyDescent="0.35"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1:20" s="2" customFormat="1" ht="14.5" x14ac:dyDescent="0.35"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1:20" s="2" customFormat="1" ht="14.5" x14ac:dyDescent="0.35"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1:20" s="2" customFormat="1" ht="14.5" x14ac:dyDescent="0.35"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1:20" s="2" customFormat="1" ht="14.5" x14ac:dyDescent="0.35"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1:20" s="2" customFormat="1" ht="14.5" x14ac:dyDescent="0.35"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1:20" s="2" customFormat="1" ht="14.5" x14ac:dyDescent="0.35"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1:20" s="2" customFormat="1" ht="14.5" x14ac:dyDescent="0.35"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1:20" s="2" customFormat="1" ht="14.5" x14ac:dyDescent="0.35"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1:20" s="2" customFormat="1" ht="14.5" x14ac:dyDescent="0.35"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1:20" s="2" customFormat="1" ht="14.5" x14ac:dyDescent="0.35"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1:20" s="2" customFormat="1" ht="14.5" x14ac:dyDescent="0.35"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1:20" s="2" customFormat="1" ht="14.5" x14ac:dyDescent="0.35"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1:20" s="2" customFormat="1" ht="14.5" x14ac:dyDescent="0.35"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1:20" s="2" customFormat="1" ht="14.5" x14ac:dyDescent="0.35"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1:20" s="2" customFormat="1" ht="14.5" x14ac:dyDescent="0.35"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1:20" s="2" customFormat="1" ht="14.5" x14ac:dyDescent="0.35"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1:20" s="2" customFormat="1" ht="14.5" x14ac:dyDescent="0.35"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11:20" s="2" customFormat="1" ht="14.5" x14ac:dyDescent="0.35"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1:20" s="2" customFormat="1" ht="14.5" x14ac:dyDescent="0.35"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1:20" s="2" customFormat="1" ht="14.5" x14ac:dyDescent="0.35"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1:20" s="2" customFormat="1" ht="14.5" x14ac:dyDescent="0.35"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1:20" s="2" customFormat="1" ht="14.5" x14ac:dyDescent="0.35"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1:20" s="2" customFormat="1" ht="14.5" x14ac:dyDescent="0.35"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1:20" s="2" customFormat="1" ht="14.5" x14ac:dyDescent="0.35"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1:20" s="2" customFormat="1" ht="14.5" x14ac:dyDescent="0.35"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1:20" s="2" customFormat="1" ht="14.5" x14ac:dyDescent="0.35"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11:20" s="2" customFormat="1" ht="14.5" x14ac:dyDescent="0.35"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1:20" s="2" customFormat="1" ht="14.5" x14ac:dyDescent="0.35"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1:20" s="2" customFormat="1" ht="14.5" x14ac:dyDescent="0.35"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1:20" s="2" customFormat="1" ht="14.5" x14ac:dyDescent="0.35"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1:20" s="2" customFormat="1" ht="14.5" x14ac:dyDescent="0.35"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11:20" s="2" customFormat="1" ht="14.5" x14ac:dyDescent="0.35"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1:20" s="2" customFormat="1" ht="14.5" x14ac:dyDescent="0.35"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1:20" s="2" customFormat="1" ht="14.5" x14ac:dyDescent="0.35"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1:20" s="2" customFormat="1" ht="14.5" x14ac:dyDescent="0.35"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1:20" s="2" customFormat="1" ht="14.5" x14ac:dyDescent="0.35">
      <c r="K85" s="5"/>
      <c r="L85" s="5"/>
      <c r="M85" s="5"/>
      <c r="N85" s="5"/>
      <c r="O85" s="5"/>
      <c r="P85" s="5"/>
      <c r="Q85" s="5"/>
      <c r="R85" s="5"/>
      <c r="S85" s="5"/>
      <c r="T85" s="5"/>
    </row>
  </sheetData>
  <mergeCells count="1">
    <mergeCell ref="D6:E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C5E06-B717-445E-A28A-6BBEB7F326BD}">
  <sheetPr>
    <tabColor theme="0" tint="-0.499984740745262"/>
  </sheetPr>
  <dimension ref="C2:T83"/>
  <sheetViews>
    <sheetView showGridLines="0" topLeftCell="B1" zoomScale="130" zoomScaleNormal="130" zoomScaleSheetLayoutView="100" workbookViewId="0">
      <selection activeCell="L8" activeCellId="1" sqref="C2 L8"/>
    </sheetView>
  </sheetViews>
  <sheetFormatPr defaultColWidth="11.453125" defaultRowHeight="15" customHeight="1" x14ac:dyDescent="0.35"/>
  <cols>
    <col min="1" max="2" width="2.81640625" style="5" customWidth="1"/>
    <col min="3" max="3" width="34.54296875" style="5" customWidth="1"/>
    <col min="4" max="4" width="7.54296875" style="5" bestFit="1" customWidth="1"/>
    <col min="5" max="5" width="29.81640625" style="5" bestFit="1" customWidth="1"/>
    <col min="6" max="10" width="2.81640625" style="5" customWidth="1"/>
    <col min="11" max="16384" width="11.453125" style="5"/>
  </cols>
  <sheetData>
    <row r="2" spans="3:5" ht="14.5" customHeight="1" x14ac:dyDescent="0.35">
      <c r="C2" s="105" t="s">
        <v>145</v>
      </c>
    </row>
    <row r="3" spans="3:5" ht="14.5" customHeight="1" x14ac:dyDescent="0.35"/>
    <row r="4" spans="3:5" ht="14.5" x14ac:dyDescent="0.35">
      <c r="C4" s="124" t="s">
        <v>146</v>
      </c>
      <c r="D4" s="124" t="s">
        <v>147</v>
      </c>
      <c r="E4" s="124" t="s">
        <v>148</v>
      </c>
    </row>
    <row r="5" spans="3:5" ht="14.5" x14ac:dyDescent="0.35">
      <c r="C5" s="50" t="s">
        <v>149</v>
      </c>
      <c r="D5" s="112">
        <v>5.4300000000000001E-2</v>
      </c>
      <c r="E5" s="113" t="s">
        <v>150</v>
      </c>
    </row>
    <row r="6" spans="3:5" ht="14.5" x14ac:dyDescent="0.35">
      <c r="C6" s="50" t="s">
        <v>151</v>
      </c>
      <c r="D6" s="107">
        <v>3.1E-2</v>
      </c>
      <c r="E6" s="109" t="s">
        <v>152</v>
      </c>
    </row>
    <row r="7" spans="3:5" ht="14.5" x14ac:dyDescent="0.35">
      <c r="C7" s="50" t="s">
        <v>153</v>
      </c>
      <c r="D7" s="107">
        <v>2.1000000000000001E-2</v>
      </c>
      <c r="E7" s="109" t="s">
        <v>154</v>
      </c>
    </row>
    <row r="8" spans="3:5" ht="14.5" x14ac:dyDescent="0.35">
      <c r="C8" s="50" t="s">
        <v>155</v>
      </c>
      <c r="D8" s="107">
        <v>0.6</v>
      </c>
      <c r="E8" s="109" t="s">
        <v>154</v>
      </c>
    </row>
    <row r="9" spans="3:5" ht="14.5" x14ac:dyDescent="0.35">
      <c r="C9" s="50" t="s">
        <v>156</v>
      </c>
      <c r="D9" s="107">
        <v>1.5640000000000001E-2</v>
      </c>
      <c r="E9" s="109" t="s">
        <v>157</v>
      </c>
    </row>
    <row r="10" spans="3:5" ht="14.5" x14ac:dyDescent="0.35">
      <c r="C10" s="50" t="s">
        <v>158</v>
      </c>
      <c r="D10" s="108">
        <v>1.6799999999999999E-2</v>
      </c>
      <c r="E10" s="110" t="s">
        <v>159</v>
      </c>
    </row>
    <row r="11" spans="3:5" ht="14.5" x14ac:dyDescent="0.35">
      <c r="C11" s="50" t="s">
        <v>160</v>
      </c>
      <c r="D11" s="107">
        <v>4.1399999999999999E-2</v>
      </c>
      <c r="E11" s="109" t="s">
        <v>161</v>
      </c>
    </row>
    <row r="12" spans="3:5" ht="14.5" x14ac:dyDescent="0.35">
      <c r="C12" s="50" t="s">
        <v>162</v>
      </c>
      <c r="D12" s="114">
        <v>2.41E-2</v>
      </c>
      <c r="E12" s="50" t="s">
        <v>163</v>
      </c>
    </row>
    <row r="13" spans="3:5" ht="14.5" x14ac:dyDescent="0.35">
      <c r="C13" s="111" t="s">
        <v>164</v>
      </c>
      <c r="D13" s="115">
        <v>0.33</v>
      </c>
      <c r="E13" s="111" t="s">
        <v>165</v>
      </c>
    </row>
    <row r="14" spans="3:5" ht="14.5" x14ac:dyDescent="0.35"/>
    <row r="15" spans="3:5" ht="14.5" x14ac:dyDescent="0.35"/>
    <row r="16" spans="3:5" ht="14.5" x14ac:dyDescent="0.35"/>
    <row r="17" ht="14.5" x14ac:dyDescent="0.35"/>
    <row r="18" ht="14.5" x14ac:dyDescent="0.35"/>
    <row r="19" ht="14.5" x14ac:dyDescent="0.35"/>
    <row r="20" ht="14.5" x14ac:dyDescent="0.35"/>
    <row r="21" ht="14.5" x14ac:dyDescent="0.35"/>
    <row r="22" ht="14.5" x14ac:dyDescent="0.35"/>
    <row r="23" ht="14.5" x14ac:dyDescent="0.35"/>
    <row r="24" ht="14.5" x14ac:dyDescent="0.35"/>
    <row r="25" ht="14.5" x14ac:dyDescent="0.35"/>
    <row r="26" ht="14.5" x14ac:dyDescent="0.35"/>
    <row r="27" ht="14.5" x14ac:dyDescent="0.35"/>
    <row r="28" ht="14.5" x14ac:dyDescent="0.35"/>
    <row r="29" ht="14.5" x14ac:dyDescent="0.35"/>
    <row r="30" ht="14.5" x14ac:dyDescent="0.35"/>
    <row r="31" ht="14.5" x14ac:dyDescent="0.35"/>
    <row r="32" ht="14.5" x14ac:dyDescent="0.35"/>
    <row r="33" spans="11:20" s="2" customFormat="1" ht="14.5" x14ac:dyDescent="0.35"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1:20" s="2" customFormat="1" ht="14.5" x14ac:dyDescent="0.35"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1:20" s="2" customFormat="1" ht="14.5" x14ac:dyDescent="0.35"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1:20" s="2" customFormat="1" ht="14.5" x14ac:dyDescent="0.35"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1:20" s="2" customFormat="1" ht="14.5" x14ac:dyDescent="0.35"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1:20" s="2" customFormat="1" ht="14.5" x14ac:dyDescent="0.35"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1:20" s="2" customFormat="1" ht="14.5" x14ac:dyDescent="0.35"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1:20" s="2" customFormat="1" ht="14.5" x14ac:dyDescent="0.35"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1:20" s="2" customFormat="1" ht="14.5" x14ac:dyDescent="0.35"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1:20" s="2" customFormat="1" ht="14.5" x14ac:dyDescent="0.35"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1:20" s="2" customFormat="1" ht="14.5" x14ac:dyDescent="0.35"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1:20" s="2" customFormat="1" ht="14.5" x14ac:dyDescent="0.35"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1:20" s="2" customFormat="1" ht="14.5" x14ac:dyDescent="0.35"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1:20" s="2" customFormat="1" ht="14.5" x14ac:dyDescent="0.35"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1:20" s="2" customFormat="1" ht="14.5" x14ac:dyDescent="0.35"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1:20" s="2" customFormat="1" ht="14.5" x14ac:dyDescent="0.35"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1:20" s="2" customFormat="1" ht="14.5" x14ac:dyDescent="0.35"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1:20" s="2" customFormat="1" ht="14.5" x14ac:dyDescent="0.35"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1:20" s="2" customFormat="1" ht="14.5" x14ac:dyDescent="0.35"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1:20" s="2" customFormat="1" ht="14.5" x14ac:dyDescent="0.35"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1:20" s="2" customFormat="1" ht="14.5" x14ac:dyDescent="0.35"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1:20" s="2" customFormat="1" ht="14.5" x14ac:dyDescent="0.35"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1:20" s="2" customFormat="1" ht="14.5" x14ac:dyDescent="0.35"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1:20" s="2" customFormat="1" ht="14.5" x14ac:dyDescent="0.35"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1:20" s="2" customFormat="1" ht="14.5" x14ac:dyDescent="0.35"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1:20" s="2" customFormat="1" ht="14.5" x14ac:dyDescent="0.35"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1:20" s="2" customFormat="1" ht="14.5" x14ac:dyDescent="0.35"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1:20" s="2" customFormat="1" ht="14.5" x14ac:dyDescent="0.35"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1:20" s="2" customFormat="1" ht="14.5" x14ac:dyDescent="0.35"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1:20" s="2" customFormat="1" ht="14.5" x14ac:dyDescent="0.35"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1:20" s="2" customFormat="1" ht="14.5" x14ac:dyDescent="0.35"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1:20" s="2" customFormat="1" ht="14.5" x14ac:dyDescent="0.35"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1:20" s="2" customFormat="1" ht="14.5" x14ac:dyDescent="0.35"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1:20" s="2" customFormat="1" ht="14.5" x14ac:dyDescent="0.35"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11:20" s="2" customFormat="1" ht="14.5" x14ac:dyDescent="0.35"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1:20" s="2" customFormat="1" ht="14.5" x14ac:dyDescent="0.35"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1:20" s="2" customFormat="1" ht="14.5" x14ac:dyDescent="0.35"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1:20" s="2" customFormat="1" ht="14.5" x14ac:dyDescent="0.35"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1:20" s="2" customFormat="1" ht="14.5" x14ac:dyDescent="0.35"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1:20" s="2" customFormat="1" ht="14.5" x14ac:dyDescent="0.35"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1:20" s="2" customFormat="1" ht="14.5" x14ac:dyDescent="0.35"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1:20" s="2" customFormat="1" ht="14.5" x14ac:dyDescent="0.35"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1:20" s="2" customFormat="1" ht="14.5" x14ac:dyDescent="0.35"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11:20" s="2" customFormat="1" ht="14.5" x14ac:dyDescent="0.35"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1:20" s="2" customFormat="1" ht="14.5" x14ac:dyDescent="0.35"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1:20" s="2" customFormat="1" ht="14.5" x14ac:dyDescent="0.35"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1:20" s="2" customFormat="1" ht="14.5" x14ac:dyDescent="0.35"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1:20" s="2" customFormat="1" ht="14.5" x14ac:dyDescent="0.35"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11:20" s="2" customFormat="1" ht="14.5" x14ac:dyDescent="0.35"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1:20" s="2" customFormat="1" ht="14.5" x14ac:dyDescent="0.35"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1:20" s="2" customFormat="1" ht="14.5" x14ac:dyDescent="0.35">
      <c r="K83" s="5"/>
      <c r="L83" s="5"/>
      <c r="M83" s="5"/>
      <c r="N83" s="5"/>
      <c r="O83" s="5"/>
      <c r="P83" s="5"/>
      <c r="Q83" s="5"/>
      <c r="R83" s="5"/>
      <c r="S83" s="5"/>
      <c r="T83" s="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65F2C0ACA78344080F29D864E0C79DB" ma:contentTypeVersion="3" ma:contentTypeDescription="Crear nuevo documento." ma:contentTypeScope="" ma:versionID="ff5d4d8830283f93e8c73da7da2693c5">
  <xsd:schema xmlns:xsd="http://www.w3.org/2001/XMLSchema" xmlns:xs="http://www.w3.org/2001/XMLSchema" xmlns:p="http://schemas.microsoft.com/office/2006/metadata/properties" xmlns:ns2="70bf8979-72e7-4702-a579-5ad6b97d3f8d" targetNamespace="http://schemas.microsoft.com/office/2006/metadata/properties" ma:root="true" ma:fieldsID="cb9df6955a97401619c0ccfdfcdfb7d8" ns2:_="">
    <xsd:import namespace="70bf8979-72e7-4702-a579-5ad6b97d3f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bf8979-72e7-4702-a579-5ad6b97d3f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683F29-1C0F-4A7F-B066-CADCE18EE6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bf8979-72e7-4702-a579-5ad6b97d3f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6F2FB7-3DBF-451B-97DB-2498307F8E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6B46AF-A70E-4986-91F8-5740A822A97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Resumen de Anexos </vt:lpstr>
      <vt:lpstr>Sección 1. </vt:lpstr>
      <vt:lpstr>Tabla A1.</vt:lpstr>
      <vt:lpstr>Tabla A2.</vt:lpstr>
      <vt:lpstr>Tabla A3.</vt:lpstr>
      <vt:lpstr>Tabla A4.</vt:lpstr>
      <vt:lpstr>Tabla A5.</vt:lpstr>
      <vt:lpstr>Tabla A6.</vt:lpstr>
      <vt:lpstr>Tabla A7.</vt:lpstr>
      <vt:lpstr>Tabla TN1.</vt:lpstr>
      <vt:lpstr> Tabla TNA1.</vt:lpstr>
      <vt:lpstr>Tabla TNA2.</vt:lpstr>
      <vt:lpstr>Tabla A1. Formulado</vt:lpstr>
      <vt:lpstr>Tabla A2. Formulado</vt:lpstr>
      <vt:lpstr>Tabla A3. Formulado</vt:lpstr>
      <vt:lpstr>Tabla A4. Formulado</vt:lpstr>
      <vt:lpstr>Tabla A5. Formulado</vt:lpstr>
      <vt:lpstr>TNA1. Formulado</vt:lpstr>
      <vt:lpstr>TNA2. Formulado </vt:lpstr>
      <vt:lpstr>Indicadores Tradicionales</vt:lpstr>
      <vt:lpstr>Indicadores Estratégicos</vt:lpstr>
      <vt:lpstr>Sección 2</vt:lpstr>
      <vt:lpstr>Calculo WACC</vt:lpstr>
      <vt:lpstr>Analysis (Yahoo Finance)</vt:lpstr>
      <vt:lpstr>Weekly Quotes (Yahoo Finance)</vt:lpstr>
      <vt:lpstr>Sección 3. </vt:lpstr>
      <vt:lpstr>TN7. Analisis de Opc. de Fin. </vt:lpstr>
      <vt:lpstr>Calculo WACC Opc. de Fin.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Norberto Moreno</dc:creator>
  <cp:keywords/>
  <dc:description/>
  <cp:lastModifiedBy>Mapura, Pamela</cp:lastModifiedBy>
  <cp:revision/>
  <dcterms:created xsi:type="dcterms:W3CDTF">2018-08-05T15:25:36Z</dcterms:created>
  <dcterms:modified xsi:type="dcterms:W3CDTF">2023-05-31T00:27:53Z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0x010100D65F2C0ACA78344080F29D864E0C79DB</vt:lpwstr>
  </property>
</Properties>
</file>