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11"/>
  <workbookPr defaultThemeVersion="166925"/>
  <mc:AlternateContent xmlns:mc="http://schemas.openxmlformats.org/markup-compatibility/2006">
    <mc:Choice Requires="x15">
      <x15ac:absPath xmlns:x15ac="http://schemas.microsoft.com/office/spreadsheetml/2010/11/ac" url="/Users/ctonguino/Downloads/"/>
    </mc:Choice>
  </mc:AlternateContent>
  <xr:revisionPtr revIDLastSave="0" documentId="13_ncr:1_{0E7A70C9-A8F5-6F4D-B758-3F90CD3014B8}" xr6:coauthVersionLast="47" xr6:coauthVersionMax="47" xr10:uidLastSave="{00000000-0000-0000-0000-000000000000}"/>
  <bookViews>
    <workbookView xWindow="2180" yWindow="780" windowWidth="33660" windowHeight="19280" tabRatio="668" activeTab="1" xr2:uid="{00000000-000D-0000-FFFF-FFFF00000000}"/>
  </bookViews>
  <sheets>
    <sheet name="Proyeccion estados financieros" sheetId="15" state="hidden" r:id="rId1"/>
    <sheet name="Indice" sheetId="17" r:id="rId2"/>
    <sheet name="Costos y Gastos Fijos" sheetId="1" r:id="rId3"/>
    <sheet name="Costo de Capital" sheetId="11" r:id="rId4"/>
    <sheet name="Tasa de retorno minima" sheetId="13" r:id="rId5"/>
    <sheet name="Hipótesis de Ingresos MVP " sheetId="3" r:id="rId6"/>
    <sheet name="Ingresos MVP Análisis PERT" sheetId="2" r:id="rId7"/>
    <sheet name="ContabilidaddeInnovación Año2" sheetId="4" r:id="rId8"/>
    <sheet name="ContabilidaddeInnovación Año3" sheetId="8" r:id="rId9"/>
    <sheet name="ContabilidaddeInnovación Año 4" sheetId="10" r:id="rId10"/>
    <sheet name="Analisis de Insurtechs" sheetId="16" r:id="rId11"/>
    <sheet name="Modelo Financiero" sheetId="14" r:id="rId12"/>
  </sheets>
  <definedNames>
    <definedName name="_10_Year_Breakeven_Inflation_Rate" localSheetId="3">'Costo de Capital'!$C$48</definedName>
    <definedName name="_xlnm.Print_Area" localSheetId="0">'Proyeccion estados financieros'!$I$115:$I$176</definedName>
    <definedName name="Beta_Apalancado__Software_internet" localSheetId="3">'Costo de Capital'!$C$33</definedName>
    <definedName name="BetaApalancado___INDUSTRIA" localSheetId="3">'Costo de Capital'!$C$27</definedName>
    <definedName name="BetaDesapalancado__INDUSTRIA" localSheetId="3">'Costo de Capital'!$C$30</definedName>
    <definedName name="CDS" localSheetId="3">'Costo de Capital'!$C$39</definedName>
    <definedName name="CIQWBGuid" hidden="1">"2cd8126d-26c3-430c-b7fa-a069e3a1fc62"</definedName>
    <definedName name="Costo_de_Capital_WACC" localSheetId="4">'Tasa de retorno minima'!$D$5</definedName>
    <definedName name="D_E_RATIO___INDUSTRIA" localSheetId="3">'Costo de Capital'!$C$28</definedName>
    <definedName name="D_E_RATIO_Agencia_Digital" localSheetId="3">'Costo de Capital'!$C$32</definedName>
    <definedName name="Devaluación_Esperada" localSheetId="3">'Costo de Capital'!$C$54</definedName>
    <definedName name="E_Rm" localSheetId="3">'Costo de Capital'!$D$19</definedName>
    <definedName name="Equity_Risk_Premiun___Software_Internet" localSheetId="3">'Costo de Capital'!$C$34</definedName>
    <definedName name="Estimación_Inflación_Colombia" localSheetId="3">'Costo de Capital'!$C$50</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"10/01/2018 15:52:08"</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e_COP_Nominal">'Costo de Capital'!$C$58</definedName>
    <definedName name="Ke_USD_Nominal" localSheetId="3">'Costo de Capital'!$C$44</definedName>
    <definedName name="MRP">'Costo de Capital'!$D$20</definedName>
    <definedName name="Rf" localSheetId="3">'Costo de Capital'!$D$18</definedName>
    <definedName name="T" localSheetId="4">'Tasa de retorno minima'!$D$6</definedName>
    <definedName name="tCol" localSheetId="3">'Costo de Capital'!$D$17</definedName>
    <definedName name="tEEUU" localSheetId="3">'Costo de Capital'!$D$16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421" i="15" l="1"/>
  <c r="B422" i="15"/>
  <c r="Y107" i="10"/>
  <c r="J45" i="14"/>
  <c r="G35" i="14"/>
  <c r="F35" i="14"/>
  <c r="H34" i="14"/>
  <c r="I34" i="14" s="1"/>
  <c r="G34" i="14"/>
  <c r="F34" i="14"/>
  <c r="E34" i="14"/>
  <c r="I21" i="14"/>
  <c r="H21" i="14"/>
  <c r="G21" i="14"/>
  <c r="F21" i="14"/>
  <c r="I16" i="14"/>
  <c r="H16" i="14"/>
  <c r="G16" i="14"/>
  <c r="F16" i="14"/>
  <c r="I51" i="16"/>
  <c r="I50" i="16"/>
  <c r="H51" i="16"/>
  <c r="H50" i="16"/>
  <c r="E51" i="16"/>
  <c r="E50" i="16"/>
  <c r="J44" i="16"/>
  <c r="D16" i="16"/>
  <c r="E16" i="16"/>
  <c r="F16" i="16"/>
  <c r="G16" i="16"/>
  <c r="M16" i="16"/>
  <c r="N16" i="16"/>
  <c r="M30" i="16"/>
  <c r="M32" i="16" s="1"/>
  <c r="N30" i="16"/>
  <c r="N32" i="16" s="1"/>
  <c r="D31" i="16"/>
  <c r="D33" i="16" s="1"/>
  <c r="E31" i="16"/>
  <c r="E33" i="16" s="1"/>
  <c r="F31" i="16"/>
  <c r="F33" i="16" s="1"/>
  <c r="G31" i="16"/>
  <c r="G33" i="16" s="1"/>
  <c r="D41" i="16"/>
  <c r="H41" i="16"/>
  <c r="I41" i="16"/>
  <c r="D42" i="16"/>
  <c r="H42" i="16"/>
  <c r="I42" i="16"/>
  <c r="D43" i="16"/>
  <c r="H43" i="16"/>
  <c r="I43" i="16"/>
  <c r="D50" i="16"/>
  <c r="F50" i="16"/>
  <c r="G50" i="16"/>
  <c r="D51" i="16"/>
  <c r="F51" i="16"/>
  <c r="G51" i="16"/>
  <c r="F43" i="16" l="1"/>
  <c r="D44" i="16"/>
  <c r="G42" i="16" s="1"/>
  <c r="E41" i="16"/>
  <c r="E42" i="16"/>
  <c r="J42" i="16" s="1"/>
  <c r="E43" i="16"/>
  <c r="K43" i="16" s="1"/>
  <c r="F42" i="16"/>
  <c r="F44" i="16" s="1"/>
  <c r="G43" i="16"/>
  <c r="B53" i="15"/>
  <c r="B50" i="15"/>
  <c r="K41" i="16" l="1"/>
  <c r="J41" i="16"/>
  <c r="G41" i="16"/>
  <c r="K42" i="16"/>
  <c r="J43" i="16"/>
  <c r="I13" i="14"/>
  <c r="I11" i="14"/>
  <c r="G44" i="16"/>
  <c r="E23" i="1"/>
  <c r="E22" i="1"/>
  <c r="E21" i="1"/>
  <c r="E8" i="1"/>
  <c r="E18" i="1"/>
  <c r="E20" i="1" s="1"/>
  <c r="E26" i="1" s="1"/>
  <c r="E28" i="1" s="1"/>
  <c r="G41" i="15"/>
  <c r="F41" i="15"/>
  <c r="E41" i="15"/>
  <c r="D41" i="15"/>
  <c r="C41" i="15"/>
  <c r="D61" i="15"/>
  <c r="D206" i="15" s="1"/>
  <c r="D254" i="15" s="1"/>
  <c r="D302" i="15" s="1"/>
  <c r="D349" i="15" s="1"/>
  <c r="D406" i="15" s="1"/>
  <c r="D407" i="15" s="1"/>
  <c r="C3" i="15"/>
  <c r="C141" i="15" s="1"/>
  <c r="A562" i="15"/>
  <c r="C556" i="15"/>
  <c r="B568" i="15" s="1"/>
  <c r="A545" i="15"/>
  <c r="C539" i="15"/>
  <c r="C545" i="15" s="1"/>
  <c r="F509" i="15"/>
  <c r="E509" i="15"/>
  <c r="D509" i="15"/>
  <c r="C509" i="15"/>
  <c r="B501" i="15"/>
  <c r="B499" i="15"/>
  <c r="B498" i="15"/>
  <c r="B497" i="15" s="1"/>
  <c r="F490" i="15"/>
  <c r="B490" i="15"/>
  <c r="F484" i="15"/>
  <c r="E484" i="15"/>
  <c r="D484" i="15"/>
  <c r="C499" i="15" s="1"/>
  <c r="C484" i="15"/>
  <c r="B484" i="15"/>
  <c r="B447" i="15"/>
  <c r="B448" i="15" s="1"/>
  <c r="B449" i="15" s="1"/>
  <c r="B450" i="15" s="1"/>
  <c r="E445" i="15"/>
  <c r="F445" i="15" s="1"/>
  <c r="G445" i="15" s="1"/>
  <c r="D445" i="15"/>
  <c r="B439" i="15"/>
  <c r="B438" i="15"/>
  <c r="A354" i="15"/>
  <c r="H349" i="15"/>
  <c r="H348" i="15"/>
  <c r="H347" i="15"/>
  <c r="H346" i="15"/>
  <c r="H345" i="15"/>
  <c r="H344" i="15"/>
  <c r="H343" i="15"/>
  <c r="H342" i="15"/>
  <c r="H341" i="15"/>
  <c r="H340" i="15"/>
  <c r="H339" i="15"/>
  <c r="H338" i="15"/>
  <c r="H337" i="15"/>
  <c r="H336" i="15"/>
  <c r="H335" i="15"/>
  <c r="H334" i="15"/>
  <c r="H333" i="15"/>
  <c r="H332" i="15"/>
  <c r="H331" i="15"/>
  <c r="H330" i="15"/>
  <c r="H329" i="15"/>
  <c r="H328" i="15"/>
  <c r="H327" i="15"/>
  <c r="H326" i="15"/>
  <c r="H325" i="15"/>
  <c r="H324" i="15"/>
  <c r="H323" i="15"/>
  <c r="H322" i="15"/>
  <c r="H321" i="15"/>
  <c r="H320" i="15"/>
  <c r="H319" i="15"/>
  <c r="H318" i="15"/>
  <c r="H317" i="15"/>
  <c r="H316" i="15"/>
  <c r="H315" i="15"/>
  <c r="H314" i="15"/>
  <c r="A312" i="15"/>
  <c r="A307" i="15"/>
  <c r="A260" i="15"/>
  <c r="A254" i="15"/>
  <c r="A302" i="15" s="1"/>
  <c r="A349" i="15" s="1"/>
  <c r="A406" i="15" s="1"/>
  <c r="A249" i="15"/>
  <c r="A297" i="15" s="1"/>
  <c r="A322" i="15" s="1"/>
  <c r="A365" i="15" s="1"/>
  <c r="A248" i="15"/>
  <c r="A296" i="15" s="1"/>
  <c r="A321" i="15" s="1"/>
  <c r="A364" i="15" s="1"/>
  <c r="A212" i="15"/>
  <c r="A206" i="15"/>
  <c r="A205" i="15"/>
  <c r="A195" i="15"/>
  <c r="A231" i="15" s="1"/>
  <c r="A279" i="15" s="1"/>
  <c r="A327" i="15" s="1"/>
  <c r="A372" i="15" s="1"/>
  <c r="A186" i="15"/>
  <c r="A222" i="15" s="1"/>
  <c r="A272" i="15" s="1"/>
  <c r="A331" i="15" s="1"/>
  <c r="A378" i="15" s="1"/>
  <c r="A180" i="15"/>
  <c r="A216" i="15" s="1"/>
  <c r="A264" i="15" s="1"/>
  <c r="A311" i="15" s="1"/>
  <c r="A176" i="15"/>
  <c r="A173" i="15"/>
  <c r="A187" i="15" s="1"/>
  <c r="A223" i="15" s="1"/>
  <c r="A273" i="15" s="1"/>
  <c r="A332" i="15" s="1"/>
  <c r="A366" i="15" s="1"/>
  <c r="A172" i="15"/>
  <c r="A171" i="15"/>
  <c r="A169" i="15"/>
  <c r="A207" i="15" s="1"/>
  <c r="A255" i="15" s="1"/>
  <c r="A168" i="15"/>
  <c r="A167" i="15"/>
  <c r="A204" i="15" s="1"/>
  <c r="A240" i="15" s="1"/>
  <c r="A288" i="15" s="1"/>
  <c r="A345" i="15" s="1"/>
  <c r="A395" i="15" s="1"/>
  <c r="A166" i="15"/>
  <c r="A203" i="15" s="1"/>
  <c r="A239" i="15" s="1"/>
  <c r="A287" i="15" s="1"/>
  <c r="A344" i="15" s="1"/>
  <c r="A394" i="15" s="1"/>
  <c r="A165" i="15"/>
  <c r="A202" i="15" s="1"/>
  <c r="A238" i="15" s="1"/>
  <c r="A286" i="15" s="1"/>
  <c r="A334" i="15" s="1"/>
  <c r="A380" i="15" s="1"/>
  <c r="A164" i="15"/>
  <c r="A201" i="15" s="1"/>
  <c r="A237" i="15" s="1"/>
  <c r="A285" i="15" s="1"/>
  <c r="A348" i="15" s="1"/>
  <c r="A402" i="15" s="1"/>
  <c r="A163" i="15"/>
  <c r="A200" i="15" s="1"/>
  <c r="A236" i="15" s="1"/>
  <c r="A284" i="15" s="1"/>
  <c r="A341" i="15" s="1"/>
  <c r="A391" i="15" s="1"/>
  <c r="A162" i="15"/>
  <c r="A199" i="15" s="1"/>
  <c r="A235" i="15" s="1"/>
  <c r="A283" i="15" s="1"/>
  <c r="A340" i="15" s="1"/>
  <c r="A390" i="15" s="1"/>
  <c r="A161" i="15"/>
  <c r="A198" i="15" s="1"/>
  <c r="A234" i="15" s="1"/>
  <c r="A282" i="15" s="1"/>
  <c r="A330" i="15" s="1"/>
  <c r="A375" i="15" s="1"/>
  <c r="A160" i="15"/>
  <c r="A197" i="15" s="1"/>
  <c r="A233" i="15" s="1"/>
  <c r="A281" i="15" s="1"/>
  <c r="A329" i="15" s="1"/>
  <c r="A374" i="15" s="1"/>
  <c r="A159" i="15"/>
  <c r="A196" i="15" s="1"/>
  <c r="A232" i="15" s="1"/>
  <c r="A280" i="15" s="1"/>
  <c r="A328" i="15" s="1"/>
  <c r="A373" i="15" s="1"/>
  <c r="A158" i="15"/>
  <c r="A157" i="15"/>
  <c r="A194" i="15" s="1"/>
  <c r="A230" i="15" s="1"/>
  <c r="A278" i="15" s="1"/>
  <c r="A326" i="15" s="1"/>
  <c r="A371" i="15" s="1"/>
  <c r="A156" i="15"/>
  <c r="A193" i="15" s="1"/>
  <c r="A229" i="15" s="1"/>
  <c r="A277" i="15" s="1"/>
  <c r="A347" i="15" s="1"/>
  <c r="A401" i="15" s="1"/>
  <c r="A154" i="15"/>
  <c r="A191" i="15" s="1"/>
  <c r="A227" i="15" s="1"/>
  <c r="A153" i="15"/>
  <c r="A190" i="15" s="1"/>
  <c r="A226" i="15" s="1"/>
  <c r="A276" i="15" s="1"/>
  <c r="A343" i="15" s="1"/>
  <c r="A393" i="15" s="1"/>
  <c r="A152" i="15"/>
  <c r="A189" i="15" s="1"/>
  <c r="A225" i="15" s="1"/>
  <c r="A275" i="15" s="1"/>
  <c r="A342" i="15" s="1"/>
  <c r="A392" i="15" s="1"/>
  <c r="A151" i="15"/>
  <c r="A188" i="15" s="1"/>
  <c r="A224" i="15" s="1"/>
  <c r="A274" i="15" s="1"/>
  <c r="A333" i="15" s="1"/>
  <c r="A379" i="15" s="1"/>
  <c r="A150" i="15"/>
  <c r="A149" i="15"/>
  <c r="A185" i="15" s="1"/>
  <c r="A221" i="15" s="1"/>
  <c r="A271" i="15" s="1"/>
  <c r="A339" i="15" s="1"/>
  <c r="A389" i="15" s="1"/>
  <c r="A148" i="15"/>
  <c r="A184" i="15" s="1"/>
  <c r="A220" i="15" s="1"/>
  <c r="A270" i="15" s="1"/>
  <c r="A338" i="15" s="1"/>
  <c r="A388" i="15" s="1"/>
  <c r="A147" i="15"/>
  <c r="A183" i="15" s="1"/>
  <c r="A219" i="15" s="1"/>
  <c r="A269" i="15" s="1"/>
  <c r="A325" i="15" s="1"/>
  <c r="A370" i="15" s="1"/>
  <c r="A146" i="15"/>
  <c r="A182" i="15" s="1"/>
  <c r="A218" i="15" s="1"/>
  <c r="A268" i="15" s="1"/>
  <c r="A324" i="15" s="1"/>
  <c r="A369" i="15" s="1"/>
  <c r="A145" i="15"/>
  <c r="A181" i="15" s="1"/>
  <c r="A217" i="15" s="1"/>
  <c r="A267" i="15" s="1"/>
  <c r="A323" i="15" s="1"/>
  <c r="A368" i="15" s="1"/>
  <c r="A144" i="15"/>
  <c r="A143" i="15"/>
  <c r="A179" i="15" s="1"/>
  <c r="A215" i="15" s="1"/>
  <c r="A263" i="15" s="1"/>
  <c r="A310" i="15" s="1"/>
  <c r="A140" i="15"/>
  <c r="A135" i="15"/>
  <c r="A134" i="15"/>
  <c r="A253" i="15" s="1"/>
  <c r="A301" i="15" s="1"/>
  <c r="A337" i="15" s="1"/>
  <c r="A133" i="15"/>
  <c r="A252" i="15" s="1"/>
  <c r="A300" i="15" s="1"/>
  <c r="A346" i="15" s="1"/>
  <c r="A400" i="15" s="1"/>
  <c r="A132" i="15"/>
  <c r="A251" i="15" s="1"/>
  <c r="A299" i="15" s="1"/>
  <c r="A336" i="15" s="1"/>
  <c r="A385" i="15" s="1"/>
  <c r="A131" i="15"/>
  <c r="A250" i="15" s="1"/>
  <c r="A298" i="15" s="1"/>
  <c r="A335" i="15" s="1"/>
  <c r="A384" i="15" s="1"/>
  <c r="A128" i="15"/>
  <c r="A247" i="15" s="1"/>
  <c r="A295" i="15" s="1"/>
  <c r="A320" i="15" s="1"/>
  <c r="A363" i="15" s="1"/>
  <c r="A127" i="15"/>
  <c r="A246" i="15" s="1"/>
  <c r="A294" i="15" s="1"/>
  <c r="A319" i="15" s="1"/>
  <c r="A362" i="15" s="1"/>
  <c r="A126" i="15"/>
  <c r="A245" i="15" s="1"/>
  <c r="A293" i="15" s="1"/>
  <c r="A318" i="15" s="1"/>
  <c r="A361" i="15" s="1"/>
  <c r="A125" i="15"/>
  <c r="A244" i="15" s="1"/>
  <c r="A292" i="15" s="1"/>
  <c r="A317" i="15" s="1"/>
  <c r="A360" i="15" s="1"/>
  <c r="A124" i="15"/>
  <c r="A243" i="15" s="1"/>
  <c r="A291" i="15" s="1"/>
  <c r="A316" i="15" s="1"/>
  <c r="A359" i="15" s="1"/>
  <c r="A123" i="15"/>
  <c r="A242" i="15" s="1"/>
  <c r="A290" i="15" s="1"/>
  <c r="A315" i="15" s="1"/>
  <c r="A358" i="15" s="1"/>
  <c r="A122" i="15"/>
  <c r="A241" i="15" s="1"/>
  <c r="A289" i="15" s="1"/>
  <c r="A314" i="15" s="1"/>
  <c r="A357" i="15" s="1"/>
  <c r="C120" i="15"/>
  <c r="A119" i="15"/>
  <c r="B99" i="15"/>
  <c r="B39" i="15" s="1"/>
  <c r="G98" i="15"/>
  <c r="G93" i="15"/>
  <c r="F93" i="15"/>
  <c r="E93" i="15"/>
  <c r="D93" i="15"/>
  <c r="D167" i="15" s="1"/>
  <c r="D204" i="15" s="1"/>
  <c r="D240" i="15" s="1"/>
  <c r="D288" i="15" s="1"/>
  <c r="D345" i="15" s="1"/>
  <c r="D395" i="15" s="1"/>
  <c r="C93" i="15"/>
  <c r="C167" i="15" s="1"/>
  <c r="C204" i="15" s="1"/>
  <c r="C240" i="15" s="1"/>
  <c r="C288" i="15" s="1"/>
  <c r="C345" i="15" s="1"/>
  <c r="C395" i="15" s="1"/>
  <c r="G92" i="15"/>
  <c r="F92" i="15"/>
  <c r="E92" i="15"/>
  <c r="D92" i="15"/>
  <c r="C92" i="15"/>
  <c r="C166" i="15" s="1"/>
  <c r="C203" i="15" s="1"/>
  <c r="C239" i="15" s="1"/>
  <c r="C287" i="15" s="1"/>
  <c r="C344" i="15" s="1"/>
  <c r="C394" i="15" s="1"/>
  <c r="G91" i="15"/>
  <c r="G165" i="15" s="1"/>
  <c r="G202" i="15" s="1"/>
  <c r="G238" i="15" s="1"/>
  <c r="G286" i="15" s="1"/>
  <c r="G334" i="15" s="1"/>
  <c r="G380" i="15" s="1"/>
  <c r="F91" i="15"/>
  <c r="F165" i="15" s="1"/>
  <c r="F202" i="15" s="1"/>
  <c r="F238" i="15" s="1"/>
  <c r="F286" i="15" s="1"/>
  <c r="F334" i="15" s="1"/>
  <c r="F380" i="15" s="1"/>
  <c r="E91" i="15"/>
  <c r="D91" i="15"/>
  <c r="C91" i="15"/>
  <c r="C165" i="15" s="1"/>
  <c r="C202" i="15" s="1"/>
  <c r="C238" i="15" s="1"/>
  <c r="C286" i="15" s="1"/>
  <c r="C334" i="15" s="1"/>
  <c r="C380" i="15" s="1"/>
  <c r="G90" i="15"/>
  <c r="F90" i="15"/>
  <c r="E90" i="15"/>
  <c r="D90" i="15"/>
  <c r="C90" i="15"/>
  <c r="C164" i="15" s="1"/>
  <c r="C201" i="15" s="1"/>
  <c r="C237" i="15" s="1"/>
  <c r="C285" i="15" s="1"/>
  <c r="C348" i="15" s="1"/>
  <c r="C402" i="15" s="1"/>
  <c r="G79" i="15"/>
  <c r="F79" i="15"/>
  <c r="E79" i="15"/>
  <c r="D79" i="15"/>
  <c r="C79" i="15"/>
  <c r="C153" i="15" s="1"/>
  <c r="C190" i="15" s="1"/>
  <c r="C226" i="15" s="1"/>
  <c r="C276" i="15" s="1"/>
  <c r="C343" i="15" s="1"/>
  <c r="C393" i="15" s="1"/>
  <c r="G77" i="15"/>
  <c r="F77" i="15"/>
  <c r="E77" i="15"/>
  <c r="D77" i="15"/>
  <c r="C77" i="15"/>
  <c r="C151" i="15" s="1"/>
  <c r="C188" i="15" s="1"/>
  <c r="C224" i="15" s="1"/>
  <c r="C274" i="15" s="1"/>
  <c r="C333" i="15" s="1"/>
  <c r="C379" i="15" s="1"/>
  <c r="G56" i="15"/>
  <c r="G133" i="15" s="1"/>
  <c r="G252" i="15" s="1"/>
  <c r="G300" i="15" s="1"/>
  <c r="G346" i="15" s="1"/>
  <c r="G400" i="15" s="1"/>
  <c r="F56" i="15"/>
  <c r="F133" i="15" s="1"/>
  <c r="F252" i="15" s="1"/>
  <c r="F300" i="15" s="1"/>
  <c r="F346" i="15" s="1"/>
  <c r="F400" i="15" s="1"/>
  <c r="E56" i="15"/>
  <c r="E133" i="15" s="1"/>
  <c r="E252" i="15" s="1"/>
  <c r="E300" i="15" s="1"/>
  <c r="E346" i="15" s="1"/>
  <c r="E400" i="15" s="1"/>
  <c r="D56" i="15"/>
  <c r="D133" i="15" s="1"/>
  <c r="D252" i="15" s="1"/>
  <c r="D300" i="15" s="1"/>
  <c r="D346" i="15" s="1"/>
  <c r="D400" i="15" s="1"/>
  <c r="C56" i="15"/>
  <c r="C133" i="15" s="1"/>
  <c r="C252" i="15" s="1"/>
  <c r="C300" i="15" s="1"/>
  <c r="C346" i="15" s="1"/>
  <c r="C400" i="15" s="1"/>
  <c r="C46" i="15"/>
  <c r="B46" i="15"/>
  <c r="B37" i="15"/>
  <c r="B33" i="15"/>
  <c r="B31" i="15"/>
  <c r="B30" i="15"/>
  <c r="B29" i="15"/>
  <c r="G28" i="15"/>
  <c r="F28" i="15"/>
  <c r="E28" i="15"/>
  <c r="D28" i="15"/>
  <c r="C28" i="15"/>
  <c r="B28" i="15"/>
  <c r="G26" i="15"/>
  <c r="G78" i="15" s="1"/>
  <c r="G152" i="15" s="1"/>
  <c r="G189" i="15" s="1"/>
  <c r="G225" i="15" s="1"/>
  <c r="G275" i="15" s="1"/>
  <c r="G342" i="15" s="1"/>
  <c r="G392" i="15" s="1"/>
  <c r="F26" i="15"/>
  <c r="F78" i="15" s="1"/>
  <c r="E26" i="15"/>
  <c r="E78" i="15" s="1"/>
  <c r="D26" i="15"/>
  <c r="D78" i="15" s="1"/>
  <c r="C26" i="15"/>
  <c r="C78" i="15" s="1"/>
  <c r="C152" i="15" s="1"/>
  <c r="C189" i="15" s="1"/>
  <c r="C225" i="15" s="1"/>
  <c r="C275" i="15" s="1"/>
  <c r="C342" i="15" s="1"/>
  <c r="C392" i="15" s="1"/>
  <c r="B26" i="15"/>
  <c r="G24" i="15"/>
  <c r="G97" i="15" s="1"/>
  <c r="F24" i="15"/>
  <c r="F97" i="15" s="1"/>
  <c r="E24" i="15"/>
  <c r="D24" i="15"/>
  <c r="C24" i="15"/>
  <c r="C76" i="15" s="1"/>
  <c r="C150" i="15" s="1"/>
  <c r="B24" i="15"/>
  <c r="G22" i="15"/>
  <c r="F22" i="15"/>
  <c r="E22" i="15"/>
  <c r="D22" i="15"/>
  <c r="C22" i="15"/>
  <c r="B22" i="15"/>
  <c r="B20" i="15"/>
  <c r="B18" i="15"/>
  <c r="G61" i="15"/>
  <c r="G206" i="15" s="1"/>
  <c r="G254" i="15" s="1"/>
  <c r="G302" i="15" s="1"/>
  <c r="G349" i="15" s="1"/>
  <c r="G406" i="15" s="1"/>
  <c r="G407" i="15" s="1"/>
  <c r="F61" i="15"/>
  <c r="F206" i="15" s="1"/>
  <c r="F254" i="15" s="1"/>
  <c r="F302" i="15" s="1"/>
  <c r="F349" i="15" s="1"/>
  <c r="F406" i="15" s="1"/>
  <c r="F407" i="15" s="1"/>
  <c r="E61" i="15"/>
  <c r="E206" i="15" s="1"/>
  <c r="E254" i="15" s="1"/>
  <c r="E302" i="15" s="1"/>
  <c r="E349" i="15" s="1"/>
  <c r="E406" i="15" s="1"/>
  <c r="E407" i="15" s="1"/>
  <c r="C61" i="15"/>
  <c r="C206" i="15" s="1"/>
  <c r="C254" i="15" s="1"/>
  <c r="C302" i="15" s="1"/>
  <c r="C349" i="15" s="1"/>
  <c r="C406" i="15" s="1"/>
  <c r="C407" i="15" s="1"/>
  <c r="B67" i="15"/>
  <c r="K44" i="16" l="1"/>
  <c r="E165" i="15"/>
  <c r="E202" i="15" s="1"/>
  <c r="E238" i="15" s="1"/>
  <c r="E286" i="15" s="1"/>
  <c r="E334" i="15" s="1"/>
  <c r="E380" i="15" s="1"/>
  <c r="F76" i="15"/>
  <c r="D497" i="15"/>
  <c r="C562" i="15"/>
  <c r="F151" i="15"/>
  <c r="F188" i="15" s="1"/>
  <c r="F224" i="15" s="1"/>
  <c r="F274" i="15" s="1"/>
  <c r="F333" i="15" s="1"/>
  <c r="F379" i="15" s="1"/>
  <c r="E167" i="15"/>
  <c r="E204" i="15" s="1"/>
  <c r="E240" i="15" s="1"/>
  <c r="E288" i="15" s="1"/>
  <c r="E345" i="15" s="1"/>
  <c r="E395" i="15" s="1"/>
  <c r="C498" i="15"/>
  <c r="D151" i="15"/>
  <c r="D188" i="15" s="1"/>
  <c r="D224" i="15" s="1"/>
  <c r="D274" i="15" s="1"/>
  <c r="D333" i="15" s="1"/>
  <c r="D379" i="15" s="1"/>
  <c r="F152" i="15"/>
  <c r="F189" i="15" s="1"/>
  <c r="F225" i="15" s="1"/>
  <c r="F275" i="15" s="1"/>
  <c r="F342" i="15" s="1"/>
  <c r="F392" i="15" s="1"/>
  <c r="G164" i="15"/>
  <c r="G201" i="15" s="1"/>
  <c r="G237" i="15" s="1"/>
  <c r="G285" i="15" s="1"/>
  <c r="G348" i="15" s="1"/>
  <c r="G402" i="15" s="1"/>
  <c r="F167" i="15"/>
  <c r="F204" i="15" s="1"/>
  <c r="F240" i="15" s="1"/>
  <c r="F288" i="15" s="1"/>
  <c r="F345" i="15" s="1"/>
  <c r="F395" i="15" s="1"/>
  <c r="D152" i="15"/>
  <c r="D189" i="15" s="1"/>
  <c r="D225" i="15" s="1"/>
  <c r="D275" i="15" s="1"/>
  <c r="D342" i="15" s="1"/>
  <c r="D392" i="15" s="1"/>
  <c r="C501" i="15"/>
  <c r="D501" i="15"/>
  <c r="C508" i="15" s="1"/>
  <c r="C308" i="15"/>
  <c r="C536" i="15"/>
  <c r="D3" i="15"/>
  <c r="D261" i="15" s="1"/>
  <c r="C177" i="15"/>
  <c r="C261" i="15"/>
  <c r="C355" i="15"/>
  <c r="C67" i="15"/>
  <c r="C213" i="15"/>
  <c r="C424" i="15"/>
  <c r="D425" i="15" s="1"/>
  <c r="D46" i="15"/>
  <c r="G171" i="15"/>
  <c r="G186" i="15" s="1"/>
  <c r="G222" i="15" s="1"/>
  <c r="G272" i="15" s="1"/>
  <c r="G331" i="15" s="1"/>
  <c r="G378" i="15" s="1"/>
  <c r="G99" i="15"/>
  <c r="E152" i="15"/>
  <c r="E189" i="15" s="1"/>
  <c r="E225" i="15" s="1"/>
  <c r="E275" i="15" s="1"/>
  <c r="E342" i="15" s="1"/>
  <c r="E392" i="15" s="1"/>
  <c r="E153" i="15"/>
  <c r="E190" i="15" s="1"/>
  <c r="E226" i="15" s="1"/>
  <c r="E276" i="15" s="1"/>
  <c r="E343" i="15" s="1"/>
  <c r="E393" i="15" s="1"/>
  <c r="G76" i="15"/>
  <c r="G153" i="15"/>
  <c r="G190" i="15" s="1"/>
  <c r="G226" i="15" s="1"/>
  <c r="G276" i="15" s="1"/>
  <c r="G343" i="15" s="1"/>
  <c r="G393" i="15" s="1"/>
  <c r="E164" i="15"/>
  <c r="E201" i="15" s="1"/>
  <c r="E237" i="15" s="1"/>
  <c r="E285" i="15" s="1"/>
  <c r="E348" i="15" s="1"/>
  <c r="E402" i="15" s="1"/>
  <c r="G166" i="15"/>
  <c r="G203" i="15" s="1"/>
  <c r="G239" i="15" s="1"/>
  <c r="G287" i="15" s="1"/>
  <c r="G344" i="15" s="1"/>
  <c r="G394" i="15" s="1"/>
  <c r="D141" i="15"/>
  <c r="D213" i="15"/>
  <c r="D153" i="15"/>
  <c r="D190" i="15" s="1"/>
  <c r="D226" i="15" s="1"/>
  <c r="D276" i="15" s="1"/>
  <c r="D343" i="15" s="1"/>
  <c r="D393" i="15" s="1"/>
  <c r="F153" i="15"/>
  <c r="F190" i="15" s="1"/>
  <c r="F226" i="15" s="1"/>
  <c r="F276" i="15" s="1"/>
  <c r="F343" i="15" s="1"/>
  <c r="F393" i="15" s="1"/>
  <c r="F164" i="15"/>
  <c r="F201" i="15" s="1"/>
  <c r="F237" i="15" s="1"/>
  <c r="F285" i="15" s="1"/>
  <c r="F348" i="15" s="1"/>
  <c r="F402" i="15" s="1"/>
  <c r="A399" i="15"/>
  <c r="A386" i="15"/>
  <c r="G167" i="15"/>
  <c r="G204" i="15" s="1"/>
  <c r="G240" i="15" s="1"/>
  <c r="G288" i="15" s="1"/>
  <c r="G345" i="15" s="1"/>
  <c r="G395" i="15" s="1"/>
  <c r="D166" i="15"/>
  <c r="D203" i="15" s="1"/>
  <c r="D239" i="15" s="1"/>
  <c r="D287" i="15" s="1"/>
  <c r="D344" i="15" s="1"/>
  <c r="D394" i="15" s="1"/>
  <c r="E166" i="15"/>
  <c r="E203" i="15" s="1"/>
  <c r="E239" i="15" s="1"/>
  <c r="E287" i="15" s="1"/>
  <c r="E344" i="15" s="1"/>
  <c r="E394" i="15" s="1"/>
  <c r="F166" i="15"/>
  <c r="F203" i="15" s="1"/>
  <c r="F239" i="15" s="1"/>
  <c r="F287" i="15" s="1"/>
  <c r="F344" i="15" s="1"/>
  <c r="F394" i="15" s="1"/>
  <c r="C127" i="15"/>
  <c r="C246" i="15" s="1"/>
  <c r="C294" i="15" s="1"/>
  <c r="C319" i="15" s="1"/>
  <c r="C362" i="15" s="1"/>
  <c r="C97" i="15"/>
  <c r="D76" i="15"/>
  <c r="D150" i="15" s="1"/>
  <c r="D97" i="15"/>
  <c r="E151" i="15"/>
  <c r="E188" i="15" s="1"/>
  <c r="E224" i="15" s="1"/>
  <c r="E274" i="15" s="1"/>
  <c r="E333" i="15" s="1"/>
  <c r="E379" i="15" s="1"/>
  <c r="C98" i="15"/>
  <c r="C172" i="15" s="1"/>
  <c r="D165" i="15"/>
  <c r="D202" i="15" s="1"/>
  <c r="D238" i="15" s="1"/>
  <c r="D286" i="15" s="1"/>
  <c r="D334" i="15" s="1"/>
  <c r="D380" i="15" s="1"/>
  <c r="B496" i="15"/>
  <c r="B536" i="15"/>
  <c r="B424" i="15"/>
  <c r="E76" i="15"/>
  <c r="E97" i="15"/>
  <c r="F171" i="15" s="1"/>
  <c r="F186" i="15" s="1"/>
  <c r="F222" i="15" s="1"/>
  <c r="F272" i="15" s="1"/>
  <c r="F331" i="15" s="1"/>
  <c r="F378" i="15" s="1"/>
  <c r="F381" i="15" s="1"/>
  <c r="D164" i="15"/>
  <c r="D201" i="15" s="1"/>
  <c r="D237" i="15" s="1"/>
  <c r="D285" i="15" s="1"/>
  <c r="D348" i="15" s="1"/>
  <c r="D402" i="15" s="1"/>
  <c r="D67" i="15"/>
  <c r="G151" i="15"/>
  <c r="G188" i="15" s="1"/>
  <c r="G224" i="15" s="1"/>
  <c r="G274" i="15" s="1"/>
  <c r="G333" i="15" s="1"/>
  <c r="G379" i="15" s="1"/>
  <c r="D98" i="15"/>
  <c r="D308" i="15"/>
  <c r="D536" i="15"/>
  <c r="D355" i="15"/>
  <c r="D120" i="15"/>
  <c r="E98" i="15"/>
  <c r="F98" i="15"/>
  <c r="F172" i="15" s="1"/>
  <c r="E508" i="15"/>
  <c r="D508" i="15"/>
  <c r="B500" i="15"/>
  <c r="C500" i="15" s="1"/>
  <c r="C497" i="15"/>
  <c r="B551" i="15"/>
  <c r="G150" i="15" l="1"/>
  <c r="F508" i="15"/>
  <c r="D502" i="15"/>
  <c r="F99" i="15"/>
  <c r="E172" i="15"/>
  <c r="E3" i="15"/>
  <c r="F3" i="15" s="1"/>
  <c r="G3" i="15" s="1"/>
  <c r="D177" i="15"/>
  <c r="D424" i="15"/>
  <c r="E425" i="15" s="1"/>
  <c r="F507" i="15"/>
  <c r="E507" i="15"/>
  <c r="D507" i="15"/>
  <c r="C507" i="15"/>
  <c r="C502" i="15"/>
  <c r="C171" i="15"/>
  <c r="C186" i="15" s="1"/>
  <c r="C222" i="15" s="1"/>
  <c r="C272" i="15" s="1"/>
  <c r="C331" i="15" s="1"/>
  <c r="C378" i="15" s="1"/>
  <c r="C381" i="15" s="1"/>
  <c r="C99" i="15"/>
  <c r="C173" i="15" s="1"/>
  <c r="C187" i="15" s="1"/>
  <c r="C223" i="15" s="1"/>
  <c r="C273" i="15" s="1"/>
  <c r="C332" i="15" s="1"/>
  <c r="C366" i="15" s="1"/>
  <c r="F150" i="15"/>
  <c r="E150" i="15"/>
  <c r="E171" i="15"/>
  <c r="E186" i="15" s="1"/>
  <c r="E222" i="15" s="1"/>
  <c r="E272" i="15" s="1"/>
  <c r="E331" i="15" s="1"/>
  <c r="E378" i="15" s="1"/>
  <c r="E381" i="15" s="1"/>
  <c r="E99" i="15"/>
  <c r="F173" i="15" s="1"/>
  <c r="F187" i="15" s="1"/>
  <c r="F223" i="15" s="1"/>
  <c r="F273" i="15" s="1"/>
  <c r="F332" i="15" s="1"/>
  <c r="F366" i="15" s="1"/>
  <c r="C425" i="15"/>
  <c r="B425" i="15"/>
  <c r="E141" i="15"/>
  <c r="G173" i="15"/>
  <c r="G187" i="15" s="1"/>
  <c r="G223" i="15" s="1"/>
  <c r="G273" i="15" s="1"/>
  <c r="G332" i="15" s="1"/>
  <c r="G366" i="15" s="1"/>
  <c r="G381" i="15"/>
  <c r="D171" i="15"/>
  <c r="D186" i="15" s="1"/>
  <c r="D222" i="15" s="1"/>
  <c r="D272" i="15" s="1"/>
  <c r="D331" i="15" s="1"/>
  <c r="D378" i="15" s="1"/>
  <c r="D381" i="15" s="1"/>
  <c r="D99" i="15"/>
  <c r="D172" i="15"/>
  <c r="G172" i="15"/>
  <c r="E213" i="15" l="1"/>
  <c r="E46" i="15"/>
  <c r="E120" i="15"/>
  <c r="E67" i="15"/>
  <c r="E177" i="15"/>
  <c r="E536" i="15"/>
  <c r="E308" i="15"/>
  <c r="E424" i="15"/>
  <c r="F425" i="15" s="1"/>
  <c r="E355" i="15"/>
  <c r="E261" i="15"/>
  <c r="E173" i="15"/>
  <c r="E187" i="15" s="1"/>
  <c r="E223" i="15" s="1"/>
  <c r="E273" i="15" s="1"/>
  <c r="E332" i="15" s="1"/>
  <c r="E366" i="15" s="1"/>
  <c r="D173" i="15"/>
  <c r="D187" i="15" s="1"/>
  <c r="D223" i="15" s="1"/>
  <c r="D273" i="15" s="1"/>
  <c r="D332" i="15" s="1"/>
  <c r="D366" i="15" s="1"/>
  <c r="F536" i="15"/>
  <c r="F261" i="15"/>
  <c r="F355" i="15"/>
  <c r="F424" i="15"/>
  <c r="G425" i="15" s="1"/>
  <c r="H425" i="15" s="1"/>
  <c r="F308" i="15"/>
  <c r="F177" i="15"/>
  <c r="F67" i="15"/>
  <c r="F120" i="15"/>
  <c r="F213" i="15"/>
  <c r="F141" i="15"/>
  <c r="F46" i="15"/>
  <c r="G536" i="15" l="1"/>
  <c r="G261" i="15"/>
  <c r="G355" i="15"/>
  <c r="G424" i="15"/>
  <c r="G308" i="15"/>
  <c r="G67" i="15"/>
  <c r="G213" i="15"/>
  <c r="G177" i="15"/>
  <c r="G120" i="15"/>
  <c r="G141" i="15"/>
  <c r="G46" i="15"/>
  <c r="M100" i="4" l="1"/>
  <c r="M98" i="4"/>
  <c r="N98" i="4" s="1"/>
  <c r="O98" i="4" s="1"/>
  <c r="P98" i="4" s="1"/>
  <c r="Q98" i="4" s="1"/>
  <c r="R98" i="4" s="1"/>
  <c r="S98" i="4" s="1"/>
  <c r="T98" i="4" s="1"/>
  <c r="U98" i="4" s="1"/>
  <c r="V98" i="4" s="1"/>
  <c r="W98" i="4" s="1"/>
  <c r="X98" i="4" s="1"/>
  <c r="M112" i="8" s="1"/>
  <c r="E3" i="14"/>
  <c r="E14" i="14"/>
  <c r="N112" i="8" l="1"/>
  <c r="O112" i="8" s="1"/>
  <c r="P112" i="8" s="1"/>
  <c r="Q112" i="8" s="1"/>
  <c r="R112" i="8" s="1"/>
  <c r="S112" i="8" s="1"/>
  <c r="T112" i="8" s="1"/>
  <c r="U112" i="8" s="1"/>
  <c r="V112" i="8" s="1"/>
  <c r="W112" i="8" s="1"/>
  <c r="X112" i="8" s="1"/>
  <c r="M112" i="10" s="1"/>
  <c r="N112" i="10" s="1"/>
  <c r="O112" i="10" s="1"/>
  <c r="P112" i="10" s="1"/>
  <c r="Q112" i="10" s="1"/>
  <c r="R112" i="10" s="1"/>
  <c r="S112" i="10" s="1"/>
  <c r="T112" i="10" s="1"/>
  <c r="U112" i="10" s="1"/>
  <c r="V112" i="10" s="1"/>
  <c r="W112" i="10" s="1"/>
  <c r="X112" i="10" s="1"/>
  <c r="Y112" i="10" s="1"/>
  <c r="E23" i="4" l="1"/>
  <c r="E24" i="4" s="1"/>
  <c r="C32" i="11"/>
  <c r="C30" i="11"/>
  <c r="C33" i="11" s="1"/>
  <c r="C54" i="11"/>
  <c r="Q17" i="11"/>
  <c r="Q21" i="11" s="1"/>
  <c r="P17" i="11"/>
  <c r="P21" i="11" s="1"/>
  <c r="D19" i="11" s="1"/>
  <c r="D20" i="11" s="1"/>
  <c r="J18" i="11"/>
  <c r="J19" i="11"/>
  <c r="J20" i="11"/>
  <c r="J21" i="11"/>
  <c r="J22" i="11"/>
  <c r="J23" i="11"/>
  <c r="J24" i="11"/>
  <c r="J25" i="11"/>
  <c r="J26" i="11"/>
  <c r="J27" i="11"/>
  <c r="J28" i="11"/>
  <c r="J29" i="11"/>
  <c r="J30" i="11"/>
  <c r="J31" i="11"/>
  <c r="J32" i="11"/>
  <c r="J33" i="11"/>
  <c r="J34" i="11"/>
  <c r="J35" i="11"/>
  <c r="J36" i="11"/>
  <c r="J37" i="11"/>
  <c r="J38" i="11"/>
  <c r="J39"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J68" i="11"/>
  <c r="J69" i="11"/>
  <c r="J70" i="11"/>
  <c r="J71" i="11"/>
  <c r="J72" i="11"/>
  <c r="J73" i="11"/>
  <c r="J74" i="11"/>
  <c r="J75" i="11"/>
  <c r="J76" i="11"/>
  <c r="J77" i="11"/>
  <c r="J78" i="11"/>
  <c r="J79" i="11"/>
  <c r="J80" i="11"/>
  <c r="J81" i="11"/>
  <c r="J82" i="11"/>
  <c r="J83" i="11"/>
  <c r="J84" i="11"/>
  <c r="J85" i="11"/>
  <c r="J86" i="11"/>
  <c r="J87" i="11"/>
  <c r="J88" i="11"/>
  <c r="J89" i="11"/>
  <c r="J90" i="11"/>
  <c r="J91" i="11"/>
  <c r="J92" i="11"/>
  <c r="J93" i="11"/>
  <c r="J94" i="11"/>
  <c r="J95" i="11"/>
  <c r="J96" i="11"/>
  <c r="J97" i="11"/>
  <c r="J98" i="11"/>
  <c r="J99" i="11"/>
  <c r="J100" i="11"/>
  <c r="J101" i="11"/>
  <c r="J102" i="11"/>
  <c r="J103" i="11"/>
  <c r="J104" i="11"/>
  <c r="J105" i="11"/>
  <c r="J106" i="11"/>
  <c r="J107" i="11"/>
  <c r="J108" i="11"/>
  <c r="J109" i="11"/>
  <c r="J110" i="11"/>
  <c r="J111" i="11"/>
  <c r="J112" i="11"/>
  <c r="J113" i="11"/>
  <c r="J114" i="11"/>
  <c r="J115" i="11"/>
  <c r="J116" i="11"/>
  <c r="J117" i="11"/>
  <c r="J118" i="11"/>
  <c r="J119" i="11"/>
  <c r="J120" i="11"/>
  <c r="J121" i="11"/>
  <c r="J122" i="11"/>
  <c r="J123" i="11"/>
  <c r="J124" i="11"/>
  <c r="J125" i="11"/>
  <c r="J126" i="11"/>
  <c r="J127" i="11"/>
  <c r="J128" i="11"/>
  <c r="J129" i="11"/>
  <c r="J130" i="11"/>
  <c r="J131" i="11"/>
  <c r="J132" i="11"/>
  <c r="J133" i="11"/>
  <c r="J134" i="11"/>
  <c r="J135" i="11"/>
  <c r="J136" i="11"/>
  <c r="J137" i="11"/>
  <c r="J138" i="11"/>
  <c r="J139" i="11"/>
  <c r="J140" i="11"/>
  <c r="J141" i="11"/>
  <c r="J142" i="11"/>
  <c r="J143" i="11"/>
  <c r="J144" i="11"/>
  <c r="J145" i="11"/>
  <c r="J146" i="11"/>
  <c r="J147" i="11"/>
  <c r="J148" i="11"/>
  <c r="J149" i="11"/>
  <c r="J150" i="11"/>
  <c r="J151" i="11"/>
  <c r="J152" i="11"/>
  <c r="J153" i="11"/>
  <c r="J154" i="11"/>
  <c r="J155" i="11"/>
  <c r="J156" i="11"/>
  <c r="J157" i="11"/>
  <c r="J158" i="11"/>
  <c r="J159" i="11"/>
  <c r="J160" i="11"/>
  <c r="J161" i="11"/>
  <c r="J162" i="11"/>
  <c r="J163" i="11"/>
  <c r="J164" i="11"/>
  <c r="J165" i="11"/>
  <c r="J166" i="11"/>
  <c r="J167" i="11"/>
  <c r="J168" i="11"/>
  <c r="J169" i="11"/>
  <c r="J170" i="11"/>
  <c r="J171" i="11"/>
  <c r="J172" i="11"/>
  <c r="J173" i="11"/>
  <c r="J174" i="11"/>
  <c r="J175" i="11"/>
  <c r="J176" i="11"/>
  <c r="J177" i="11"/>
  <c r="J178" i="11"/>
  <c r="J179" i="11"/>
  <c r="J180" i="11"/>
  <c r="J181" i="11"/>
  <c r="J182" i="11"/>
  <c r="J183" i="11"/>
  <c r="J184" i="11"/>
  <c r="J185" i="11"/>
  <c r="J186" i="11"/>
  <c r="J187" i="11"/>
  <c r="J188" i="11"/>
  <c r="J189" i="11"/>
  <c r="J190" i="11"/>
  <c r="J191" i="11"/>
  <c r="J192" i="11"/>
  <c r="J193" i="11"/>
  <c r="J194" i="11"/>
  <c r="J195" i="11"/>
  <c r="J196" i="11"/>
  <c r="J197" i="11"/>
  <c r="J198" i="11"/>
  <c r="J199" i="11"/>
  <c r="J200" i="11"/>
  <c r="J201" i="11"/>
  <c r="J202" i="11"/>
  <c r="J203" i="11"/>
  <c r="J204" i="11"/>
  <c r="J205" i="11"/>
  <c r="J206" i="11"/>
  <c r="J207" i="11"/>
  <c r="J208" i="11"/>
  <c r="J209" i="11"/>
  <c r="J210" i="11"/>
  <c r="J211" i="11"/>
  <c r="J212" i="11"/>
  <c r="J213" i="11"/>
  <c r="J214" i="11"/>
  <c r="J215" i="11"/>
  <c r="J216" i="11"/>
  <c r="J217" i="11"/>
  <c r="J218" i="11"/>
  <c r="J219" i="11"/>
  <c r="J220" i="11"/>
  <c r="J221" i="11"/>
  <c r="J222" i="11"/>
  <c r="J223" i="11"/>
  <c r="J224" i="11"/>
  <c r="J225" i="11"/>
  <c r="J226" i="11"/>
  <c r="J227" i="11"/>
  <c r="J228" i="11"/>
  <c r="J229" i="11"/>
  <c r="J230" i="11"/>
  <c r="J231" i="11"/>
  <c r="J232" i="11"/>
  <c r="J233" i="11"/>
  <c r="J234" i="11"/>
  <c r="J235" i="11"/>
  <c r="J236" i="11"/>
  <c r="J237" i="11"/>
  <c r="J238" i="11"/>
  <c r="J239" i="11"/>
  <c r="J240" i="11"/>
  <c r="J241" i="11"/>
  <c r="J242" i="11"/>
  <c r="J243" i="11"/>
  <c r="J244" i="11"/>
  <c r="J245" i="11"/>
  <c r="J246" i="11"/>
  <c r="J247" i="11"/>
  <c r="J248" i="11"/>
  <c r="J249" i="11"/>
  <c r="J250" i="11"/>
  <c r="J251" i="11"/>
  <c r="J252" i="11"/>
  <c r="J253" i="11"/>
  <c r="J254" i="11"/>
  <c r="J255" i="11"/>
  <c r="J256" i="11"/>
  <c r="J257" i="11"/>
  <c r="J258" i="11"/>
  <c r="J259" i="11"/>
  <c r="J260" i="11"/>
  <c r="J261" i="11"/>
  <c r="J262" i="11"/>
  <c r="J263" i="11"/>
  <c r="J264" i="11"/>
  <c r="J265" i="11"/>
  <c r="J266" i="11"/>
  <c r="J267" i="11"/>
  <c r="J268" i="11"/>
  <c r="J269" i="11"/>
  <c r="J270" i="11"/>
  <c r="J271" i="11"/>
  <c r="J272" i="11"/>
  <c r="J273" i="11"/>
  <c r="J274" i="11"/>
  <c r="J275" i="11"/>
  <c r="J276" i="11"/>
  <c r="J277" i="11"/>
  <c r="J278" i="11"/>
  <c r="J279" i="11"/>
  <c r="J280" i="11"/>
  <c r="J281" i="11"/>
  <c r="J282" i="11"/>
  <c r="J283" i="11"/>
  <c r="J284" i="11"/>
  <c r="J285" i="11"/>
  <c r="J286" i="11"/>
  <c r="J287" i="11"/>
  <c r="J288" i="11"/>
  <c r="J289" i="11"/>
  <c r="J290" i="11"/>
  <c r="J291" i="11"/>
  <c r="J292" i="11"/>
  <c r="J293" i="11"/>
  <c r="J294" i="11"/>
  <c r="J295" i="11"/>
  <c r="J296" i="11"/>
  <c r="J297" i="11"/>
  <c r="J298" i="11"/>
  <c r="J299" i="11"/>
  <c r="J300" i="11"/>
  <c r="J301" i="11"/>
  <c r="J302" i="11"/>
  <c r="J303" i="11"/>
  <c r="J304" i="11"/>
  <c r="J305" i="11"/>
  <c r="J306" i="11"/>
  <c r="J307" i="11"/>
  <c r="J308" i="11"/>
  <c r="J309" i="11"/>
  <c r="J310" i="11"/>
  <c r="J311" i="11"/>
  <c r="J312" i="11"/>
  <c r="J313" i="11"/>
  <c r="J314" i="11"/>
  <c r="J315" i="11"/>
  <c r="J316" i="11"/>
  <c r="J317" i="11"/>
  <c r="J318" i="11"/>
  <c r="J319" i="11"/>
  <c r="J320" i="11"/>
  <c r="J321" i="11"/>
  <c r="J322" i="11"/>
  <c r="J323" i="11"/>
  <c r="J324" i="11"/>
  <c r="J325" i="11"/>
  <c r="J326" i="11"/>
  <c r="J327" i="11"/>
  <c r="J328" i="11"/>
  <c r="J329" i="11"/>
  <c r="J330" i="11"/>
  <c r="J331" i="11"/>
  <c r="J332" i="11"/>
  <c r="J333" i="11"/>
  <c r="J334" i="11"/>
  <c r="J335" i="11"/>
  <c r="J336" i="11"/>
  <c r="J337" i="11"/>
  <c r="J338" i="11"/>
  <c r="J339" i="11"/>
  <c r="J340" i="11"/>
  <c r="J341" i="11"/>
  <c r="J342" i="11"/>
  <c r="J343" i="11"/>
  <c r="J344" i="11"/>
  <c r="J345" i="11"/>
  <c r="J346" i="11"/>
  <c r="J347" i="11"/>
  <c r="J348" i="11"/>
  <c r="J349" i="11"/>
  <c r="J350" i="11"/>
  <c r="J351" i="11"/>
  <c r="J352" i="11"/>
  <c r="J353" i="11"/>
  <c r="J354" i="11"/>
  <c r="J355" i="11"/>
  <c r="J356" i="11"/>
  <c r="J357" i="11"/>
  <c r="J358" i="11"/>
  <c r="J359" i="11"/>
  <c r="J360" i="11"/>
  <c r="J361" i="11"/>
  <c r="J362" i="11"/>
  <c r="J363" i="11"/>
  <c r="J364" i="11"/>
  <c r="J365" i="11"/>
  <c r="J366" i="11"/>
  <c r="J367" i="11"/>
  <c r="J368" i="11"/>
  <c r="J369" i="11"/>
  <c r="J370" i="11"/>
  <c r="J371" i="11"/>
  <c r="J372" i="11"/>
  <c r="J373" i="11"/>
  <c r="J374" i="11"/>
  <c r="J375" i="11"/>
  <c r="J376" i="11"/>
  <c r="J377" i="11"/>
  <c r="J378" i="11"/>
  <c r="J379" i="11"/>
  <c r="J380" i="11"/>
  <c r="J381" i="11"/>
  <c r="J382" i="11"/>
  <c r="J383" i="11"/>
  <c r="J384" i="11"/>
  <c r="J385" i="11"/>
  <c r="J386" i="11"/>
  <c r="J387" i="11"/>
  <c r="J388" i="11"/>
  <c r="J389" i="11"/>
  <c r="J390" i="11"/>
  <c r="J391" i="11"/>
  <c r="J392" i="11"/>
  <c r="J393" i="11"/>
  <c r="J394" i="11"/>
  <c r="J395" i="11"/>
  <c r="J396" i="11"/>
  <c r="J397" i="11"/>
  <c r="J398" i="11"/>
  <c r="J399" i="11"/>
  <c r="J400" i="11"/>
  <c r="J401" i="11"/>
  <c r="J402" i="11"/>
  <c r="J403" i="11"/>
  <c r="J404" i="11"/>
  <c r="J405" i="11"/>
  <c r="J406" i="11"/>
  <c r="J407" i="11"/>
  <c r="J408" i="11"/>
  <c r="J409" i="11"/>
  <c r="J410" i="11"/>
  <c r="J411" i="11"/>
  <c r="J412" i="11"/>
  <c r="J413" i="11"/>
  <c r="J414" i="11"/>
  <c r="J415" i="11"/>
  <c r="J416" i="11"/>
  <c r="J417" i="11"/>
  <c r="J418" i="11"/>
  <c r="J419" i="11"/>
  <c r="J420" i="11"/>
  <c r="J421" i="11"/>
  <c r="J422" i="11"/>
  <c r="J423" i="11"/>
  <c r="J424" i="11"/>
  <c r="J425" i="11"/>
  <c r="J426" i="11"/>
  <c r="J427" i="11"/>
  <c r="J428" i="11"/>
  <c r="J429" i="11"/>
  <c r="J430" i="11"/>
  <c r="J431" i="11"/>
  <c r="J432" i="11"/>
  <c r="J433" i="11"/>
  <c r="J434" i="11"/>
  <c r="J435" i="11"/>
  <c r="J436" i="11"/>
  <c r="J437" i="11"/>
  <c r="J438" i="11"/>
  <c r="J439" i="11"/>
  <c r="J440" i="11"/>
  <c r="J441" i="11"/>
  <c r="J442" i="11"/>
  <c r="J443" i="11"/>
  <c r="J444" i="11"/>
  <c r="J445" i="11"/>
  <c r="J446" i="11"/>
  <c r="J447" i="11"/>
  <c r="J448" i="11"/>
  <c r="J449" i="11"/>
  <c r="J450" i="11"/>
  <c r="J451" i="11"/>
  <c r="J452" i="11"/>
  <c r="J453" i="11"/>
  <c r="J454" i="11"/>
  <c r="J455" i="11"/>
  <c r="J456" i="11"/>
  <c r="J457" i="11"/>
  <c r="J458" i="11"/>
  <c r="J459" i="11"/>
  <c r="J460" i="11"/>
  <c r="J461" i="11"/>
  <c r="J462" i="11"/>
  <c r="J463" i="11"/>
  <c r="J464" i="11"/>
  <c r="J465" i="11"/>
  <c r="J466" i="11"/>
  <c r="J467" i="11"/>
  <c r="J468" i="11"/>
  <c r="J469" i="11"/>
  <c r="J470" i="11"/>
  <c r="J471" i="11"/>
  <c r="J472" i="11"/>
  <c r="J473" i="11"/>
  <c r="J474" i="11"/>
  <c r="J475" i="11"/>
  <c r="J476" i="11"/>
  <c r="J477" i="11"/>
  <c r="J478" i="11"/>
  <c r="J479" i="11"/>
  <c r="J480" i="11"/>
  <c r="J481" i="11"/>
  <c r="J482" i="11"/>
  <c r="J483" i="11"/>
  <c r="J484" i="11"/>
  <c r="J485" i="11"/>
  <c r="J486" i="11"/>
  <c r="J487" i="11"/>
  <c r="J488" i="11"/>
  <c r="J489" i="11"/>
  <c r="J490" i="11"/>
  <c r="J491" i="11"/>
  <c r="J492" i="11"/>
  <c r="J493" i="11"/>
  <c r="J494" i="11"/>
  <c r="J495" i="11"/>
  <c r="J496" i="11"/>
  <c r="J497" i="11"/>
  <c r="J498" i="11"/>
  <c r="J499" i="11"/>
  <c r="J500" i="11"/>
  <c r="J501" i="11"/>
  <c r="J502" i="11"/>
  <c r="J503" i="11"/>
  <c r="J504" i="11"/>
  <c r="J505" i="11"/>
  <c r="J506" i="11"/>
  <c r="J507" i="11"/>
  <c r="J508" i="11"/>
  <c r="J509" i="11"/>
  <c r="J510" i="11"/>
  <c r="J511" i="11"/>
  <c r="J512" i="11"/>
  <c r="J513" i="11"/>
  <c r="J514" i="11"/>
  <c r="J515" i="11"/>
  <c r="J516" i="11"/>
  <c r="J517" i="11"/>
  <c r="J518" i="11"/>
  <c r="J519" i="11"/>
  <c r="J520" i="11"/>
  <c r="J521" i="11"/>
  <c r="J522" i="11"/>
  <c r="J523" i="11"/>
  <c r="J524" i="11"/>
  <c r="J525" i="11"/>
  <c r="J526" i="11"/>
  <c r="J527" i="11"/>
  <c r="J528" i="11"/>
  <c r="J529" i="11"/>
  <c r="J530" i="11"/>
  <c r="J531" i="11"/>
  <c r="J532" i="11"/>
  <c r="J533" i="11"/>
  <c r="J534" i="11"/>
  <c r="J535" i="11"/>
  <c r="J536" i="11"/>
  <c r="J537" i="11"/>
  <c r="J538" i="11"/>
  <c r="J17" i="11"/>
  <c r="R17" i="11" l="1"/>
  <c r="C34" i="11"/>
  <c r="C44" i="11" s="1"/>
  <c r="C58" i="11" s="1"/>
  <c r="R21" i="11"/>
  <c r="D5" i="13" l="1"/>
  <c r="E40" i="15"/>
  <c r="D40" i="15"/>
  <c r="C40" i="15"/>
  <c r="G40" i="15"/>
  <c r="F40" i="15"/>
  <c r="M114" i="10"/>
  <c r="Y102" i="10"/>
  <c r="Y101" i="10"/>
  <c r="D35" i="10"/>
  <c r="U81" i="8"/>
  <c r="T81" i="8"/>
  <c r="S81" i="8"/>
  <c r="R81" i="8"/>
  <c r="Q81" i="8"/>
  <c r="P81" i="8"/>
  <c r="O81" i="8"/>
  <c r="N81" i="8"/>
  <c r="M81" i="8"/>
  <c r="M73" i="8"/>
  <c r="N73" i="8" s="1"/>
  <c r="O73" i="8" s="1"/>
  <c r="P73" i="8" s="1"/>
  <c r="Q73" i="8" s="1"/>
  <c r="R73" i="8" s="1"/>
  <c r="Q63" i="8"/>
  <c r="P63" i="8"/>
  <c r="O63" i="8"/>
  <c r="N63" i="8"/>
  <c r="M63" i="8"/>
  <c r="M55" i="8"/>
  <c r="N55" i="8" s="1"/>
  <c r="O55" i="8" s="1"/>
  <c r="P55" i="8" s="1"/>
  <c r="Q55" i="8" s="1"/>
  <c r="R55" i="8" s="1"/>
  <c r="M54" i="8"/>
  <c r="N54" i="8" s="1"/>
  <c r="O54" i="8" s="1"/>
  <c r="P54" i="8" s="1"/>
  <c r="Q54" i="8" s="1"/>
  <c r="R54" i="8" s="1"/>
  <c r="S54" i="8" s="1"/>
  <c r="T54" i="8" s="1"/>
  <c r="U54" i="8" s="1"/>
  <c r="V54" i="8" s="1"/>
  <c r="W54" i="8" s="1"/>
  <c r="X54" i="8" s="1"/>
  <c r="X45" i="4"/>
  <c r="R45" i="4"/>
  <c r="Q45" i="4"/>
  <c r="P45" i="4"/>
  <c r="O45" i="4"/>
  <c r="N45" i="4"/>
  <c r="M45" i="4"/>
  <c r="Y88" i="4"/>
  <c r="M20" i="8"/>
  <c r="M20" i="10" s="1"/>
  <c r="M18" i="8"/>
  <c r="Y102" i="8"/>
  <c r="Y101" i="8"/>
  <c r="D35" i="8"/>
  <c r="W66" i="4"/>
  <c r="Z91" i="4"/>
  <c r="Y87" i="4"/>
  <c r="Y86" i="4"/>
  <c r="Z86" i="4" s="1"/>
  <c r="P32" i="4"/>
  <c r="N36" i="4"/>
  <c r="O36" i="4" s="1"/>
  <c r="Y36" i="4" s="1"/>
  <c r="M36" i="8" s="1"/>
  <c r="N36" i="8" s="1"/>
  <c r="O36" i="8" s="1"/>
  <c r="P36" i="8" s="1"/>
  <c r="Q36" i="8" s="1"/>
  <c r="R36" i="8" s="1"/>
  <c r="S36" i="8" s="1"/>
  <c r="T36" i="8" s="1"/>
  <c r="U36" i="8" s="1"/>
  <c r="V36" i="8" s="1"/>
  <c r="W36" i="8" s="1"/>
  <c r="X36" i="8" s="1"/>
  <c r="R85" i="4"/>
  <c r="G13" i="4"/>
  <c r="H13" i="4" s="1"/>
  <c r="T50" i="4"/>
  <c r="U50" i="4" s="1"/>
  <c r="V50" i="4" s="1"/>
  <c r="W50" i="4" s="1"/>
  <c r="X50" i="4" s="1"/>
  <c r="T49" i="4"/>
  <c r="U49" i="4" s="1"/>
  <c r="V49" i="4" s="1"/>
  <c r="W49" i="4" s="1"/>
  <c r="X49" i="4" s="1"/>
  <c r="D35" i="4"/>
  <c r="Y70" i="4"/>
  <c r="M73" i="10" s="1"/>
  <c r="Y69" i="4"/>
  <c r="M72" i="8" s="1"/>
  <c r="N72" i="8" s="1"/>
  <c r="O72" i="8" s="1"/>
  <c r="P72" i="8" s="1"/>
  <c r="Q72" i="8" s="1"/>
  <c r="R72" i="8" s="1"/>
  <c r="Y68" i="4"/>
  <c r="M71" i="8" s="1"/>
  <c r="N71" i="8" s="1"/>
  <c r="O71" i="8" s="1"/>
  <c r="P71" i="8" s="1"/>
  <c r="Q71" i="8" s="1"/>
  <c r="Y67" i="4"/>
  <c r="M70" i="8" s="1"/>
  <c r="N70" i="8" s="1"/>
  <c r="O70" i="8" s="1"/>
  <c r="P70" i="8" s="1"/>
  <c r="Q70" i="8" s="1"/>
  <c r="W65" i="4"/>
  <c r="X65" i="4" s="1"/>
  <c r="V71" i="4"/>
  <c r="U71" i="4"/>
  <c r="T71" i="4"/>
  <c r="S71" i="4"/>
  <c r="R71" i="4"/>
  <c r="Q71" i="4"/>
  <c r="P71" i="4"/>
  <c r="O71" i="4"/>
  <c r="N71" i="4"/>
  <c r="M71" i="4"/>
  <c r="Q55" i="4"/>
  <c r="P55" i="4"/>
  <c r="O55" i="4"/>
  <c r="N55" i="4"/>
  <c r="M55" i="4"/>
  <c r="Y54" i="4"/>
  <c r="M55" i="10" s="1"/>
  <c r="N55" i="10" s="1"/>
  <c r="O55" i="10" s="1"/>
  <c r="P55" i="10" s="1"/>
  <c r="Q55" i="10" s="1"/>
  <c r="R55" i="10" s="1"/>
  <c r="S55" i="10" s="1"/>
  <c r="T55" i="10" s="1"/>
  <c r="U55" i="10" s="1"/>
  <c r="V55" i="10" s="1"/>
  <c r="W55" i="10" s="1"/>
  <c r="X55" i="10" s="1"/>
  <c r="Y53" i="4"/>
  <c r="M54" i="10" s="1"/>
  <c r="N54" i="10" s="1"/>
  <c r="O54" i="10" s="1"/>
  <c r="P54" i="10" s="1"/>
  <c r="Q54" i="10" s="1"/>
  <c r="R54" i="10" s="1"/>
  <c r="S54" i="10" s="1"/>
  <c r="T54" i="10" s="1"/>
  <c r="U54" i="10" s="1"/>
  <c r="V54" i="10" s="1"/>
  <c r="W54" i="10" s="1"/>
  <c r="X54" i="10" s="1"/>
  <c r="Y52" i="4"/>
  <c r="M53" i="8" s="1"/>
  <c r="N53" i="8" s="1"/>
  <c r="O53" i="8" s="1"/>
  <c r="P53" i="8" s="1"/>
  <c r="Q53" i="8" s="1"/>
  <c r="R53" i="8" s="1"/>
  <c r="Y51" i="4"/>
  <c r="M52" i="8" s="1"/>
  <c r="N52" i="8" s="1"/>
  <c r="O52" i="8" s="1"/>
  <c r="P52" i="8" s="1"/>
  <c r="Q52" i="8" s="1"/>
  <c r="R52" i="8" s="1"/>
  <c r="S55" i="4"/>
  <c r="R55" i="4"/>
  <c r="N37" i="4"/>
  <c r="O37" i="4" s="1"/>
  <c r="P37" i="4" s="1"/>
  <c r="Q37" i="4" s="1"/>
  <c r="R37" i="4" s="1"/>
  <c r="S37" i="4" s="1"/>
  <c r="T37" i="4" s="1"/>
  <c r="U37" i="4" s="1"/>
  <c r="V37" i="4" s="1"/>
  <c r="W37" i="4" s="1"/>
  <c r="X37" i="4" s="1"/>
  <c r="N35" i="4"/>
  <c r="O35" i="4" s="1"/>
  <c r="P35" i="4" s="1"/>
  <c r="Q35" i="4" s="1"/>
  <c r="R35" i="4" s="1"/>
  <c r="S35" i="4" s="1"/>
  <c r="T35" i="4" s="1"/>
  <c r="U35" i="4" s="1"/>
  <c r="V35" i="4" s="1"/>
  <c r="W35" i="4" s="1"/>
  <c r="X35" i="4" s="1"/>
  <c r="N34" i="4"/>
  <c r="O34" i="4" s="1"/>
  <c r="P34" i="4" s="1"/>
  <c r="Q34" i="4" s="1"/>
  <c r="R34" i="4" s="1"/>
  <c r="S34" i="4" s="1"/>
  <c r="N33" i="4"/>
  <c r="N32" i="4"/>
  <c r="O32" i="4" s="1"/>
  <c r="M38" i="4"/>
  <c r="M12" i="4"/>
  <c r="R57" i="4" s="1"/>
  <c r="R58" i="4" s="1"/>
  <c r="G21" i="4"/>
  <c r="H21" i="4" s="1"/>
  <c r="G20" i="4"/>
  <c r="H20" i="4" s="1"/>
  <c r="G19" i="4"/>
  <c r="H19" i="4" s="1"/>
  <c r="G12" i="4"/>
  <c r="H12" i="4" s="1"/>
  <c r="G14" i="4"/>
  <c r="H14" i="4" s="1"/>
  <c r="G15" i="4"/>
  <c r="H15" i="4" s="1"/>
  <c r="G16" i="4"/>
  <c r="H16" i="4" s="1"/>
  <c r="G17" i="4"/>
  <c r="H17" i="4" s="1"/>
  <c r="G18" i="4"/>
  <c r="H18" i="4" s="1"/>
  <c r="G11" i="4"/>
  <c r="H11" i="4" s="1"/>
  <c r="M52" i="10" l="1"/>
  <c r="N52" i="10" s="1"/>
  <c r="O52" i="10" s="1"/>
  <c r="P52" i="10" s="1"/>
  <c r="Q52" i="10" s="1"/>
  <c r="R52" i="10" s="1"/>
  <c r="S52" i="10" s="1"/>
  <c r="T52" i="10" s="1"/>
  <c r="U52" i="10" s="1"/>
  <c r="V52" i="10" s="1"/>
  <c r="W52" i="10" s="1"/>
  <c r="X52" i="10" s="1"/>
  <c r="N114" i="10"/>
  <c r="O114" i="10" s="1"/>
  <c r="P114" i="10" s="1"/>
  <c r="Q114" i="10" s="1"/>
  <c r="R114" i="10" s="1"/>
  <c r="S114" i="10" s="1"/>
  <c r="T114" i="10" s="1"/>
  <c r="U114" i="10" s="1"/>
  <c r="V114" i="10" s="1"/>
  <c r="W114" i="10" s="1"/>
  <c r="X114" i="10" s="1"/>
  <c r="Y114" i="10"/>
  <c r="M53" i="10"/>
  <c r="N53" i="10" s="1"/>
  <c r="O53" i="10" s="1"/>
  <c r="P53" i="10" s="1"/>
  <c r="Q53" i="10" s="1"/>
  <c r="R53" i="10" s="1"/>
  <c r="S53" i="10" s="1"/>
  <c r="T53" i="10" s="1"/>
  <c r="U53" i="10" s="1"/>
  <c r="V53" i="10" s="1"/>
  <c r="W53" i="10" s="1"/>
  <c r="X53" i="10" s="1"/>
  <c r="F12" i="8"/>
  <c r="G12" i="8" s="1"/>
  <c r="H12" i="8" s="1"/>
  <c r="F13" i="8"/>
  <c r="G13" i="8" s="1"/>
  <c r="H13" i="8" s="1"/>
  <c r="F11" i="8"/>
  <c r="M70" i="10"/>
  <c r="F543" i="15"/>
  <c r="F560" i="15" s="1"/>
  <c r="E543" i="15"/>
  <c r="E560" i="15" s="1"/>
  <c r="C543" i="15"/>
  <c r="C560" i="15" s="1"/>
  <c r="G543" i="15"/>
  <c r="G560" i="15" s="1"/>
  <c r="D543" i="15"/>
  <c r="D560" i="15" s="1"/>
  <c r="M71" i="10"/>
  <c r="N71" i="10" s="1"/>
  <c r="O71" i="10" s="1"/>
  <c r="P71" i="10" s="1"/>
  <c r="Q71" i="10" s="1"/>
  <c r="R71" i="10" s="1"/>
  <c r="S71" i="10" s="1"/>
  <c r="T71" i="10" s="1"/>
  <c r="U71" i="10" s="1"/>
  <c r="V71" i="10" s="1"/>
  <c r="W71" i="10" s="1"/>
  <c r="X71" i="10" s="1"/>
  <c r="M72" i="10"/>
  <c r="N72" i="10" s="1"/>
  <c r="O72" i="10" s="1"/>
  <c r="P72" i="10" s="1"/>
  <c r="Q72" i="10" s="1"/>
  <c r="R72" i="10" s="1"/>
  <c r="S72" i="10" s="1"/>
  <c r="T72" i="10" s="1"/>
  <c r="U72" i="10" s="1"/>
  <c r="V72" i="10" s="1"/>
  <c r="W72" i="10" s="1"/>
  <c r="X72" i="10" s="1"/>
  <c r="D10" i="13"/>
  <c r="D12" i="13"/>
  <c r="D15" i="13"/>
  <c r="D9" i="13"/>
  <c r="D13" i="13"/>
  <c r="D16" i="13"/>
  <c r="D14" i="13"/>
  <c r="D11" i="13"/>
  <c r="N82" i="8"/>
  <c r="P82" i="8"/>
  <c r="O82" i="8"/>
  <c r="F13" i="10"/>
  <c r="G13" i="10" s="1"/>
  <c r="H13" i="10" s="1"/>
  <c r="G11" i="8"/>
  <c r="S82" i="8"/>
  <c r="F15" i="8"/>
  <c r="G15" i="8" s="1"/>
  <c r="F16" i="8"/>
  <c r="G16" i="8" s="1"/>
  <c r="F17" i="8"/>
  <c r="G17" i="8" s="1"/>
  <c r="F18" i="8"/>
  <c r="G18" i="8" s="1"/>
  <c r="F19" i="8"/>
  <c r="G19" i="8" s="1"/>
  <c r="F14" i="8"/>
  <c r="G14" i="8" s="1"/>
  <c r="M18" i="10"/>
  <c r="F20" i="8"/>
  <c r="G20" i="8" s="1"/>
  <c r="F21" i="8"/>
  <c r="G21" i="8" s="1"/>
  <c r="T82" i="8"/>
  <c r="O64" i="8"/>
  <c r="U82" i="8"/>
  <c r="Q82" i="8"/>
  <c r="P64" i="8"/>
  <c r="Q64" i="8"/>
  <c r="N70" i="10"/>
  <c r="O70" i="10" s="1"/>
  <c r="P70" i="10" s="1"/>
  <c r="Q70" i="10" s="1"/>
  <c r="R70" i="10" s="1"/>
  <c r="S70" i="10" s="1"/>
  <c r="T70" i="10" s="1"/>
  <c r="U70" i="10" s="1"/>
  <c r="V70" i="10" s="1"/>
  <c r="W70" i="10" s="1"/>
  <c r="X70" i="10" s="1"/>
  <c r="Y70" i="10" s="1"/>
  <c r="R82" i="8"/>
  <c r="Y72" i="10"/>
  <c r="M82" i="8"/>
  <c r="Y71" i="10"/>
  <c r="N73" i="10"/>
  <c r="O73" i="10" s="1"/>
  <c r="P73" i="10" s="1"/>
  <c r="Q73" i="10" s="1"/>
  <c r="R73" i="10" s="1"/>
  <c r="S73" i="10" s="1"/>
  <c r="T73" i="10" s="1"/>
  <c r="U73" i="10" s="1"/>
  <c r="V73" i="10" s="1"/>
  <c r="W73" i="10" s="1"/>
  <c r="X73" i="10" s="1"/>
  <c r="Y52" i="10"/>
  <c r="Y53" i="10"/>
  <c r="Y54" i="10"/>
  <c r="Y55" i="10"/>
  <c r="M64" i="8"/>
  <c r="N64" i="8"/>
  <c r="S72" i="8"/>
  <c r="T72" i="8" s="1"/>
  <c r="U72" i="8" s="1"/>
  <c r="V72" i="8" s="1"/>
  <c r="W72" i="8" s="1"/>
  <c r="X72" i="8" s="1"/>
  <c r="S73" i="8"/>
  <c r="T73" i="8" s="1"/>
  <c r="U73" i="8" s="1"/>
  <c r="V73" i="8" s="1"/>
  <c r="W73" i="8" s="1"/>
  <c r="X73" i="8" s="1"/>
  <c r="R71" i="8"/>
  <c r="S71" i="8" s="1"/>
  <c r="T71" i="8" s="1"/>
  <c r="U71" i="8" s="1"/>
  <c r="V71" i="8" s="1"/>
  <c r="W71" i="8" s="1"/>
  <c r="X71" i="8" s="1"/>
  <c r="R70" i="8"/>
  <c r="S70" i="8" s="1"/>
  <c r="T70" i="8" s="1"/>
  <c r="U70" i="8" s="1"/>
  <c r="V70" i="8" s="1"/>
  <c r="W70" i="8" s="1"/>
  <c r="X70" i="8" s="1"/>
  <c r="S52" i="8"/>
  <c r="T52" i="8" s="1"/>
  <c r="U52" i="8" s="1"/>
  <c r="V52" i="8" s="1"/>
  <c r="W52" i="8" s="1"/>
  <c r="X52" i="8" s="1"/>
  <c r="S53" i="8"/>
  <c r="T53" i="8" s="1"/>
  <c r="U53" i="8" s="1"/>
  <c r="V53" i="8" s="1"/>
  <c r="W53" i="8" s="1"/>
  <c r="X53" i="8" s="1"/>
  <c r="S55" i="8"/>
  <c r="T55" i="8" s="1"/>
  <c r="U55" i="8" s="1"/>
  <c r="V55" i="8" s="1"/>
  <c r="W55" i="8" s="1"/>
  <c r="X55" i="8" s="1"/>
  <c r="Y54" i="8"/>
  <c r="Y112" i="8"/>
  <c r="Y36" i="8"/>
  <c r="M36" i="10" s="1"/>
  <c r="N36" i="10" s="1"/>
  <c r="O36" i="10" s="1"/>
  <c r="P36" i="10" s="1"/>
  <c r="Q36" i="10" s="1"/>
  <c r="R36" i="10" s="1"/>
  <c r="S36" i="10" s="1"/>
  <c r="T36" i="10" s="1"/>
  <c r="U36" i="10" s="1"/>
  <c r="V36" i="10" s="1"/>
  <c r="W36" i="10" s="1"/>
  <c r="X36" i="10" s="1"/>
  <c r="Q32" i="4"/>
  <c r="R32" i="4" s="1"/>
  <c r="S32" i="4" s="1"/>
  <c r="T32" i="4" s="1"/>
  <c r="U32" i="4" s="1"/>
  <c r="V32" i="4" s="1"/>
  <c r="W32" i="4" s="1"/>
  <c r="X32" i="4" s="1"/>
  <c r="N100" i="4"/>
  <c r="O100" i="4" s="1"/>
  <c r="P100" i="4" s="1"/>
  <c r="Q100" i="4" s="1"/>
  <c r="R100" i="4" s="1"/>
  <c r="S100" i="4" s="1"/>
  <c r="T100" i="4" s="1"/>
  <c r="U100" i="4" s="1"/>
  <c r="V100" i="4" s="1"/>
  <c r="W100" i="4" s="1"/>
  <c r="X100" i="4" s="1"/>
  <c r="M114" i="8" s="1"/>
  <c r="N114" i="8" s="1"/>
  <c r="O114" i="8" s="1"/>
  <c r="P114" i="8" s="1"/>
  <c r="Q114" i="8" s="1"/>
  <c r="R114" i="8" s="1"/>
  <c r="S114" i="8" s="1"/>
  <c r="T114" i="8" s="1"/>
  <c r="U114" i="8" s="1"/>
  <c r="V114" i="8" s="1"/>
  <c r="W114" i="8" s="1"/>
  <c r="X114" i="8" s="1"/>
  <c r="S57" i="4"/>
  <c r="T57" i="4" s="1"/>
  <c r="U57" i="4" s="1"/>
  <c r="Y37" i="4"/>
  <c r="M37" i="8" s="1"/>
  <c r="N37" i="8" s="1"/>
  <c r="O37" i="8" s="1"/>
  <c r="P37" i="8" s="1"/>
  <c r="Q37" i="8" s="1"/>
  <c r="R37" i="8" s="1"/>
  <c r="S37" i="8" s="1"/>
  <c r="T37" i="8" s="1"/>
  <c r="U37" i="8" s="1"/>
  <c r="V37" i="8" s="1"/>
  <c r="W37" i="8" s="1"/>
  <c r="X37" i="8" s="1"/>
  <c r="T55" i="4"/>
  <c r="U55" i="4"/>
  <c r="Y65" i="4"/>
  <c r="V73" i="4"/>
  <c r="Y35" i="4"/>
  <c r="M35" i="8" s="1"/>
  <c r="N35" i="8" s="1"/>
  <c r="O35" i="8" s="1"/>
  <c r="P35" i="8" s="1"/>
  <c r="Q35" i="8" s="1"/>
  <c r="R35" i="8" s="1"/>
  <c r="S35" i="8" s="1"/>
  <c r="T35" i="8" s="1"/>
  <c r="U35" i="8" s="1"/>
  <c r="V35" i="8" s="1"/>
  <c r="W35" i="8" s="1"/>
  <c r="X35" i="8" s="1"/>
  <c r="W71" i="4"/>
  <c r="X66" i="4"/>
  <c r="Y66" i="4" s="1"/>
  <c r="M40" i="4"/>
  <c r="T34" i="4"/>
  <c r="N38" i="4"/>
  <c r="O33" i="4"/>
  <c r="P33" i="4" s="1"/>
  <c r="H22" i="4"/>
  <c r="M97" i="4" s="1"/>
  <c r="M99" i="4" s="1"/>
  <c r="M69" i="8" l="1"/>
  <c r="N69" i="8" s="1"/>
  <c r="O69" i="8" s="1"/>
  <c r="P69" i="8" s="1"/>
  <c r="Q69" i="8" s="1"/>
  <c r="R69" i="8" s="1"/>
  <c r="S69" i="8" s="1"/>
  <c r="T69" i="8" s="1"/>
  <c r="U69" i="8" s="1"/>
  <c r="V69" i="8" s="1"/>
  <c r="W69" i="8" s="1"/>
  <c r="X69" i="8" s="1"/>
  <c r="M69" i="10"/>
  <c r="N69" i="10" s="1"/>
  <c r="O69" i="10" s="1"/>
  <c r="P69" i="10" s="1"/>
  <c r="Q69" i="10" s="1"/>
  <c r="R69" i="10" s="1"/>
  <c r="S69" i="10" s="1"/>
  <c r="T69" i="10" s="1"/>
  <c r="U69" i="10" s="1"/>
  <c r="V69" i="10" s="1"/>
  <c r="W69" i="10" s="1"/>
  <c r="X69" i="10" s="1"/>
  <c r="M68" i="8"/>
  <c r="M68" i="10"/>
  <c r="F12" i="10"/>
  <c r="G12" i="10" s="1"/>
  <c r="H12" i="10" s="1"/>
  <c r="Y114" i="8"/>
  <c r="H18" i="8"/>
  <c r="F18" i="10"/>
  <c r="G18" i="10" s="1"/>
  <c r="H18" i="10" s="1"/>
  <c r="H17" i="8"/>
  <c r="F17" i="10"/>
  <c r="G17" i="10" s="1"/>
  <c r="H17" i="10" s="1"/>
  <c r="H20" i="8"/>
  <c r="F20" i="10"/>
  <c r="G20" i="10" s="1"/>
  <c r="H20" i="10" s="1"/>
  <c r="H19" i="8"/>
  <c r="F19" i="10"/>
  <c r="G19" i="10" s="1"/>
  <c r="H19" i="10" s="1"/>
  <c r="H16" i="8"/>
  <c r="F16" i="10"/>
  <c r="G16" i="10" s="1"/>
  <c r="H16" i="10" s="1"/>
  <c r="H14" i="8"/>
  <c r="F14" i="10"/>
  <c r="G14" i="10" s="1"/>
  <c r="H14" i="10" s="1"/>
  <c r="Y52" i="8"/>
  <c r="H21" i="8"/>
  <c r="F21" i="10"/>
  <c r="G21" i="10" s="1"/>
  <c r="H21" i="10" s="1"/>
  <c r="H15" i="8"/>
  <c r="F15" i="10"/>
  <c r="G15" i="10" s="1"/>
  <c r="H15" i="10" s="1"/>
  <c r="H11" i="8"/>
  <c r="F11" i="10"/>
  <c r="G11" i="10" s="1"/>
  <c r="H11" i="10" s="1"/>
  <c r="Y73" i="10"/>
  <c r="Y69" i="10"/>
  <c r="Y36" i="10"/>
  <c r="Y55" i="8"/>
  <c r="Y73" i="8"/>
  <c r="Y72" i="8"/>
  <c r="Y71" i="8"/>
  <c r="Y70" i="8"/>
  <c r="Y53" i="8"/>
  <c r="Y37" i="8"/>
  <c r="M37" i="10" s="1"/>
  <c r="Y69" i="8"/>
  <c r="Y35" i="8"/>
  <c r="M35" i="10" s="1"/>
  <c r="X71" i="4"/>
  <c r="Y71" i="4" s="1"/>
  <c r="S58" i="4"/>
  <c r="Y33" i="4"/>
  <c r="M33" i="8" s="1"/>
  <c r="N33" i="8" s="1"/>
  <c r="O33" i="8" s="1"/>
  <c r="P33" i="8" s="1"/>
  <c r="Y98" i="4"/>
  <c r="N97" i="4"/>
  <c r="N99" i="4" s="1"/>
  <c r="M101" i="4"/>
  <c r="T58" i="4"/>
  <c r="Y100" i="4"/>
  <c r="V57" i="4"/>
  <c r="U58" i="4"/>
  <c r="V55" i="4"/>
  <c r="V74" i="4"/>
  <c r="W73" i="4"/>
  <c r="P38" i="4"/>
  <c r="Y50" i="4"/>
  <c r="M41" i="4"/>
  <c r="N40" i="4"/>
  <c r="O38" i="4"/>
  <c r="Q38" i="4"/>
  <c r="U34" i="4"/>
  <c r="H57" i="3"/>
  <c r="H54" i="3"/>
  <c r="F26" i="3"/>
  <c r="F27" i="3" s="1"/>
  <c r="G55" i="3"/>
  <c r="G56" i="3" s="1"/>
  <c r="G58" i="3" s="1"/>
  <c r="F23" i="3"/>
  <c r="F24" i="3" s="1"/>
  <c r="I20" i="2"/>
  <c r="I19" i="2"/>
  <c r="G59" i="3" l="1"/>
  <c r="S85" i="4"/>
  <c r="S45" i="4" s="1"/>
  <c r="M51" i="10"/>
  <c r="M51" i="8"/>
  <c r="N68" i="10"/>
  <c r="M74" i="10"/>
  <c r="M74" i="8"/>
  <c r="N68" i="8"/>
  <c r="H22" i="8"/>
  <c r="M111" i="8" s="1"/>
  <c r="F28" i="3"/>
  <c r="F29" i="3" s="1"/>
  <c r="H22" i="10"/>
  <c r="M111" i="10" s="1"/>
  <c r="N37" i="10"/>
  <c r="O37" i="10" s="1"/>
  <c r="P37" i="10" s="1"/>
  <c r="Q37" i="10" s="1"/>
  <c r="R37" i="10" s="1"/>
  <c r="S37" i="10" s="1"/>
  <c r="T37" i="10" s="1"/>
  <c r="U37" i="10" s="1"/>
  <c r="V37" i="10" s="1"/>
  <c r="W37" i="10" s="1"/>
  <c r="X37" i="10" s="1"/>
  <c r="N35" i="10"/>
  <c r="O35" i="10" s="1"/>
  <c r="P35" i="10" s="1"/>
  <c r="Q35" i="10" s="1"/>
  <c r="R35" i="10" s="1"/>
  <c r="S35" i="10" s="1"/>
  <c r="T35" i="10" s="1"/>
  <c r="U35" i="10" s="1"/>
  <c r="V35" i="10" s="1"/>
  <c r="W35" i="10" s="1"/>
  <c r="X35" i="10" s="1"/>
  <c r="Q33" i="8"/>
  <c r="O97" i="4"/>
  <c r="O99" i="4" s="1"/>
  <c r="N101" i="4"/>
  <c r="X73" i="4"/>
  <c r="W74" i="4"/>
  <c r="X55" i="4"/>
  <c r="W55" i="4"/>
  <c r="W57" i="4"/>
  <c r="V58" i="4"/>
  <c r="N41" i="4"/>
  <c r="O40" i="4"/>
  <c r="R38" i="4"/>
  <c r="V34" i="4"/>
  <c r="H56" i="3"/>
  <c r="I56" i="3" s="1"/>
  <c r="H55" i="3"/>
  <c r="H59" i="3"/>
  <c r="H58" i="3"/>
  <c r="I57" i="3"/>
  <c r="I54" i="3"/>
  <c r="G40" i="3"/>
  <c r="F33" i="3"/>
  <c r="H18" i="2"/>
  <c r="G18" i="2"/>
  <c r="F18" i="2"/>
  <c r="I18" i="2" s="1"/>
  <c r="F23" i="2"/>
  <c r="I17" i="2"/>
  <c r="O68" i="10" l="1"/>
  <c r="N74" i="10"/>
  <c r="N111" i="10"/>
  <c r="M113" i="10"/>
  <c r="N51" i="8"/>
  <c r="O51" i="8" s="1"/>
  <c r="P51" i="8" s="1"/>
  <c r="Q51" i="8" s="1"/>
  <c r="R51" i="8" s="1"/>
  <c r="S51" i="8" s="1"/>
  <c r="T51" i="8" s="1"/>
  <c r="U51" i="8" s="1"/>
  <c r="V51" i="8" s="1"/>
  <c r="W51" i="8" s="1"/>
  <c r="X51" i="8" s="1"/>
  <c r="N51" i="10"/>
  <c r="O51" i="10" s="1"/>
  <c r="P51" i="10" s="1"/>
  <c r="Q51" i="10" s="1"/>
  <c r="R51" i="10" s="1"/>
  <c r="S51" i="10" s="1"/>
  <c r="T51" i="10" s="1"/>
  <c r="U51" i="10" s="1"/>
  <c r="V51" i="10" s="1"/>
  <c r="W51" i="10" s="1"/>
  <c r="X51" i="10" s="1"/>
  <c r="K18" i="2"/>
  <c r="M17" i="4"/>
  <c r="M17" i="8" s="1"/>
  <c r="M17" i="10" s="1"/>
  <c r="F26" i="2"/>
  <c r="F27" i="2" s="1"/>
  <c r="O68" i="8"/>
  <c r="N74" i="8"/>
  <c r="M113" i="8"/>
  <c r="N111" i="8"/>
  <c r="G60" i="3"/>
  <c r="T85" i="4"/>
  <c r="T45" i="4" s="1"/>
  <c r="M115" i="10"/>
  <c r="Y37" i="10"/>
  <c r="Y35" i="10"/>
  <c r="R33" i="8"/>
  <c r="P97" i="4"/>
  <c r="P99" i="4" s="1"/>
  <c r="O101" i="4"/>
  <c r="Y49" i="4"/>
  <c r="Y55" i="4"/>
  <c r="X57" i="4"/>
  <c r="X58" i="4" s="1"/>
  <c r="W58" i="4"/>
  <c r="Y73" i="4"/>
  <c r="X74" i="4"/>
  <c r="P40" i="4"/>
  <c r="O41" i="4"/>
  <c r="S38" i="4"/>
  <c r="W34" i="4"/>
  <c r="I58" i="3"/>
  <c r="I59" i="3"/>
  <c r="I55" i="3"/>
  <c r="J19" i="3"/>
  <c r="F32" i="3"/>
  <c r="F24" i="2"/>
  <c r="F33" i="2" l="1"/>
  <c r="H48" i="2"/>
  <c r="H54" i="2"/>
  <c r="H50" i="2"/>
  <c r="H52" i="2"/>
  <c r="H49" i="2"/>
  <c r="H53" i="2"/>
  <c r="G40" i="2"/>
  <c r="H51" i="2"/>
  <c r="H47" i="2"/>
  <c r="F28" i="2"/>
  <c r="F29" i="2" s="1"/>
  <c r="G29" i="2" s="1"/>
  <c r="N113" i="10"/>
  <c r="N115" i="10"/>
  <c r="O111" i="10"/>
  <c r="Y51" i="8"/>
  <c r="M50" i="10"/>
  <c r="M50" i="8"/>
  <c r="M115" i="8"/>
  <c r="H60" i="3"/>
  <c r="I60" i="3" s="1"/>
  <c r="U85" i="4"/>
  <c r="U45" i="4" s="1"/>
  <c r="G61" i="3"/>
  <c r="P68" i="10"/>
  <c r="O74" i="10"/>
  <c r="Y51" i="10"/>
  <c r="N113" i="8"/>
  <c r="O111" i="8"/>
  <c r="N115" i="8"/>
  <c r="O74" i="8"/>
  <c r="P68" i="8"/>
  <c r="M11" i="4"/>
  <c r="F36" i="3"/>
  <c r="S33" i="8"/>
  <c r="Q97" i="4"/>
  <c r="Q99" i="4" s="1"/>
  <c r="P101" i="4"/>
  <c r="Y57" i="4"/>
  <c r="Y74" i="4"/>
  <c r="Y58" i="4"/>
  <c r="Q40" i="4"/>
  <c r="P41" i="4"/>
  <c r="T38" i="4"/>
  <c r="X34" i="4"/>
  <c r="Y34" i="4" s="1"/>
  <c r="M34" i="8" s="1"/>
  <c r="N34" i="8" s="1"/>
  <c r="O34" i="8" s="1"/>
  <c r="P34" i="8" s="1"/>
  <c r="Q34" i="8" s="1"/>
  <c r="R34" i="8" s="1"/>
  <c r="S34" i="8" s="1"/>
  <c r="T34" i="8" s="1"/>
  <c r="U34" i="8" s="1"/>
  <c r="V34" i="8" s="1"/>
  <c r="W34" i="8" s="1"/>
  <c r="X34" i="8" s="1"/>
  <c r="F34" i="3"/>
  <c r="H61" i="3" l="1"/>
  <c r="I61" i="3" s="1"/>
  <c r="V85" i="4"/>
  <c r="V45" i="4" s="1"/>
  <c r="G62" i="3"/>
  <c r="G63" i="3"/>
  <c r="N50" i="8"/>
  <c r="M56" i="8"/>
  <c r="N50" i="10"/>
  <c r="M56" i="10"/>
  <c r="O113" i="10"/>
  <c r="P111" i="10"/>
  <c r="Q68" i="10"/>
  <c r="P74" i="10"/>
  <c r="F32" i="2"/>
  <c r="F34" i="2" s="1"/>
  <c r="P74" i="8"/>
  <c r="Q68" i="8"/>
  <c r="O113" i="8"/>
  <c r="O115" i="8"/>
  <c r="P111" i="8"/>
  <c r="M89" i="4"/>
  <c r="M42" i="4" s="1"/>
  <c r="S89" i="4"/>
  <c r="V89" i="4"/>
  <c r="Q89" i="4"/>
  <c r="Q42" i="4" s="1"/>
  <c r="W89" i="4"/>
  <c r="X89" i="4"/>
  <c r="O89" i="4"/>
  <c r="O42" i="4" s="1"/>
  <c r="O43" i="4" s="1"/>
  <c r="P89" i="4"/>
  <c r="P42" i="4" s="1"/>
  <c r="P43" i="4" s="1"/>
  <c r="N89" i="4"/>
  <c r="N42" i="4" s="1"/>
  <c r="N43" i="4" s="1"/>
  <c r="R89" i="4"/>
  <c r="T89" i="4"/>
  <c r="U89" i="4"/>
  <c r="T33" i="8"/>
  <c r="R97" i="4"/>
  <c r="R99" i="4" s="1"/>
  <c r="Q101" i="4"/>
  <c r="R40" i="4"/>
  <c r="Q41" i="4"/>
  <c r="U38" i="4"/>
  <c r="O115" i="10" l="1"/>
  <c r="P113" i="8"/>
  <c r="Q111" i="8"/>
  <c r="P115" i="8"/>
  <c r="R68" i="8"/>
  <c r="Q74" i="8"/>
  <c r="H62" i="3"/>
  <c r="W85" i="4"/>
  <c r="W45" i="4" s="1"/>
  <c r="O50" i="8"/>
  <c r="N56" i="8"/>
  <c r="R68" i="10"/>
  <c r="Q74" i="10"/>
  <c r="O50" i="10"/>
  <c r="N56" i="10"/>
  <c r="P113" i="10"/>
  <c r="Q111" i="10"/>
  <c r="P115" i="10"/>
  <c r="Q43" i="4"/>
  <c r="Q45" i="8" s="1"/>
  <c r="Q46" i="8" s="1"/>
  <c r="P45" i="8"/>
  <c r="P84" i="4"/>
  <c r="P83" i="4"/>
  <c r="P44" i="4"/>
  <c r="P46" i="4" s="1"/>
  <c r="P93" i="4" s="1"/>
  <c r="O45" i="8"/>
  <c r="O84" i="4"/>
  <c r="O83" i="4"/>
  <c r="O44" i="4"/>
  <c r="O46" i="4" s="1"/>
  <c r="O93" i="4" s="1"/>
  <c r="X42" i="4"/>
  <c r="X59" i="4"/>
  <c r="X75" i="4"/>
  <c r="X76" i="4" s="1"/>
  <c r="W75" i="4"/>
  <c r="W76" i="4" s="1"/>
  <c r="W42" i="4"/>
  <c r="W59" i="4"/>
  <c r="U59" i="4"/>
  <c r="U42" i="4"/>
  <c r="T59" i="4"/>
  <c r="T42" i="4"/>
  <c r="V75" i="4"/>
  <c r="V42" i="4"/>
  <c r="V59" i="4"/>
  <c r="R59" i="4"/>
  <c r="R42" i="4"/>
  <c r="N45" i="8"/>
  <c r="N84" i="4"/>
  <c r="N44" i="4"/>
  <c r="N46" i="4" s="1"/>
  <c r="N93" i="4" s="1"/>
  <c r="N83" i="4"/>
  <c r="M43" i="4"/>
  <c r="S42" i="4"/>
  <c r="S59" i="4"/>
  <c r="F50" i="3"/>
  <c r="U33" i="8"/>
  <c r="S97" i="4"/>
  <c r="S99" i="4" s="1"/>
  <c r="R101" i="4"/>
  <c r="S40" i="4"/>
  <c r="R41" i="4"/>
  <c r="V38" i="4"/>
  <c r="Q44" i="4" l="1"/>
  <c r="R74" i="8"/>
  <c r="S68" i="8"/>
  <c r="Q113" i="8"/>
  <c r="Q115" i="8"/>
  <c r="R111" i="8"/>
  <c r="O56" i="8"/>
  <c r="P50" i="8"/>
  <c r="P50" i="10"/>
  <c r="O56" i="10"/>
  <c r="Q113" i="10"/>
  <c r="Q115" i="10" s="1"/>
  <c r="R111" i="10"/>
  <c r="I62" i="3"/>
  <c r="I63" i="3" s="1"/>
  <c r="H63" i="3"/>
  <c r="S68" i="10"/>
  <c r="R74" i="10"/>
  <c r="Q100" i="8"/>
  <c r="Q83" i="4"/>
  <c r="Q84" i="4"/>
  <c r="Y42" i="4"/>
  <c r="R43" i="4"/>
  <c r="R45" i="8" s="1"/>
  <c r="R46" i="8" s="1"/>
  <c r="R60" i="4"/>
  <c r="R63" i="8" s="1"/>
  <c r="Y59" i="4"/>
  <c r="W60" i="4"/>
  <c r="W61" i="4" s="1"/>
  <c r="W62" i="4" s="1"/>
  <c r="O100" i="8"/>
  <c r="O46" i="8"/>
  <c r="W77" i="4"/>
  <c r="W78" i="4" s="1"/>
  <c r="W81" i="8"/>
  <c r="W82" i="8" s="1"/>
  <c r="M45" i="8"/>
  <c r="M44" i="4"/>
  <c r="M46" i="4" s="1"/>
  <c r="M93" i="4" s="1"/>
  <c r="M84" i="4"/>
  <c r="M83" i="4"/>
  <c r="V76" i="4"/>
  <c r="Y75" i="4"/>
  <c r="X81" i="8"/>
  <c r="X82" i="8" s="1"/>
  <c r="X77" i="4"/>
  <c r="X78" i="4" s="1"/>
  <c r="N108" i="4"/>
  <c r="N106" i="4"/>
  <c r="N107" i="4"/>
  <c r="N103" i="4"/>
  <c r="N104" i="4"/>
  <c r="N105" i="4"/>
  <c r="X60" i="4"/>
  <c r="X61" i="4" s="1"/>
  <c r="X62" i="4" s="1"/>
  <c r="N100" i="8"/>
  <c r="N46" i="8"/>
  <c r="O105" i="4"/>
  <c r="O106" i="4"/>
  <c r="O108" i="4"/>
  <c r="O107" i="4"/>
  <c r="O103" i="4"/>
  <c r="O104" i="4"/>
  <c r="V60" i="4"/>
  <c r="V61" i="4" s="1"/>
  <c r="V62" i="4" s="1"/>
  <c r="T60" i="4"/>
  <c r="T61" i="4" s="1"/>
  <c r="T62" i="4" s="1"/>
  <c r="S60" i="4"/>
  <c r="S61" i="4" s="1"/>
  <c r="S62" i="4" s="1"/>
  <c r="U60" i="4"/>
  <c r="U61" i="4" s="1"/>
  <c r="U62" i="4" s="1"/>
  <c r="P100" i="8"/>
  <c r="P46" i="8"/>
  <c r="G39" i="2"/>
  <c r="G39" i="3"/>
  <c r="G43" i="3" s="1"/>
  <c r="G50" i="3"/>
  <c r="K59" i="3"/>
  <c r="K54" i="3"/>
  <c r="K56" i="3"/>
  <c r="K57" i="3"/>
  <c r="K55" i="3"/>
  <c r="K58" i="3"/>
  <c r="K60" i="3"/>
  <c r="K61" i="3"/>
  <c r="K62" i="3"/>
  <c r="V33" i="8"/>
  <c r="P106" i="4"/>
  <c r="P103" i="4"/>
  <c r="P105" i="4"/>
  <c r="P108" i="4"/>
  <c r="P104" i="4"/>
  <c r="P107" i="4"/>
  <c r="Q46" i="4"/>
  <c r="Q93" i="4" s="1"/>
  <c r="T97" i="4"/>
  <c r="T99" i="4" s="1"/>
  <c r="S101" i="4"/>
  <c r="T40" i="4"/>
  <c r="S41" i="4"/>
  <c r="S43" i="4" s="1"/>
  <c r="S45" i="8" s="1"/>
  <c r="X38" i="4"/>
  <c r="W38" i="4"/>
  <c r="Y32" i="4"/>
  <c r="M32" i="8" s="1"/>
  <c r="Q50" i="10" l="1"/>
  <c r="P56" i="10"/>
  <c r="P56" i="8"/>
  <c r="Q50" i="8"/>
  <c r="N32" i="8"/>
  <c r="M38" i="8"/>
  <c r="R113" i="8"/>
  <c r="S111" i="8"/>
  <c r="R115" i="8"/>
  <c r="T68" i="10"/>
  <c r="S74" i="10"/>
  <c r="C48" i="15"/>
  <c r="C8" i="15"/>
  <c r="C7" i="15"/>
  <c r="E10" i="14"/>
  <c r="E15" i="14" s="1"/>
  <c r="E17" i="14" s="1"/>
  <c r="S74" i="8"/>
  <c r="T68" i="8"/>
  <c r="C9" i="15"/>
  <c r="R113" i="10"/>
  <c r="R115" i="10"/>
  <c r="S111" i="10"/>
  <c r="R44" i="4"/>
  <c r="R46" i="4" s="1"/>
  <c r="G41" i="3"/>
  <c r="K28" i="3" s="1"/>
  <c r="S63" i="8"/>
  <c r="S64" i="8" s="1"/>
  <c r="R84" i="4"/>
  <c r="R83" i="4"/>
  <c r="N109" i="4"/>
  <c r="N113" i="4" s="1"/>
  <c r="R64" i="8"/>
  <c r="R100" i="8"/>
  <c r="V81" i="8"/>
  <c r="V77" i="4"/>
  <c r="Y76" i="4"/>
  <c r="T63" i="8"/>
  <c r="T64" i="8" s="1"/>
  <c r="W63" i="8"/>
  <c r="W64" i="8" s="1"/>
  <c r="M107" i="4"/>
  <c r="M103" i="4"/>
  <c r="M106" i="4"/>
  <c r="M104" i="4"/>
  <c r="M105" i="4"/>
  <c r="M108" i="4"/>
  <c r="V63" i="8"/>
  <c r="V64" i="8" s="1"/>
  <c r="M100" i="8"/>
  <c r="M46" i="8"/>
  <c r="R61" i="4"/>
  <c r="Y60" i="4"/>
  <c r="U63" i="8"/>
  <c r="U64" i="8" s="1"/>
  <c r="O109" i="4"/>
  <c r="X63" i="8"/>
  <c r="X64" i="8" s="1"/>
  <c r="S46" i="8"/>
  <c r="F30" i="2"/>
  <c r="F31" i="2" s="1"/>
  <c r="F30" i="3"/>
  <c r="C54" i="15" s="1"/>
  <c r="C131" i="15" s="1"/>
  <c r="C250" i="15" s="1"/>
  <c r="C298" i="15" s="1"/>
  <c r="C335" i="15" s="1"/>
  <c r="C384" i="15" s="1"/>
  <c r="G54" i="2"/>
  <c r="G51" i="2"/>
  <c r="G52" i="2"/>
  <c r="G50" i="2"/>
  <c r="G53" i="2"/>
  <c r="G41" i="2"/>
  <c r="G49" i="2"/>
  <c r="G48" i="2"/>
  <c r="G47" i="2"/>
  <c r="W33" i="8"/>
  <c r="S84" i="4"/>
  <c r="S83" i="4"/>
  <c r="P109" i="4"/>
  <c r="Q107" i="4"/>
  <c r="Q104" i="4"/>
  <c r="Q106" i="4"/>
  <c r="Q108" i="4"/>
  <c r="Q105" i="4"/>
  <c r="Q103" i="4"/>
  <c r="S44" i="4"/>
  <c r="U97" i="4"/>
  <c r="U99" i="4" s="1"/>
  <c r="T101" i="4"/>
  <c r="Y38" i="4"/>
  <c r="U40" i="4"/>
  <c r="T41" i="4"/>
  <c r="T43" i="4" s="1"/>
  <c r="T45" i="8" s="1"/>
  <c r="U68" i="10" l="1"/>
  <c r="T74" i="10"/>
  <c r="S113" i="8"/>
  <c r="T111" i="8"/>
  <c r="S115" i="8"/>
  <c r="C52" i="15"/>
  <c r="C126" i="15" s="1"/>
  <c r="C245" i="15" s="1"/>
  <c r="C293" i="15" s="1"/>
  <c r="C318" i="15" s="1"/>
  <c r="C361" i="15" s="1"/>
  <c r="C49" i="15"/>
  <c r="C123" i="15" s="1"/>
  <c r="C242" i="15" s="1"/>
  <c r="C290" i="15" s="1"/>
  <c r="C315" i="15" s="1"/>
  <c r="C358" i="15" s="1"/>
  <c r="C51" i="15"/>
  <c r="C125" i="15" s="1"/>
  <c r="C244" i="15" s="1"/>
  <c r="C292" i="15" s="1"/>
  <c r="C317" i="15" s="1"/>
  <c r="C360" i="15" s="1"/>
  <c r="C84" i="15"/>
  <c r="C158" i="15" s="1"/>
  <c r="C195" i="15" s="1"/>
  <c r="C231" i="15" s="1"/>
  <c r="C279" i="15" s="1"/>
  <c r="C327" i="15" s="1"/>
  <c r="C372" i="15" s="1"/>
  <c r="C75" i="15"/>
  <c r="C149" i="15" s="1"/>
  <c r="C185" i="15" s="1"/>
  <c r="C221" i="15" s="1"/>
  <c r="C271" i="15" s="1"/>
  <c r="C339" i="15" s="1"/>
  <c r="C389" i="15" s="1"/>
  <c r="C72" i="15"/>
  <c r="C146" i="15" s="1"/>
  <c r="C182" i="15" s="1"/>
  <c r="C218" i="15" s="1"/>
  <c r="C268" i="15" s="1"/>
  <c r="C324" i="15" s="1"/>
  <c r="C369" i="15" s="1"/>
  <c r="C55" i="15"/>
  <c r="C132" i="15" s="1"/>
  <c r="C251" i="15" s="1"/>
  <c r="C299" i="15" s="1"/>
  <c r="C336" i="15" s="1"/>
  <c r="C385" i="15" s="1"/>
  <c r="C73" i="15"/>
  <c r="C147" i="15" s="1"/>
  <c r="C183" i="15" s="1"/>
  <c r="C219" i="15" s="1"/>
  <c r="C269" i="15" s="1"/>
  <c r="C325" i="15" s="1"/>
  <c r="C370" i="15" s="1"/>
  <c r="C122" i="15"/>
  <c r="C241" i="15" s="1"/>
  <c r="C289" i="15" s="1"/>
  <c r="C314" i="15" s="1"/>
  <c r="C357" i="15" s="1"/>
  <c r="C89" i="15"/>
  <c r="C163" i="15" s="1"/>
  <c r="C200" i="15" s="1"/>
  <c r="C236" i="15" s="1"/>
  <c r="C284" i="15" s="1"/>
  <c r="C341" i="15" s="1"/>
  <c r="C391" i="15" s="1"/>
  <c r="C85" i="15"/>
  <c r="C159" i="15" s="1"/>
  <c r="C196" i="15" s="1"/>
  <c r="C232" i="15" s="1"/>
  <c r="C280" i="15" s="1"/>
  <c r="C328" i="15" s="1"/>
  <c r="C373" i="15" s="1"/>
  <c r="C88" i="15"/>
  <c r="C162" i="15" s="1"/>
  <c r="C199" i="15" s="1"/>
  <c r="C235" i="15" s="1"/>
  <c r="C283" i="15" s="1"/>
  <c r="C340" i="15" s="1"/>
  <c r="C390" i="15" s="1"/>
  <c r="C87" i="15"/>
  <c r="C161" i="15" s="1"/>
  <c r="C198" i="15" s="1"/>
  <c r="C234" i="15" s="1"/>
  <c r="C282" i="15" s="1"/>
  <c r="C330" i="15" s="1"/>
  <c r="C375" i="15" s="1"/>
  <c r="C74" i="15"/>
  <c r="C70" i="15"/>
  <c r="C86" i="15"/>
  <c r="C160" i="15" s="1"/>
  <c r="C197" i="15" s="1"/>
  <c r="C233" i="15" s="1"/>
  <c r="C281" i="15" s="1"/>
  <c r="C329" i="15" s="1"/>
  <c r="C374" i="15" s="1"/>
  <c r="C71" i="15"/>
  <c r="C83" i="15"/>
  <c r="C157" i="15" s="1"/>
  <c r="C194" i="15" s="1"/>
  <c r="C230" i="15" s="1"/>
  <c r="C278" i="15" s="1"/>
  <c r="C326" i="15" s="1"/>
  <c r="C371" i="15" s="1"/>
  <c r="C50" i="15"/>
  <c r="S113" i="10"/>
  <c r="T111" i="10"/>
  <c r="S115" i="10"/>
  <c r="T74" i="8"/>
  <c r="U68" i="8"/>
  <c r="O32" i="8"/>
  <c r="N38" i="8"/>
  <c r="R50" i="8"/>
  <c r="Q56" i="8"/>
  <c r="R50" i="10"/>
  <c r="Q56" i="10"/>
  <c r="F31" i="3"/>
  <c r="E11" i="14"/>
  <c r="E12" i="14" s="1"/>
  <c r="E18" i="14" s="1"/>
  <c r="S100" i="8"/>
  <c r="N115" i="4"/>
  <c r="T100" i="8"/>
  <c r="T46" i="8"/>
  <c r="O113" i="4"/>
  <c r="O115" i="4"/>
  <c r="V78" i="4"/>
  <c r="Y78" i="4" s="1"/>
  <c r="Y77" i="4"/>
  <c r="R62" i="4"/>
  <c r="Y61" i="4"/>
  <c r="V82" i="8"/>
  <c r="Y82" i="8" s="1"/>
  <c r="Y81" i="8"/>
  <c r="M109" i="4"/>
  <c r="Y63" i="8"/>
  <c r="Y64" i="8"/>
  <c r="X33" i="8"/>
  <c r="T83" i="4"/>
  <c r="T84" i="4"/>
  <c r="P113" i="4"/>
  <c r="P115" i="4"/>
  <c r="Q109" i="4"/>
  <c r="S46" i="4"/>
  <c r="S93" i="4" s="1"/>
  <c r="T44" i="4"/>
  <c r="V97" i="4"/>
  <c r="V99" i="4" s="1"/>
  <c r="U101" i="4"/>
  <c r="V40" i="4"/>
  <c r="U41" i="4"/>
  <c r="U43" i="4" s="1"/>
  <c r="U45" i="8" s="1"/>
  <c r="S50" i="10" l="1"/>
  <c r="R56" i="10"/>
  <c r="P32" i="8"/>
  <c r="O38" i="8"/>
  <c r="C145" i="15"/>
  <c r="C181" i="15" s="1"/>
  <c r="C217" i="15" s="1"/>
  <c r="C267" i="15" s="1"/>
  <c r="C323" i="15" s="1"/>
  <c r="C368" i="15" s="1"/>
  <c r="C376" i="15" s="1"/>
  <c r="C382" i="15" s="1"/>
  <c r="C540" i="15"/>
  <c r="D539" i="15" s="1"/>
  <c r="D545" i="15" s="1"/>
  <c r="T113" i="8"/>
  <c r="U111" i="8"/>
  <c r="T115" i="8"/>
  <c r="C53" i="15"/>
  <c r="C124" i="15"/>
  <c r="C243" i="15" s="1"/>
  <c r="C291" i="15" s="1"/>
  <c r="C316" i="15" s="1"/>
  <c r="C359" i="15" s="1"/>
  <c r="R56" i="8"/>
  <c r="S50" i="8"/>
  <c r="V68" i="8"/>
  <c r="U74" i="8"/>
  <c r="C144" i="15"/>
  <c r="C180" i="15" s="1"/>
  <c r="C216" i="15" s="1"/>
  <c r="C264" i="15" s="1"/>
  <c r="C311" i="15" s="1"/>
  <c r="C101" i="15"/>
  <c r="T113" i="10"/>
  <c r="T115" i="10"/>
  <c r="U111" i="10"/>
  <c r="C557" i="15"/>
  <c r="D556" i="15" s="1"/>
  <c r="D562" i="15" s="1"/>
  <c r="C148" i="15"/>
  <c r="C184" i="15" s="1"/>
  <c r="C220" i="15" s="1"/>
  <c r="C270" i="15" s="1"/>
  <c r="C338" i="15" s="1"/>
  <c r="C388" i="15" s="1"/>
  <c r="C396" i="15" s="1"/>
  <c r="V68" i="10"/>
  <c r="U74" i="10"/>
  <c r="E19" i="14"/>
  <c r="E20" i="14" s="1"/>
  <c r="E22" i="14" s="1"/>
  <c r="E25" i="14" s="1"/>
  <c r="E30" i="14" s="1"/>
  <c r="E35" i="14" s="1"/>
  <c r="U100" i="8"/>
  <c r="U46" i="8"/>
  <c r="Y62" i="4"/>
  <c r="R93" i="4"/>
  <c r="M115" i="4"/>
  <c r="M113" i="4"/>
  <c r="Y33" i="8"/>
  <c r="M33" i="10" s="1"/>
  <c r="N33" i="10" s="1"/>
  <c r="O33" i="10" s="1"/>
  <c r="P33" i="10" s="1"/>
  <c r="U84" i="4"/>
  <c r="U83" i="4"/>
  <c r="Q115" i="4"/>
  <c r="Q113" i="4"/>
  <c r="S104" i="4"/>
  <c r="S106" i="4"/>
  <c r="S105" i="4"/>
  <c r="S103" i="4"/>
  <c r="S108" i="4"/>
  <c r="S107" i="4"/>
  <c r="T46" i="4"/>
  <c r="T93" i="4" s="1"/>
  <c r="U44" i="4"/>
  <c r="W97" i="4"/>
  <c r="W99" i="4" s="1"/>
  <c r="V101" i="4"/>
  <c r="W40" i="4"/>
  <c r="V41" i="4"/>
  <c r="V43" i="4" s="1"/>
  <c r="V45" i="8" s="1"/>
  <c r="U113" i="10" l="1"/>
  <c r="U115" i="10"/>
  <c r="V111" i="10"/>
  <c r="C58" i="15"/>
  <c r="C128" i="15"/>
  <c r="U113" i="8"/>
  <c r="V111" i="8"/>
  <c r="U115" i="8"/>
  <c r="Q32" i="8"/>
  <c r="P38" i="8"/>
  <c r="W68" i="8"/>
  <c r="V74" i="8"/>
  <c r="W68" i="10"/>
  <c r="V74" i="10"/>
  <c r="T50" i="8"/>
  <c r="S56" i="8"/>
  <c r="T50" i="10"/>
  <c r="S56" i="10"/>
  <c r="R104" i="4"/>
  <c r="R105" i="4"/>
  <c r="R108" i="4"/>
  <c r="R107" i="4"/>
  <c r="R103" i="4"/>
  <c r="R106" i="4"/>
  <c r="V46" i="8"/>
  <c r="V100" i="8"/>
  <c r="Q33" i="10"/>
  <c r="R33" i="10" s="1"/>
  <c r="S33" i="10" s="1"/>
  <c r="T33" i="10" s="1"/>
  <c r="U33" i="10" s="1"/>
  <c r="V33" i="10" s="1"/>
  <c r="W33" i="10" s="1"/>
  <c r="X33" i="10" s="1"/>
  <c r="V84" i="4"/>
  <c r="V83" i="4"/>
  <c r="T105" i="4"/>
  <c r="T107" i="4"/>
  <c r="T108" i="4"/>
  <c r="T106" i="4"/>
  <c r="T103" i="4"/>
  <c r="T104" i="4"/>
  <c r="U46" i="4"/>
  <c r="U93" i="4" s="1"/>
  <c r="S109" i="4"/>
  <c r="V44" i="4"/>
  <c r="X97" i="4"/>
  <c r="X99" i="4" s="1"/>
  <c r="Y99" i="4" s="1"/>
  <c r="W101" i="4"/>
  <c r="W41" i="4"/>
  <c r="W43" i="4" s="1"/>
  <c r="W45" i="8" s="1"/>
  <c r="X40" i="4"/>
  <c r="X41" i="4" s="1"/>
  <c r="X43" i="4" s="1"/>
  <c r="X45" i="8" s="1"/>
  <c r="C129" i="15" l="1"/>
  <c r="C248" i="15" s="1"/>
  <c r="C296" i="15" s="1"/>
  <c r="C321" i="15" s="1"/>
  <c r="C364" i="15" s="1"/>
  <c r="C247" i="15"/>
  <c r="C295" i="15" s="1"/>
  <c r="C320" i="15" s="1"/>
  <c r="C363" i="15" s="1"/>
  <c r="C130" i="15"/>
  <c r="C249" i="15" s="1"/>
  <c r="C297" i="15" s="1"/>
  <c r="C322" i="15" s="1"/>
  <c r="C365" i="15" s="1"/>
  <c r="V113" i="10"/>
  <c r="W111" i="10"/>
  <c r="V115" i="10"/>
  <c r="X68" i="8"/>
  <c r="W74" i="8"/>
  <c r="U50" i="10"/>
  <c r="T56" i="10"/>
  <c r="X68" i="10"/>
  <c r="W74" i="10"/>
  <c r="R32" i="8"/>
  <c r="Q38" i="8"/>
  <c r="V113" i="8"/>
  <c r="W111" i="8"/>
  <c r="V115" i="8"/>
  <c r="T56" i="8"/>
  <c r="U50" i="8"/>
  <c r="R109" i="4"/>
  <c r="X46" i="8"/>
  <c r="X100" i="8"/>
  <c r="W100" i="8"/>
  <c r="W46" i="8"/>
  <c r="Y45" i="8"/>
  <c r="Y33" i="10"/>
  <c r="X83" i="4"/>
  <c r="X84" i="4"/>
  <c r="W84" i="4"/>
  <c r="W83" i="4"/>
  <c r="S113" i="4"/>
  <c r="S115" i="4"/>
  <c r="X44" i="4"/>
  <c r="X46" i="4" s="1"/>
  <c r="X93" i="4" s="1"/>
  <c r="U108" i="4"/>
  <c r="U107" i="4"/>
  <c r="U103" i="4"/>
  <c r="U104" i="4"/>
  <c r="U106" i="4"/>
  <c r="U105" i="4"/>
  <c r="V46" i="4"/>
  <c r="V93" i="4" s="1"/>
  <c r="T109" i="4"/>
  <c r="X101" i="4"/>
  <c r="Y101" i="4" s="1"/>
  <c r="F14" i="14" s="1"/>
  <c r="Y97" i="4"/>
  <c r="Y40" i="4"/>
  <c r="M6" i="8" s="1"/>
  <c r="M11" i="8" s="1"/>
  <c r="Y41" i="4"/>
  <c r="Y43" i="4" s="1"/>
  <c r="V50" i="10" l="1"/>
  <c r="U56" i="10"/>
  <c r="X74" i="8"/>
  <c r="Y74" i="8" s="1"/>
  <c r="Y68" i="8"/>
  <c r="M76" i="8"/>
  <c r="M58" i="8"/>
  <c r="M40" i="8"/>
  <c r="C367" i="15"/>
  <c r="C538" i="15"/>
  <c r="C542" i="15" s="1"/>
  <c r="C544" i="15" s="1"/>
  <c r="C546" i="15" s="1"/>
  <c r="C548" i="15" s="1"/>
  <c r="V50" i="8"/>
  <c r="U56" i="8"/>
  <c r="W113" i="10"/>
  <c r="X111" i="10"/>
  <c r="W115" i="10"/>
  <c r="W113" i="8"/>
  <c r="X111" i="8"/>
  <c r="W115" i="8"/>
  <c r="S32" i="8"/>
  <c r="R38" i="8"/>
  <c r="X74" i="10"/>
  <c r="Y74" i="10" s="1"/>
  <c r="Y68" i="10"/>
  <c r="Y46" i="8"/>
  <c r="Y100" i="8"/>
  <c r="R115" i="4"/>
  <c r="R113" i="4"/>
  <c r="Y83" i="4"/>
  <c r="M10" i="10" s="1"/>
  <c r="Y84" i="4"/>
  <c r="M125" i="4" s="1"/>
  <c r="T113" i="4"/>
  <c r="T115" i="4"/>
  <c r="Y45" i="4"/>
  <c r="V108" i="4"/>
  <c r="V104" i="4"/>
  <c r="V105" i="4"/>
  <c r="V106" i="4"/>
  <c r="V107" i="4"/>
  <c r="V103" i="4"/>
  <c r="X108" i="4"/>
  <c r="X106" i="4"/>
  <c r="X104" i="4"/>
  <c r="X103" i="4"/>
  <c r="X105" i="4"/>
  <c r="X107" i="4"/>
  <c r="U109" i="4"/>
  <c r="W44" i="4"/>
  <c r="W46" i="4" s="1"/>
  <c r="M41" i="8" l="1"/>
  <c r="N40" i="8"/>
  <c r="M59" i="8"/>
  <c r="N58" i="8"/>
  <c r="M77" i="8"/>
  <c r="N76" i="8"/>
  <c r="X113" i="8"/>
  <c r="Y113" i="8" s="1"/>
  <c r="X115" i="8"/>
  <c r="Y115" i="8" s="1"/>
  <c r="G14" i="14" s="1"/>
  <c r="X113" i="10"/>
  <c r="Y113" i="10" s="1"/>
  <c r="Y111" i="10"/>
  <c r="T32" i="8"/>
  <c r="S38" i="8"/>
  <c r="W50" i="10"/>
  <c r="V56" i="10"/>
  <c r="C377" i="15"/>
  <c r="C383" i="15"/>
  <c r="C427" i="15" s="1"/>
  <c r="C429" i="15" s="1"/>
  <c r="V56" i="8"/>
  <c r="W50" i="8"/>
  <c r="Y111" i="8"/>
  <c r="U104" i="10"/>
  <c r="V104" i="10"/>
  <c r="M104" i="10"/>
  <c r="N104" i="10"/>
  <c r="Q104" i="10"/>
  <c r="T104" i="10"/>
  <c r="O104" i="10"/>
  <c r="R104" i="10"/>
  <c r="P104" i="10"/>
  <c r="S104" i="10"/>
  <c r="W104" i="10"/>
  <c r="X104" i="10"/>
  <c r="M123" i="4"/>
  <c r="M126" i="4" s="1"/>
  <c r="M10" i="8"/>
  <c r="M104" i="8" s="1"/>
  <c r="Y44" i="4"/>
  <c r="U115" i="4"/>
  <c r="U113" i="4"/>
  <c r="V109" i="4"/>
  <c r="X109" i="4"/>
  <c r="Y46" i="4"/>
  <c r="W93" i="4"/>
  <c r="W56" i="8" l="1"/>
  <c r="X50" i="8"/>
  <c r="N59" i="8"/>
  <c r="O58" i="8"/>
  <c r="X50" i="10"/>
  <c r="X56" i="10" s="1"/>
  <c r="W56" i="10"/>
  <c r="Y50" i="10"/>
  <c r="U32" i="8"/>
  <c r="T38" i="8"/>
  <c r="O76" i="8"/>
  <c r="N77" i="8"/>
  <c r="N41" i="8"/>
  <c r="O40" i="8"/>
  <c r="X115" i="10"/>
  <c r="Y115" i="10" s="1"/>
  <c r="H14" i="14" s="1"/>
  <c r="I14" i="14" s="1"/>
  <c r="T60" i="10"/>
  <c r="T42" i="10"/>
  <c r="T78" i="10"/>
  <c r="M60" i="10"/>
  <c r="M42" i="10"/>
  <c r="M78" i="10"/>
  <c r="V60" i="10"/>
  <c r="V78" i="10"/>
  <c r="V42" i="10"/>
  <c r="Q60" i="10"/>
  <c r="Q42" i="10"/>
  <c r="Q78" i="10"/>
  <c r="U78" i="10"/>
  <c r="U60" i="10"/>
  <c r="U42" i="10"/>
  <c r="X60" i="10"/>
  <c r="X78" i="10"/>
  <c r="X42" i="10"/>
  <c r="R60" i="10"/>
  <c r="R78" i="10"/>
  <c r="R42" i="10"/>
  <c r="N42" i="10"/>
  <c r="N60" i="10"/>
  <c r="N78" i="10"/>
  <c r="W60" i="10"/>
  <c r="W42" i="10"/>
  <c r="W78" i="10"/>
  <c r="S78" i="10"/>
  <c r="S60" i="10"/>
  <c r="S42" i="10"/>
  <c r="P78" i="10"/>
  <c r="P60" i="10"/>
  <c r="P42" i="10"/>
  <c r="O78" i="10"/>
  <c r="O42" i="10"/>
  <c r="O60" i="10"/>
  <c r="M60" i="8"/>
  <c r="M61" i="8" s="1"/>
  <c r="M78" i="8"/>
  <c r="M79" i="8" s="1"/>
  <c r="X104" i="8"/>
  <c r="W104" i="8"/>
  <c r="T104" i="8"/>
  <c r="N104" i="8"/>
  <c r="N78" i="8" s="1"/>
  <c r="N79" i="8" s="1"/>
  <c r="O104" i="8"/>
  <c r="O78" i="8" s="1"/>
  <c r="V104" i="8"/>
  <c r="R104" i="8"/>
  <c r="M42" i="8"/>
  <c r="M43" i="8" s="1"/>
  <c r="M45" i="10" s="1"/>
  <c r="U104" i="8"/>
  <c r="P104" i="8"/>
  <c r="P78" i="8" s="1"/>
  <c r="Q104" i="8"/>
  <c r="Q78" i="8" s="1"/>
  <c r="S104" i="8"/>
  <c r="X113" i="4"/>
  <c r="X115" i="4"/>
  <c r="V113" i="4"/>
  <c r="V115" i="4"/>
  <c r="W108" i="4"/>
  <c r="Y108" i="4" s="1"/>
  <c r="W103" i="4"/>
  <c r="W104" i="4"/>
  <c r="Y104" i="4" s="1"/>
  <c r="W105" i="4"/>
  <c r="Y105" i="4" s="1"/>
  <c r="W106" i="4"/>
  <c r="Y106" i="4" s="1"/>
  <c r="W107" i="4"/>
  <c r="Y107" i="4" s="1"/>
  <c r="Y93" i="4"/>
  <c r="V32" i="8" l="1"/>
  <c r="U38" i="8"/>
  <c r="P76" i="8"/>
  <c r="O77" i="8"/>
  <c r="Y56" i="10"/>
  <c r="O79" i="8"/>
  <c r="O80" i="8" s="1"/>
  <c r="O83" i="8" s="1"/>
  <c r="O41" i="8"/>
  <c r="P40" i="8"/>
  <c r="O59" i="8"/>
  <c r="P58" i="8"/>
  <c r="D48" i="15"/>
  <c r="D8" i="15"/>
  <c r="D7" i="15"/>
  <c r="X56" i="8"/>
  <c r="Y56" i="8" s="1"/>
  <c r="Y50" i="8"/>
  <c r="M122" i="4"/>
  <c r="M124" i="4" s="1"/>
  <c r="M127" i="4" s="1"/>
  <c r="M129" i="4" s="1"/>
  <c r="F10" i="14"/>
  <c r="F12" i="14" s="1"/>
  <c r="D5" i="15"/>
  <c r="Y78" i="10"/>
  <c r="Y42" i="10"/>
  <c r="Y60" i="10"/>
  <c r="M80" i="8"/>
  <c r="M83" i="8" s="1"/>
  <c r="M81" i="10"/>
  <c r="M46" i="10"/>
  <c r="N80" i="8"/>
  <c r="N83" i="8" s="1"/>
  <c r="N81" i="10"/>
  <c r="N82" i="10" s="1"/>
  <c r="M62" i="8"/>
  <c r="M65" i="8" s="1"/>
  <c r="M63" i="10"/>
  <c r="M98" i="8"/>
  <c r="M99" i="8"/>
  <c r="V60" i="8"/>
  <c r="V78" i="8"/>
  <c r="X60" i="8"/>
  <c r="X78" i="8"/>
  <c r="U60" i="8"/>
  <c r="U78" i="8"/>
  <c r="T60" i="8"/>
  <c r="T78" i="8"/>
  <c r="R60" i="8"/>
  <c r="R78" i="8"/>
  <c r="W60" i="8"/>
  <c r="W78" i="8"/>
  <c r="S60" i="8"/>
  <c r="S78" i="8"/>
  <c r="Q42" i="8"/>
  <c r="Q60" i="8"/>
  <c r="P42" i="8"/>
  <c r="P60" i="8"/>
  <c r="N42" i="8"/>
  <c r="N43" i="8" s="1"/>
  <c r="N45" i="10" s="1"/>
  <c r="N60" i="8"/>
  <c r="N61" i="8" s="1"/>
  <c r="O42" i="8"/>
  <c r="O60" i="8"/>
  <c r="S42" i="8"/>
  <c r="T42" i="8"/>
  <c r="R42" i="8"/>
  <c r="W42" i="8"/>
  <c r="U42" i="8"/>
  <c r="V42" i="8"/>
  <c r="X42" i="8"/>
  <c r="W109" i="4"/>
  <c r="Y103" i="4"/>
  <c r="D9" i="15" s="1"/>
  <c r="O81" i="10" l="1"/>
  <c r="O82" i="10" s="1"/>
  <c r="P41" i="8"/>
  <c r="Q40" i="8"/>
  <c r="P43" i="8"/>
  <c r="P45" i="10" s="1"/>
  <c r="P61" i="8"/>
  <c r="P62" i="8" s="1"/>
  <c r="P65" i="8" s="1"/>
  <c r="O43" i="8"/>
  <c r="O45" i="10" s="1"/>
  <c r="Q76" i="8"/>
  <c r="P77" i="8"/>
  <c r="P79" i="8" s="1"/>
  <c r="P59" i="8"/>
  <c r="Q58" i="8"/>
  <c r="O61" i="8"/>
  <c r="O62" i="8" s="1"/>
  <c r="O65" i="8" s="1"/>
  <c r="W32" i="8"/>
  <c r="V38" i="8"/>
  <c r="D88" i="15"/>
  <c r="D162" i="15" s="1"/>
  <c r="D199" i="15" s="1"/>
  <c r="D235" i="15" s="1"/>
  <c r="D283" i="15" s="1"/>
  <c r="D340" i="15" s="1"/>
  <c r="D390" i="15" s="1"/>
  <c r="D55" i="15"/>
  <c r="D132" i="15" s="1"/>
  <c r="D251" i="15" s="1"/>
  <c r="D299" i="15" s="1"/>
  <c r="D336" i="15" s="1"/>
  <c r="D385" i="15" s="1"/>
  <c r="D52" i="15"/>
  <c r="D126" i="15" s="1"/>
  <c r="D245" i="15" s="1"/>
  <c r="D293" i="15" s="1"/>
  <c r="D318" i="15" s="1"/>
  <c r="D361" i="15" s="1"/>
  <c r="D87" i="15"/>
  <c r="D161" i="15" s="1"/>
  <c r="D198" i="15" s="1"/>
  <c r="D234" i="15" s="1"/>
  <c r="D282" i="15" s="1"/>
  <c r="D330" i="15" s="1"/>
  <c r="D375" i="15" s="1"/>
  <c r="D127" i="15"/>
  <c r="D246" i="15" s="1"/>
  <c r="D294" i="15" s="1"/>
  <c r="D319" i="15" s="1"/>
  <c r="D362" i="15" s="1"/>
  <c r="D74" i="15"/>
  <c r="D83" i="15"/>
  <c r="D157" i="15" s="1"/>
  <c r="D194" i="15" s="1"/>
  <c r="D230" i="15" s="1"/>
  <c r="D278" i="15" s="1"/>
  <c r="D326" i="15" s="1"/>
  <c r="D371" i="15" s="1"/>
  <c r="D75" i="15"/>
  <c r="D149" i="15" s="1"/>
  <c r="D185" i="15" s="1"/>
  <c r="D221" i="15" s="1"/>
  <c r="D271" i="15" s="1"/>
  <c r="D339" i="15" s="1"/>
  <c r="D389" i="15" s="1"/>
  <c r="D72" i="15"/>
  <c r="D146" i="15" s="1"/>
  <c r="D182" i="15" s="1"/>
  <c r="D218" i="15" s="1"/>
  <c r="D268" i="15" s="1"/>
  <c r="D324" i="15" s="1"/>
  <c r="D369" i="15" s="1"/>
  <c r="D54" i="15"/>
  <c r="D131" i="15" s="1"/>
  <c r="D250" i="15" s="1"/>
  <c r="D298" i="15" s="1"/>
  <c r="D335" i="15" s="1"/>
  <c r="D384" i="15" s="1"/>
  <c r="D86" i="15"/>
  <c r="D160" i="15" s="1"/>
  <c r="D197" i="15" s="1"/>
  <c r="D233" i="15" s="1"/>
  <c r="D281" i="15" s="1"/>
  <c r="D329" i="15" s="1"/>
  <c r="D374" i="15" s="1"/>
  <c r="D122" i="15"/>
  <c r="D241" i="15" s="1"/>
  <c r="D289" i="15" s="1"/>
  <c r="D314" i="15" s="1"/>
  <c r="D357" i="15" s="1"/>
  <c r="D89" i="15"/>
  <c r="D163" i="15" s="1"/>
  <c r="D200" i="15" s="1"/>
  <c r="D236" i="15" s="1"/>
  <c r="D284" i="15" s="1"/>
  <c r="D341" i="15" s="1"/>
  <c r="D391" i="15" s="1"/>
  <c r="D85" i="15"/>
  <c r="D159" i="15" s="1"/>
  <c r="D196" i="15" s="1"/>
  <c r="D232" i="15" s="1"/>
  <c r="D280" i="15" s="1"/>
  <c r="D328" i="15" s="1"/>
  <c r="D373" i="15" s="1"/>
  <c r="D84" i="15"/>
  <c r="D158" i="15" s="1"/>
  <c r="D195" i="15" s="1"/>
  <c r="D231" i="15" s="1"/>
  <c r="D279" i="15" s="1"/>
  <c r="D327" i="15" s="1"/>
  <c r="D372" i="15" s="1"/>
  <c r="D71" i="15"/>
  <c r="D51" i="15"/>
  <c r="D125" i="15" s="1"/>
  <c r="D244" i="15" s="1"/>
  <c r="D292" i="15" s="1"/>
  <c r="D317" i="15" s="1"/>
  <c r="D360" i="15" s="1"/>
  <c r="D73" i="15"/>
  <c r="D147" i="15" s="1"/>
  <c r="D183" i="15" s="1"/>
  <c r="D219" i="15" s="1"/>
  <c r="D269" i="15" s="1"/>
  <c r="D325" i="15" s="1"/>
  <c r="D370" i="15" s="1"/>
  <c r="D70" i="15"/>
  <c r="D49" i="15"/>
  <c r="D123" i="15" s="1"/>
  <c r="D242" i="15" s="1"/>
  <c r="D290" i="15" s="1"/>
  <c r="D315" i="15" s="1"/>
  <c r="D358" i="15" s="1"/>
  <c r="M100" i="10"/>
  <c r="O63" i="10"/>
  <c r="O64" i="10" s="1"/>
  <c r="P46" i="10"/>
  <c r="N46" i="10"/>
  <c r="M64" i="10"/>
  <c r="N62" i="8"/>
  <c r="N65" i="8" s="1"/>
  <c r="N63" i="10"/>
  <c r="N64" i="10" s="1"/>
  <c r="M82" i="10"/>
  <c r="N44" i="8"/>
  <c r="N47" i="8" s="1"/>
  <c r="N99" i="8"/>
  <c r="N98" i="8"/>
  <c r="P44" i="8"/>
  <c r="P47" i="8" s="1"/>
  <c r="Y42" i="8"/>
  <c r="M44" i="8"/>
  <c r="M47" i="8" s="1"/>
  <c r="Y78" i="8"/>
  <c r="Y60" i="8"/>
  <c r="W113" i="4"/>
  <c r="Y113" i="4" s="1"/>
  <c r="W115" i="4"/>
  <c r="Y115" i="4" s="1"/>
  <c r="Y109" i="4"/>
  <c r="F15" i="14" s="1"/>
  <c r="P63" i="10" l="1"/>
  <c r="P64" i="10" s="1"/>
  <c r="P99" i="8"/>
  <c r="P80" i="8"/>
  <c r="P83" i="8" s="1"/>
  <c r="P107" i="8" s="1"/>
  <c r="P117" i="8" s="1"/>
  <c r="P81" i="10"/>
  <c r="P82" i="10" s="1"/>
  <c r="Q77" i="8"/>
  <c r="Q79" i="8" s="1"/>
  <c r="R76" i="8"/>
  <c r="O46" i="10"/>
  <c r="O99" i="8"/>
  <c r="O98" i="8"/>
  <c r="P98" i="8"/>
  <c r="X32" i="8"/>
  <c r="W38" i="8"/>
  <c r="R58" i="8"/>
  <c r="Q59" i="8"/>
  <c r="Q41" i="8"/>
  <c r="R40" i="8"/>
  <c r="O44" i="8"/>
  <c r="O47" i="8" s="1"/>
  <c r="O107" i="8" s="1"/>
  <c r="O122" i="8" s="1"/>
  <c r="D50" i="15"/>
  <c r="D144" i="15"/>
  <c r="D180" i="15" s="1"/>
  <c r="D216" i="15" s="1"/>
  <c r="D264" i="15" s="1"/>
  <c r="D311" i="15" s="1"/>
  <c r="D101" i="15"/>
  <c r="D557" i="15"/>
  <c r="E556" i="15" s="1"/>
  <c r="E562" i="15" s="1"/>
  <c r="D148" i="15"/>
  <c r="D184" i="15" s="1"/>
  <c r="D220" i="15" s="1"/>
  <c r="D270" i="15" s="1"/>
  <c r="D338" i="15" s="1"/>
  <c r="D388" i="15" s="1"/>
  <c r="D396" i="15" s="1"/>
  <c r="D540" i="15"/>
  <c r="E539" i="15" s="1"/>
  <c r="E545" i="15" s="1"/>
  <c r="D145" i="15"/>
  <c r="D181" i="15" s="1"/>
  <c r="D217" i="15" s="1"/>
  <c r="D267" i="15" s="1"/>
  <c r="D323" i="15" s="1"/>
  <c r="D368" i="15" s="1"/>
  <c r="D376" i="15" s="1"/>
  <c r="D382" i="15" s="1"/>
  <c r="N107" i="8"/>
  <c r="N121" i="8" s="1"/>
  <c r="O100" i="10"/>
  <c r="N100" i="10"/>
  <c r="P100" i="10"/>
  <c r="Q61" i="8" l="1"/>
  <c r="S76" i="8"/>
  <c r="R77" i="8"/>
  <c r="R79" i="8" s="1"/>
  <c r="Q43" i="8"/>
  <c r="S58" i="8"/>
  <c r="R59" i="8"/>
  <c r="R61" i="8" s="1"/>
  <c r="Q80" i="8"/>
  <c r="Q83" i="8" s="1"/>
  <c r="Q81" i="10"/>
  <c r="X38" i="8"/>
  <c r="Y38" i="8" s="1"/>
  <c r="Y32" i="8"/>
  <c r="M32" i="10" s="1"/>
  <c r="N32" i="10" s="1"/>
  <c r="O32" i="10" s="1"/>
  <c r="P32" i="10" s="1"/>
  <c r="Q32" i="10" s="1"/>
  <c r="R32" i="10" s="1"/>
  <c r="S32" i="10" s="1"/>
  <c r="T32" i="10" s="1"/>
  <c r="U32" i="10" s="1"/>
  <c r="V32" i="10" s="1"/>
  <c r="W32" i="10" s="1"/>
  <c r="X32" i="10" s="1"/>
  <c r="R41" i="8"/>
  <c r="R43" i="8" s="1"/>
  <c r="S40" i="8"/>
  <c r="D124" i="15"/>
  <c r="D243" i="15" s="1"/>
  <c r="D291" i="15" s="1"/>
  <c r="D316" i="15" s="1"/>
  <c r="D359" i="15" s="1"/>
  <c r="D53" i="15"/>
  <c r="D128" i="15" s="1"/>
  <c r="D247" i="15" s="1"/>
  <c r="D295" i="15" s="1"/>
  <c r="D320" i="15" s="1"/>
  <c r="D363" i="15" s="1"/>
  <c r="N122" i="8"/>
  <c r="O118" i="8"/>
  <c r="N118" i="8"/>
  <c r="O119" i="8"/>
  <c r="O121" i="8"/>
  <c r="O120" i="8"/>
  <c r="O117" i="8"/>
  <c r="P122" i="8"/>
  <c r="N120" i="8"/>
  <c r="N119" i="8"/>
  <c r="P121" i="8"/>
  <c r="N117" i="8"/>
  <c r="P120" i="8"/>
  <c r="P119" i="8"/>
  <c r="P118" i="8"/>
  <c r="M107" i="8"/>
  <c r="R62" i="8" l="1"/>
  <c r="R65" i="8" s="1"/>
  <c r="R63" i="10"/>
  <c r="R64" i="10" s="1"/>
  <c r="Q82" i="10"/>
  <c r="T58" i="8"/>
  <c r="S59" i="8"/>
  <c r="S61" i="8" s="1"/>
  <c r="Q45" i="10"/>
  <c r="Q98" i="8"/>
  <c r="Q99" i="8"/>
  <c r="Q44" i="8"/>
  <c r="R80" i="8"/>
  <c r="R83" i="8" s="1"/>
  <c r="R81" i="10"/>
  <c r="R82" i="10" s="1"/>
  <c r="S41" i="8"/>
  <c r="S43" i="8" s="1"/>
  <c r="T40" i="8"/>
  <c r="S77" i="8"/>
  <c r="S79" i="8" s="1"/>
  <c r="T76" i="8"/>
  <c r="R45" i="10"/>
  <c r="R98" i="8"/>
  <c r="R99" i="8"/>
  <c r="R44" i="8"/>
  <c r="R47" i="8" s="1"/>
  <c r="O123" i="8"/>
  <c r="O129" i="8" s="1"/>
  <c r="Q63" i="10"/>
  <c r="Q62" i="8"/>
  <c r="D129" i="15"/>
  <c r="D248" i="15" s="1"/>
  <c r="D296" i="15" s="1"/>
  <c r="D321" i="15" s="1"/>
  <c r="D364" i="15" s="1"/>
  <c r="N123" i="8"/>
  <c r="N127" i="8" s="1"/>
  <c r="P123" i="8"/>
  <c r="P129" i="8" s="1"/>
  <c r="M119" i="8"/>
  <c r="M121" i="8"/>
  <c r="M122" i="8"/>
  <c r="M118" i="8"/>
  <c r="M117" i="8"/>
  <c r="M120" i="8"/>
  <c r="D130" i="15" l="1"/>
  <c r="D249" i="15" s="1"/>
  <c r="D297" i="15" s="1"/>
  <c r="D322" i="15" s="1"/>
  <c r="D365" i="15" s="1"/>
  <c r="D367" i="15" s="1"/>
  <c r="O127" i="8"/>
  <c r="U58" i="8"/>
  <c r="T59" i="8"/>
  <c r="T61" i="8" s="1"/>
  <c r="Q46" i="10"/>
  <c r="Q100" i="10"/>
  <c r="S63" i="10"/>
  <c r="S64" i="10" s="1"/>
  <c r="S62" i="8"/>
  <c r="S65" i="8" s="1"/>
  <c r="Q64" i="10"/>
  <c r="R46" i="10"/>
  <c r="R100" i="10"/>
  <c r="R107" i="8"/>
  <c r="R122" i="8" s="1"/>
  <c r="U40" i="8"/>
  <c r="T41" i="8"/>
  <c r="T43" i="8" s="1"/>
  <c r="Q47" i="8"/>
  <c r="T77" i="8"/>
  <c r="T79" i="8" s="1"/>
  <c r="U76" i="8"/>
  <c r="S81" i="10"/>
  <c r="S80" i="8"/>
  <c r="S83" i="8" s="1"/>
  <c r="Q65" i="8"/>
  <c r="N129" i="8"/>
  <c r="S45" i="10"/>
  <c r="S99" i="8"/>
  <c r="S98" i="8"/>
  <c r="S44" i="8"/>
  <c r="S47" i="8" s="1"/>
  <c r="D538" i="15"/>
  <c r="D542" i="15" s="1"/>
  <c r="D544" i="15" s="1"/>
  <c r="D546" i="15" s="1"/>
  <c r="D548" i="15" s="1"/>
  <c r="P127" i="8"/>
  <c r="D377" i="15"/>
  <c r="D383" i="15"/>
  <c r="D427" i="15" s="1"/>
  <c r="Y32" i="10"/>
  <c r="M123" i="8"/>
  <c r="R118" i="8" l="1"/>
  <c r="R120" i="8"/>
  <c r="R119" i="8"/>
  <c r="R117" i="8"/>
  <c r="U77" i="8"/>
  <c r="U79" i="8" s="1"/>
  <c r="V76" i="8"/>
  <c r="S82" i="10"/>
  <c r="T63" i="10"/>
  <c r="T62" i="8"/>
  <c r="T65" i="8" s="1"/>
  <c r="V58" i="8"/>
  <c r="U59" i="8"/>
  <c r="U61" i="8" s="1"/>
  <c r="U41" i="8"/>
  <c r="U43" i="8" s="1"/>
  <c r="V40" i="8"/>
  <c r="Q107" i="8"/>
  <c r="T80" i="8"/>
  <c r="T83" i="8" s="1"/>
  <c r="T81" i="10"/>
  <c r="T82" i="10" s="1"/>
  <c r="S46" i="10"/>
  <c r="S100" i="10"/>
  <c r="T45" i="10"/>
  <c r="T99" i="8"/>
  <c r="T44" i="8"/>
  <c r="T98" i="8"/>
  <c r="R121" i="8"/>
  <c r="S107" i="8"/>
  <c r="D429" i="15"/>
  <c r="M129" i="8"/>
  <c r="M127" i="8"/>
  <c r="R123" i="8" l="1"/>
  <c r="S119" i="8"/>
  <c r="S121" i="8"/>
  <c r="S117" i="8"/>
  <c r="S120" i="8"/>
  <c r="S122" i="8"/>
  <c r="S118" i="8"/>
  <c r="T64" i="10"/>
  <c r="V77" i="8"/>
  <c r="V79" i="8" s="1"/>
  <c r="W76" i="8"/>
  <c r="W40" i="8"/>
  <c r="V41" i="8"/>
  <c r="V43" i="8" s="1"/>
  <c r="T47" i="8"/>
  <c r="U81" i="10"/>
  <c r="U82" i="10" s="1"/>
  <c r="U80" i="8"/>
  <c r="U62" i="8"/>
  <c r="U63" i="10"/>
  <c r="U64" i="10" s="1"/>
  <c r="Q120" i="8"/>
  <c r="Q121" i="8"/>
  <c r="Q117" i="8"/>
  <c r="Q119" i="8"/>
  <c r="Q122" i="8"/>
  <c r="Q118" i="8"/>
  <c r="U45" i="10"/>
  <c r="U98" i="8"/>
  <c r="U44" i="8"/>
  <c r="U47" i="8" s="1"/>
  <c r="U99" i="8"/>
  <c r="T46" i="10"/>
  <c r="T100" i="10"/>
  <c r="V59" i="8"/>
  <c r="V61" i="8" s="1"/>
  <c r="W58" i="8"/>
  <c r="E127" i="15"/>
  <c r="E246" i="15" s="1"/>
  <c r="E294" i="15" s="1"/>
  <c r="E319" i="15" s="1"/>
  <c r="E362" i="15" s="1"/>
  <c r="R127" i="8"/>
  <c r="R129" i="8"/>
  <c r="S123" i="8" l="1"/>
  <c r="U65" i="8"/>
  <c r="W41" i="8"/>
  <c r="W43" i="8" s="1"/>
  <c r="X40" i="8"/>
  <c r="Q123" i="8"/>
  <c r="W77" i="8"/>
  <c r="X76" i="8"/>
  <c r="X58" i="8"/>
  <c r="W59" i="8"/>
  <c r="W61" i="8" s="1"/>
  <c r="V62" i="8"/>
  <c r="V65" i="8" s="1"/>
  <c r="V63" i="10"/>
  <c r="V64" i="10" s="1"/>
  <c r="V81" i="10"/>
  <c r="V82" i="10" s="1"/>
  <c r="V80" i="8"/>
  <c r="V83" i="8" s="1"/>
  <c r="U83" i="8"/>
  <c r="T107" i="8"/>
  <c r="U46" i="10"/>
  <c r="U100" i="10"/>
  <c r="V45" i="10"/>
  <c r="V99" i="8"/>
  <c r="V44" i="8"/>
  <c r="V47" i="8" s="1"/>
  <c r="V98" i="8"/>
  <c r="Y34" i="8"/>
  <c r="M34" i="10" s="1"/>
  <c r="V107" i="8" l="1"/>
  <c r="W45" i="10"/>
  <c r="W44" i="8"/>
  <c r="W79" i="8"/>
  <c r="V121" i="8"/>
  <c r="V117" i="8"/>
  <c r="V119" i="8"/>
  <c r="V120" i="8"/>
  <c r="V122" i="8"/>
  <c r="V118" i="8"/>
  <c r="W63" i="10"/>
  <c r="W64" i="10" s="1"/>
  <c r="W62" i="8"/>
  <c r="W65" i="8" s="1"/>
  <c r="S129" i="8"/>
  <c r="S127" i="8"/>
  <c r="V46" i="10"/>
  <c r="V100" i="10"/>
  <c r="Q127" i="8"/>
  <c r="Q129" i="8"/>
  <c r="T117" i="8"/>
  <c r="T120" i="8"/>
  <c r="T118" i="8"/>
  <c r="T122" i="8"/>
  <c r="T121" i="8"/>
  <c r="T119" i="8"/>
  <c r="U107" i="8"/>
  <c r="X41" i="8"/>
  <c r="Y40" i="8"/>
  <c r="M6" i="10" s="1"/>
  <c r="M11" i="10" s="1"/>
  <c r="X59" i="8"/>
  <c r="Y58" i="8"/>
  <c r="X77" i="8"/>
  <c r="X79" i="8" s="1"/>
  <c r="Y76" i="8"/>
  <c r="N34" i="10"/>
  <c r="M38" i="10"/>
  <c r="W81" i="10" l="1"/>
  <c r="W82" i="10" s="1"/>
  <c r="W80" i="8"/>
  <c r="W83" i="8" s="1"/>
  <c r="Y79" i="8"/>
  <c r="Y77" i="8"/>
  <c r="W47" i="8"/>
  <c r="X61" i="8"/>
  <c r="Y59" i="8"/>
  <c r="W98" i="8"/>
  <c r="T123" i="8"/>
  <c r="W99" i="8"/>
  <c r="X43" i="8"/>
  <c r="Y41" i="8"/>
  <c r="Y43" i="8" s="1"/>
  <c r="U119" i="8"/>
  <c r="U122" i="8"/>
  <c r="U120" i="8"/>
  <c r="U118" i="8"/>
  <c r="U117" i="8"/>
  <c r="U121" i="8"/>
  <c r="W46" i="10"/>
  <c r="W100" i="10"/>
  <c r="V123" i="8"/>
  <c r="X81" i="10"/>
  <c r="X80" i="8"/>
  <c r="M40" i="10"/>
  <c r="M58" i="10"/>
  <c r="M76" i="10"/>
  <c r="O34" i="10"/>
  <c r="N38" i="10"/>
  <c r="N40" i="10" l="1"/>
  <c r="M41" i="10"/>
  <c r="M59" i="10"/>
  <c r="N58" i="10"/>
  <c r="X82" i="10"/>
  <c r="Y82" i="10" s="1"/>
  <c r="Y81" i="10"/>
  <c r="V127" i="8"/>
  <c r="V129" i="8"/>
  <c r="U123" i="8"/>
  <c r="W107" i="8"/>
  <c r="T129" i="8"/>
  <c r="T127" i="8"/>
  <c r="X63" i="10"/>
  <c r="X62" i="8"/>
  <c r="Y61" i="8"/>
  <c r="X83" i="8"/>
  <c r="Y80" i="8"/>
  <c r="X45" i="10"/>
  <c r="X98" i="8"/>
  <c r="Y98" i="8" s="1"/>
  <c r="M137" i="8" s="1"/>
  <c r="X44" i="8"/>
  <c r="X99" i="8"/>
  <c r="Y99" i="8" s="1"/>
  <c r="M139" i="8" s="1"/>
  <c r="M77" i="10"/>
  <c r="N76" i="10"/>
  <c r="P34" i="10"/>
  <c r="O38" i="10"/>
  <c r="X64" i="10" l="1"/>
  <c r="Y64" i="10" s="1"/>
  <c r="Y63" i="10"/>
  <c r="M61" i="10"/>
  <c r="X65" i="8"/>
  <c r="Y65" i="8" s="1"/>
  <c r="Y62" i="8"/>
  <c r="O40" i="10"/>
  <c r="N41" i="10"/>
  <c r="N43" i="10" s="1"/>
  <c r="N77" i="10"/>
  <c r="N79" i="10" s="1"/>
  <c r="N80" i="10" s="1"/>
  <c r="N83" i="10" s="1"/>
  <c r="O76" i="10"/>
  <c r="N59" i="10"/>
  <c r="N61" i="10" s="1"/>
  <c r="N62" i="10" s="1"/>
  <c r="N65" i="10" s="1"/>
  <c r="O58" i="10"/>
  <c r="M79" i="10"/>
  <c r="X47" i="8"/>
  <c r="Y47" i="8" s="1"/>
  <c r="Y44" i="8"/>
  <c r="W118" i="8"/>
  <c r="W122" i="8"/>
  <c r="W120" i="8"/>
  <c r="W117" i="8"/>
  <c r="W121" i="8"/>
  <c r="W119" i="8"/>
  <c r="M43" i="10"/>
  <c r="X46" i="10"/>
  <c r="Y46" i="10" s="1"/>
  <c r="X100" i="10"/>
  <c r="Y100" i="10" s="1"/>
  <c r="Y45" i="10"/>
  <c r="Y83" i="8"/>
  <c r="M140" i="8"/>
  <c r="U127" i="8"/>
  <c r="U129" i="8"/>
  <c r="Q34" i="10"/>
  <c r="P38" i="10"/>
  <c r="W123" i="8" l="1"/>
  <c r="M62" i="10"/>
  <c r="O77" i="10"/>
  <c r="O79" i="10" s="1"/>
  <c r="O80" i="10" s="1"/>
  <c r="O83" i="10" s="1"/>
  <c r="P76" i="10"/>
  <c r="N99" i="10"/>
  <c r="N44" i="10"/>
  <c r="N47" i="10" s="1"/>
  <c r="N107" i="10" s="1"/>
  <c r="N98" i="10"/>
  <c r="X107" i="8"/>
  <c r="M98" i="10"/>
  <c r="M99" i="10"/>
  <c r="M44" i="10"/>
  <c r="M47" i="10" s="1"/>
  <c r="M80" i="10"/>
  <c r="O41" i="10"/>
  <c r="O43" i="10" s="1"/>
  <c r="P40" i="10"/>
  <c r="P58" i="10"/>
  <c r="O59" i="10"/>
  <c r="O61" i="10" s="1"/>
  <c r="O62" i="10" s="1"/>
  <c r="O65" i="10" s="1"/>
  <c r="R34" i="10"/>
  <c r="Q38" i="10"/>
  <c r="Q76" i="10" l="1"/>
  <c r="P77" i="10"/>
  <c r="P41" i="10"/>
  <c r="P43" i="10" s="1"/>
  <c r="Q40" i="10"/>
  <c r="N122" i="10"/>
  <c r="N118" i="10"/>
  <c r="N119" i="10"/>
  <c r="N117" i="10"/>
  <c r="N120" i="10"/>
  <c r="N121" i="10"/>
  <c r="M83" i="10"/>
  <c r="P59" i="10"/>
  <c r="P61" i="10" s="1"/>
  <c r="P62" i="10" s="1"/>
  <c r="P65" i="10" s="1"/>
  <c r="Q58" i="10"/>
  <c r="M65" i="10"/>
  <c r="W129" i="8"/>
  <c r="W127" i="8"/>
  <c r="O99" i="10"/>
  <c r="O98" i="10"/>
  <c r="O44" i="10"/>
  <c r="O47" i="10" s="1"/>
  <c r="O107" i="10" s="1"/>
  <c r="O121" i="10" s="1"/>
  <c r="X119" i="8"/>
  <c r="Y119" i="8" s="1"/>
  <c r="X118" i="8"/>
  <c r="Y118" i="8" s="1"/>
  <c r="X121" i="8"/>
  <c r="Y121" i="8" s="1"/>
  <c r="X122" i="8"/>
  <c r="Y122" i="8" s="1"/>
  <c r="X117" i="8"/>
  <c r="X120" i="8"/>
  <c r="Y120" i="8" s="1"/>
  <c r="Y107" i="8"/>
  <c r="S34" i="10"/>
  <c r="R38" i="10"/>
  <c r="N123" i="10" l="1"/>
  <c r="N128" i="10" s="1"/>
  <c r="M107" i="10"/>
  <c r="O122" i="10"/>
  <c r="M117" i="10"/>
  <c r="M120" i="10"/>
  <c r="M122" i="10"/>
  <c r="M118" i="10"/>
  <c r="M121" i="10"/>
  <c r="M119" i="10"/>
  <c r="E48" i="15"/>
  <c r="E9" i="15"/>
  <c r="E8" i="15"/>
  <c r="E7" i="15"/>
  <c r="E5" i="15"/>
  <c r="M136" i="8"/>
  <c r="M138" i="8" s="1"/>
  <c r="M141" i="8" s="1"/>
  <c r="M143" i="8" s="1"/>
  <c r="G10" i="14"/>
  <c r="G12" i="14" s="1"/>
  <c r="X123" i="8"/>
  <c r="Y117" i="8"/>
  <c r="N130" i="10"/>
  <c r="Q59" i="10"/>
  <c r="R58" i="10"/>
  <c r="O119" i="10"/>
  <c r="O118" i="10"/>
  <c r="R40" i="10"/>
  <c r="Q41" i="10"/>
  <c r="P44" i="10"/>
  <c r="P47" i="10" s="1"/>
  <c r="O120" i="10"/>
  <c r="P79" i="10"/>
  <c r="O117" i="10"/>
  <c r="Q77" i="10"/>
  <c r="Q79" i="10" s="1"/>
  <c r="Q80" i="10" s="1"/>
  <c r="Q83" i="10" s="1"/>
  <c r="R76" i="10"/>
  <c r="T34" i="10"/>
  <c r="S38" i="10"/>
  <c r="O123" i="10" l="1"/>
  <c r="R77" i="10"/>
  <c r="R79" i="10" s="1"/>
  <c r="R80" i="10" s="1"/>
  <c r="R83" i="10" s="1"/>
  <c r="S76" i="10"/>
  <c r="Q43" i="10"/>
  <c r="E84" i="15"/>
  <c r="E158" i="15" s="1"/>
  <c r="E195" i="15" s="1"/>
  <c r="E231" i="15" s="1"/>
  <c r="E279" i="15" s="1"/>
  <c r="E327" i="15" s="1"/>
  <c r="E372" i="15" s="1"/>
  <c r="E52" i="15"/>
  <c r="E126" i="15" s="1"/>
  <c r="E245" i="15" s="1"/>
  <c r="E293" i="15" s="1"/>
  <c r="E318" i="15" s="1"/>
  <c r="E361" i="15" s="1"/>
  <c r="E49" i="15"/>
  <c r="E123" i="15" s="1"/>
  <c r="E242" i="15" s="1"/>
  <c r="E290" i="15" s="1"/>
  <c r="E315" i="15" s="1"/>
  <c r="E358" i="15" s="1"/>
  <c r="E75" i="15"/>
  <c r="E149" i="15" s="1"/>
  <c r="E185" i="15" s="1"/>
  <c r="E221" i="15" s="1"/>
  <c r="E271" i="15" s="1"/>
  <c r="E339" i="15" s="1"/>
  <c r="E389" i="15" s="1"/>
  <c r="E51" i="15"/>
  <c r="E125" i="15" s="1"/>
  <c r="E244" i="15" s="1"/>
  <c r="E292" i="15" s="1"/>
  <c r="E317" i="15" s="1"/>
  <c r="E360" i="15" s="1"/>
  <c r="E71" i="15"/>
  <c r="E86" i="15"/>
  <c r="E160" i="15" s="1"/>
  <c r="E197" i="15" s="1"/>
  <c r="E233" i="15" s="1"/>
  <c r="E281" i="15" s="1"/>
  <c r="E329" i="15" s="1"/>
  <c r="E374" i="15" s="1"/>
  <c r="E83" i="15"/>
  <c r="E157" i="15" s="1"/>
  <c r="E194" i="15" s="1"/>
  <c r="E230" i="15" s="1"/>
  <c r="E278" i="15" s="1"/>
  <c r="E326" i="15" s="1"/>
  <c r="E371" i="15" s="1"/>
  <c r="E54" i="15"/>
  <c r="E131" i="15" s="1"/>
  <c r="E250" i="15" s="1"/>
  <c r="E298" i="15" s="1"/>
  <c r="E335" i="15" s="1"/>
  <c r="E384" i="15" s="1"/>
  <c r="E73" i="15"/>
  <c r="E147" i="15" s="1"/>
  <c r="E183" i="15" s="1"/>
  <c r="E219" i="15" s="1"/>
  <c r="E269" i="15" s="1"/>
  <c r="E325" i="15" s="1"/>
  <c r="E370" i="15" s="1"/>
  <c r="E55" i="15"/>
  <c r="E132" i="15" s="1"/>
  <c r="E251" i="15" s="1"/>
  <c r="E299" i="15" s="1"/>
  <c r="E336" i="15" s="1"/>
  <c r="E385" i="15" s="1"/>
  <c r="E72" i="15"/>
  <c r="E146" i="15" s="1"/>
  <c r="E182" i="15" s="1"/>
  <c r="E218" i="15" s="1"/>
  <c r="E268" i="15" s="1"/>
  <c r="E324" i="15" s="1"/>
  <c r="E369" i="15" s="1"/>
  <c r="E70" i="15"/>
  <c r="E74" i="15"/>
  <c r="E87" i="15"/>
  <c r="E161" i="15" s="1"/>
  <c r="E198" i="15" s="1"/>
  <c r="E234" i="15" s="1"/>
  <c r="E282" i="15" s="1"/>
  <c r="E330" i="15" s="1"/>
  <c r="E375" i="15" s="1"/>
  <c r="E88" i="15"/>
  <c r="E162" i="15" s="1"/>
  <c r="E199" i="15" s="1"/>
  <c r="E235" i="15" s="1"/>
  <c r="E283" i="15" s="1"/>
  <c r="E340" i="15" s="1"/>
  <c r="E390" i="15" s="1"/>
  <c r="E85" i="15"/>
  <c r="E159" i="15" s="1"/>
  <c r="E196" i="15" s="1"/>
  <c r="E232" i="15" s="1"/>
  <c r="E280" i="15" s="1"/>
  <c r="E328" i="15" s="1"/>
  <c r="E373" i="15" s="1"/>
  <c r="E122" i="15"/>
  <c r="E241" i="15" s="1"/>
  <c r="E289" i="15" s="1"/>
  <c r="E314" i="15" s="1"/>
  <c r="E357" i="15" s="1"/>
  <c r="E89" i="15"/>
  <c r="E163" i="15" s="1"/>
  <c r="E200" i="15" s="1"/>
  <c r="E236" i="15" s="1"/>
  <c r="E284" i="15" s="1"/>
  <c r="E341" i="15" s="1"/>
  <c r="E391" i="15" s="1"/>
  <c r="R41" i="10"/>
  <c r="R43" i="10" s="1"/>
  <c r="S40" i="10"/>
  <c r="P80" i="10"/>
  <c r="R59" i="10"/>
  <c r="R61" i="10" s="1"/>
  <c r="R62" i="10" s="1"/>
  <c r="R65" i="10" s="1"/>
  <c r="S58" i="10"/>
  <c r="Q61" i="10"/>
  <c r="P99" i="10"/>
  <c r="X127" i="8"/>
  <c r="Y127" i="8" s="1"/>
  <c r="X129" i="8"/>
  <c r="Y129" i="8" s="1"/>
  <c r="Y123" i="8"/>
  <c r="G15" i="14" s="1"/>
  <c r="P98" i="10"/>
  <c r="M123" i="10"/>
  <c r="O130" i="10"/>
  <c r="O128" i="10"/>
  <c r="U34" i="10"/>
  <c r="T38" i="10"/>
  <c r="T58" i="10" l="1"/>
  <c r="S59" i="10"/>
  <c r="M130" i="10"/>
  <c r="M128" i="10"/>
  <c r="Q98" i="10"/>
  <c r="Q99" i="10"/>
  <c r="Q44" i="10"/>
  <c r="Q47" i="10" s="1"/>
  <c r="E540" i="15"/>
  <c r="F539" i="15" s="1"/>
  <c r="F545" i="15" s="1"/>
  <c r="E145" i="15"/>
  <c r="E181" i="15" s="1"/>
  <c r="E217" i="15" s="1"/>
  <c r="E267" i="15" s="1"/>
  <c r="E323" i="15" s="1"/>
  <c r="E368" i="15" s="1"/>
  <c r="E376" i="15" s="1"/>
  <c r="E382" i="15" s="1"/>
  <c r="E148" i="15"/>
  <c r="E184" i="15" s="1"/>
  <c r="E220" i="15" s="1"/>
  <c r="E270" i="15" s="1"/>
  <c r="E338" i="15" s="1"/>
  <c r="E388" i="15" s="1"/>
  <c r="E396" i="15" s="1"/>
  <c r="E557" i="15"/>
  <c r="F556" i="15" s="1"/>
  <c r="F562" i="15" s="1"/>
  <c r="P83" i="10"/>
  <c r="T40" i="10"/>
  <c r="S41" i="10"/>
  <c r="S43" i="10" s="1"/>
  <c r="Q62" i="10"/>
  <c r="E144" i="15"/>
  <c r="E180" i="15" s="1"/>
  <c r="E216" i="15" s="1"/>
  <c r="E264" i="15" s="1"/>
  <c r="E311" i="15" s="1"/>
  <c r="E101" i="15"/>
  <c r="R44" i="10"/>
  <c r="R47" i="10" s="1"/>
  <c r="R107" i="10" s="1"/>
  <c r="R98" i="10"/>
  <c r="R99" i="10"/>
  <c r="T76" i="10"/>
  <c r="S77" i="10"/>
  <c r="E50" i="15"/>
  <c r="V34" i="10"/>
  <c r="U38" i="10"/>
  <c r="S44" i="10" l="1"/>
  <c r="S47" i="10" s="1"/>
  <c r="R120" i="10"/>
  <c r="R122" i="10"/>
  <c r="R121" i="10"/>
  <c r="R119" i="10"/>
  <c r="R118" i="10"/>
  <c r="R117" i="10"/>
  <c r="R123" i="10" s="1"/>
  <c r="R128" i="10" s="1"/>
  <c r="Q107" i="10"/>
  <c r="E53" i="15"/>
  <c r="E128" i="15" s="1"/>
  <c r="E124" i="15"/>
  <c r="E243" i="15" s="1"/>
  <c r="E291" i="15" s="1"/>
  <c r="E316" i="15" s="1"/>
  <c r="E359" i="15" s="1"/>
  <c r="U40" i="10"/>
  <c r="T41" i="10"/>
  <c r="T43" i="10" s="1"/>
  <c r="S79" i="10"/>
  <c r="T77" i="10"/>
  <c r="T79" i="10" s="1"/>
  <c r="T80" i="10" s="1"/>
  <c r="T83" i="10" s="1"/>
  <c r="U76" i="10"/>
  <c r="Q65" i="10"/>
  <c r="P107" i="10"/>
  <c r="S61" i="10"/>
  <c r="S99" i="10" s="1"/>
  <c r="U58" i="10"/>
  <c r="T59" i="10"/>
  <c r="T61" i="10" s="1"/>
  <c r="T62" i="10" s="1"/>
  <c r="T65" i="10" s="1"/>
  <c r="W34" i="10"/>
  <c r="V38" i="10"/>
  <c r="Q118" i="10" l="1"/>
  <c r="Q122" i="10"/>
  <c r="Q117" i="10"/>
  <c r="Q119" i="10"/>
  <c r="Q121" i="10"/>
  <c r="Q120" i="10"/>
  <c r="P118" i="10"/>
  <c r="P122" i="10"/>
  <c r="P121" i="10"/>
  <c r="P119" i="10"/>
  <c r="P120" i="10"/>
  <c r="P117" i="10"/>
  <c r="U77" i="10"/>
  <c r="U79" i="10" s="1"/>
  <c r="U80" i="10" s="1"/>
  <c r="U83" i="10" s="1"/>
  <c r="V76" i="10"/>
  <c r="S80" i="10"/>
  <c r="E247" i="15"/>
  <c r="E295" i="15" s="1"/>
  <c r="E320" i="15" s="1"/>
  <c r="E363" i="15" s="1"/>
  <c r="E129" i="15"/>
  <c r="E248" i="15" s="1"/>
  <c r="E296" i="15" s="1"/>
  <c r="E321" i="15" s="1"/>
  <c r="E364" i="15" s="1"/>
  <c r="S98" i="10"/>
  <c r="T99" i="10"/>
  <c r="T98" i="10"/>
  <c r="T44" i="10"/>
  <c r="T47" i="10" s="1"/>
  <c r="T107" i="10" s="1"/>
  <c r="R130" i="10"/>
  <c r="V40" i="10"/>
  <c r="U41" i="10"/>
  <c r="U43" i="10" s="1"/>
  <c r="V58" i="10"/>
  <c r="U59" i="10"/>
  <c r="U61" i="10" s="1"/>
  <c r="U62" i="10" s="1"/>
  <c r="U65" i="10" s="1"/>
  <c r="S62" i="10"/>
  <c r="X34" i="10"/>
  <c r="W38" i="10"/>
  <c r="E130" i="15" l="1"/>
  <c r="E249" i="15" s="1"/>
  <c r="E297" i="15" s="1"/>
  <c r="E322" i="15" s="1"/>
  <c r="E365" i="15" s="1"/>
  <c r="T120" i="10"/>
  <c r="T122" i="10"/>
  <c r="T119" i="10"/>
  <c r="T118" i="10"/>
  <c r="T117" i="10"/>
  <c r="T121" i="10"/>
  <c r="W58" i="10"/>
  <c r="V59" i="10"/>
  <c r="V61" i="10" s="1"/>
  <c r="Q123" i="10"/>
  <c r="S83" i="10"/>
  <c r="S65" i="10"/>
  <c r="U99" i="10"/>
  <c r="U98" i="10"/>
  <c r="U44" i="10"/>
  <c r="U47" i="10" s="1"/>
  <c r="U107" i="10" s="1"/>
  <c r="U119" i="10" s="1"/>
  <c r="V77" i="10"/>
  <c r="V79" i="10" s="1"/>
  <c r="W76" i="10"/>
  <c r="V41" i="10"/>
  <c r="V43" i="10" s="1"/>
  <c r="W40" i="10"/>
  <c r="P123" i="10"/>
  <c r="U117" i="10"/>
  <c r="X38" i="10"/>
  <c r="Y34" i="10"/>
  <c r="X40" i="10" l="1"/>
  <c r="W41" i="10"/>
  <c r="W43" i="10" s="1"/>
  <c r="S107" i="10"/>
  <c r="P128" i="10"/>
  <c r="P130" i="10"/>
  <c r="V80" i="10"/>
  <c r="V44" i="10"/>
  <c r="V47" i="10" s="1"/>
  <c r="V98" i="10"/>
  <c r="V99" i="10"/>
  <c r="W77" i="10"/>
  <c r="W79" i="10" s="1"/>
  <c r="W80" i="10" s="1"/>
  <c r="W83" i="10" s="1"/>
  <c r="X76" i="10"/>
  <c r="T123" i="10"/>
  <c r="U118" i="10"/>
  <c r="V62" i="10"/>
  <c r="U121" i="10"/>
  <c r="U120" i="10"/>
  <c r="U122" i="10"/>
  <c r="Q130" i="10"/>
  <c r="Q128" i="10"/>
  <c r="X58" i="10"/>
  <c r="W59" i="10"/>
  <c r="W61" i="10" s="1"/>
  <c r="W62" i="10" s="1"/>
  <c r="W65" i="10" s="1"/>
  <c r="E538" i="15"/>
  <c r="E542" i="15" s="1"/>
  <c r="E544" i="15" s="1"/>
  <c r="E546" i="15" s="1"/>
  <c r="E548" i="15" s="1"/>
  <c r="E367" i="15"/>
  <c r="Y38" i="10"/>
  <c r="U123" i="10" l="1"/>
  <c r="S120" i="10"/>
  <c r="S122" i="10"/>
  <c r="S118" i="10"/>
  <c r="S119" i="10"/>
  <c r="S121" i="10"/>
  <c r="S117" i="10"/>
  <c r="S123" i="10" s="1"/>
  <c r="X59" i="10"/>
  <c r="Y58" i="10"/>
  <c r="V65" i="10"/>
  <c r="E377" i="15"/>
  <c r="E383" i="15"/>
  <c r="E427" i="15" s="1"/>
  <c r="E429" i="15" s="1"/>
  <c r="T128" i="10"/>
  <c r="T130" i="10"/>
  <c r="W98" i="10"/>
  <c r="W44" i="10"/>
  <c r="W47" i="10" s="1"/>
  <c r="W107" i="10" s="1"/>
  <c r="W99" i="10"/>
  <c r="V83" i="10"/>
  <c r="X77" i="10"/>
  <c r="Y76" i="10"/>
  <c r="X41" i="10"/>
  <c r="Y40" i="10"/>
  <c r="U128" i="10"/>
  <c r="U130" i="10"/>
  <c r="V107" i="10" l="1"/>
  <c r="V118" i="10"/>
  <c r="V117" i="10"/>
  <c r="V121" i="10"/>
  <c r="V120" i="10"/>
  <c r="V119" i="10"/>
  <c r="V122" i="10"/>
  <c r="X61" i="10"/>
  <c r="Y59" i="10"/>
  <c r="S128" i="10"/>
  <c r="S130" i="10"/>
  <c r="X79" i="10"/>
  <c r="Y77" i="10"/>
  <c r="W118" i="10"/>
  <c r="W121" i="10"/>
  <c r="W119" i="10"/>
  <c r="W122" i="10"/>
  <c r="W120" i="10"/>
  <c r="W117" i="10"/>
  <c r="W123" i="10" s="1"/>
  <c r="W128" i="10" s="1"/>
  <c r="Y41" i="10"/>
  <c r="Y43" i="10" s="1"/>
  <c r="X43" i="10"/>
  <c r="X99" i="10" l="1"/>
  <c r="Y99" i="10" s="1"/>
  <c r="M140" i="10" s="1"/>
  <c r="X44" i="10"/>
  <c r="X98" i="10"/>
  <c r="Y98" i="10" s="1"/>
  <c r="M138" i="10" s="1"/>
  <c r="M141" i="10" s="1"/>
  <c r="X62" i="10"/>
  <c r="Y61" i="10"/>
  <c r="V123" i="10"/>
  <c r="X80" i="10"/>
  <c r="Y79" i="10"/>
  <c r="W130" i="10"/>
  <c r="V128" i="10" l="1"/>
  <c r="V130" i="10"/>
  <c r="X65" i="10"/>
  <c r="Y65" i="10" s="1"/>
  <c r="Y62" i="10"/>
  <c r="X47" i="10"/>
  <c r="Y47" i="10" s="1"/>
  <c r="Y44" i="10"/>
  <c r="X83" i="10"/>
  <c r="Y80" i="10"/>
  <c r="Y83" i="10" l="1"/>
  <c r="X107" i="10"/>
  <c r="F127" i="15"/>
  <c r="F246" i="15" s="1"/>
  <c r="F294" i="15" s="1"/>
  <c r="F319" i="15" s="1"/>
  <c r="F362" i="15" s="1"/>
  <c r="X118" i="10" l="1"/>
  <c r="Y118" i="10" s="1"/>
  <c r="X122" i="10"/>
  <c r="Y122" i="10" s="1"/>
  <c r="X119" i="10"/>
  <c r="Y119" i="10" s="1"/>
  <c r="X121" i="10"/>
  <c r="Y121" i="10" s="1"/>
  <c r="X120" i="10"/>
  <c r="Y120" i="10" s="1"/>
  <c r="X117" i="10"/>
  <c r="G127" i="15"/>
  <c r="G246" i="15" s="1"/>
  <c r="G294" i="15" s="1"/>
  <c r="G319" i="15" s="1"/>
  <c r="G362" i="15" s="1"/>
  <c r="X123" i="10" l="1"/>
  <c r="Y117" i="10"/>
  <c r="F48" i="15"/>
  <c r="F9" i="15"/>
  <c r="G9" i="15" s="1"/>
  <c r="F8" i="15"/>
  <c r="G8" i="15" s="1"/>
  <c r="M137" i="10"/>
  <c r="M139" i="10" s="1"/>
  <c r="M142" i="10" s="1"/>
  <c r="M144" i="10" s="1"/>
  <c r="H10" i="14"/>
  <c r="F7" i="15"/>
  <c r="G7" i="15" s="1"/>
  <c r="F5" i="15"/>
  <c r="H12" i="14" l="1"/>
  <c r="I12" i="14" s="1"/>
  <c r="I10" i="14"/>
  <c r="F71" i="15"/>
  <c r="F87" i="15"/>
  <c r="F161" i="15" s="1"/>
  <c r="F198" i="15" s="1"/>
  <c r="F234" i="15" s="1"/>
  <c r="F282" i="15" s="1"/>
  <c r="F330" i="15" s="1"/>
  <c r="F375" i="15" s="1"/>
  <c r="F83" i="15"/>
  <c r="F157" i="15" s="1"/>
  <c r="F194" i="15" s="1"/>
  <c r="F230" i="15" s="1"/>
  <c r="F278" i="15" s="1"/>
  <c r="F326" i="15" s="1"/>
  <c r="F371" i="15" s="1"/>
  <c r="F51" i="15"/>
  <c r="F125" i="15" s="1"/>
  <c r="F244" i="15" s="1"/>
  <c r="F292" i="15" s="1"/>
  <c r="F317" i="15" s="1"/>
  <c r="F360" i="15" s="1"/>
  <c r="F70" i="15"/>
  <c r="F89" i="15"/>
  <c r="F163" i="15" s="1"/>
  <c r="F200" i="15" s="1"/>
  <c r="F236" i="15" s="1"/>
  <c r="F284" i="15" s="1"/>
  <c r="F341" i="15" s="1"/>
  <c r="F391" i="15" s="1"/>
  <c r="F85" i="15"/>
  <c r="F159" i="15" s="1"/>
  <c r="F196" i="15" s="1"/>
  <c r="F232" i="15" s="1"/>
  <c r="F280" i="15" s="1"/>
  <c r="F328" i="15" s="1"/>
  <c r="F373" i="15" s="1"/>
  <c r="F73" i="15"/>
  <c r="F147" i="15" s="1"/>
  <c r="F183" i="15" s="1"/>
  <c r="F219" i="15" s="1"/>
  <c r="F269" i="15" s="1"/>
  <c r="F325" i="15" s="1"/>
  <c r="F370" i="15" s="1"/>
  <c r="F122" i="15"/>
  <c r="F241" i="15" s="1"/>
  <c r="F289" i="15" s="1"/>
  <c r="F314" i="15" s="1"/>
  <c r="F357" i="15" s="1"/>
  <c r="G48" i="15"/>
  <c r="F52" i="15"/>
  <c r="F126" i="15" s="1"/>
  <c r="F245" i="15" s="1"/>
  <c r="F293" i="15" s="1"/>
  <c r="F318" i="15" s="1"/>
  <c r="F361" i="15" s="1"/>
  <c r="F75" i="15"/>
  <c r="F149" i="15" s="1"/>
  <c r="F185" i="15" s="1"/>
  <c r="F221" i="15" s="1"/>
  <c r="F271" i="15" s="1"/>
  <c r="F339" i="15" s="1"/>
  <c r="F389" i="15" s="1"/>
  <c r="F74" i="15"/>
  <c r="F55" i="15"/>
  <c r="F132" i="15" s="1"/>
  <c r="F251" i="15" s="1"/>
  <c r="F299" i="15" s="1"/>
  <c r="F336" i="15" s="1"/>
  <c r="F385" i="15" s="1"/>
  <c r="F54" i="15"/>
  <c r="F131" i="15" s="1"/>
  <c r="F250" i="15" s="1"/>
  <c r="F298" i="15" s="1"/>
  <c r="F335" i="15" s="1"/>
  <c r="F384" i="15" s="1"/>
  <c r="F86" i="15"/>
  <c r="F160" i="15" s="1"/>
  <c r="F197" i="15" s="1"/>
  <c r="F233" i="15" s="1"/>
  <c r="F281" i="15" s="1"/>
  <c r="F329" i="15" s="1"/>
  <c r="F374" i="15" s="1"/>
  <c r="F84" i="15"/>
  <c r="F158" i="15" s="1"/>
  <c r="F195" i="15" s="1"/>
  <c r="F231" i="15" s="1"/>
  <c r="F279" i="15" s="1"/>
  <c r="F327" i="15" s="1"/>
  <c r="F372" i="15" s="1"/>
  <c r="F72" i="15"/>
  <c r="F146" i="15" s="1"/>
  <c r="F182" i="15" s="1"/>
  <c r="F218" i="15" s="1"/>
  <c r="F268" i="15" s="1"/>
  <c r="F324" i="15" s="1"/>
  <c r="F369" i="15" s="1"/>
  <c r="F88" i="15"/>
  <c r="F162" i="15" s="1"/>
  <c r="F199" i="15" s="1"/>
  <c r="F235" i="15" s="1"/>
  <c r="F283" i="15" s="1"/>
  <c r="F340" i="15" s="1"/>
  <c r="F390" i="15" s="1"/>
  <c r="F49" i="15"/>
  <c r="F123" i="15" s="1"/>
  <c r="F242" i="15" s="1"/>
  <c r="F290" i="15" s="1"/>
  <c r="F315" i="15" s="1"/>
  <c r="F358" i="15" s="1"/>
  <c r="X128" i="10"/>
  <c r="Y128" i="10" s="1"/>
  <c r="X130" i="10"/>
  <c r="Y130" i="10" s="1"/>
  <c r="Y123" i="10"/>
  <c r="H15" i="14" s="1"/>
  <c r="I15" i="14" s="1"/>
  <c r="G51" i="15" l="1"/>
  <c r="G125" i="15" s="1"/>
  <c r="G244" i="15" s="1"/>
  <c r="G292" i="15" s="1"/>
  <c r="G317" i="15" s="1"/>
  <c r="G360" i="15" s="1"/>
  <c r="G71" i="15"/>
  <c r="G83" i="15"/>
  <c r="G157" i="15" s="1"/>
  <c r="G194" i="15" s="1"/>
  <c r="G230" i="15" s="1"/>
  <c r="G278" i="15" s="1"/>
  <c r="G326" i="15" s="1"/>
  <c r="G371" i="15" s="1"/>
  <c r="G75" i="15"/>
  <c r="G149" i="15" s="1"/>
  <c r="G185" i="15" s="1"/>
  <c r="G221" i="15" s="1"/>
  <c r="G271" i="15" s="1"/>
  <c r="G339" i="15" s="1"/>
  <c r="G389" i="15" s="1"/>
  <c r="G49" i="15"/>
  <c r="G123" i="15" s="1"/>
  <c r="G242" i="15" s="1"/>
  <c r="G290" i="15" s="1"/>
  <c r="G315" i="15" s="1"/>
  <c r="G358" i="15" s="1"/>
  <c r="G86" i="15"/>
  <c r="G160" i="15" s="1"/>
  <c r="G197" i="15" s="1"/>
  <c r="G233" i="15" s="1"/>
  <c r="G281" i="15" s="1"/>
  <c r="G329" i="15" s="1"/>
  <c r="G374" i="15" s="1"/>
  <c r="G87" i="15"/>
  <c r="G161" i="15" s="1"/>
  <c r="G198" i="15" s="1"/>
  <c r="G234" i="15" s="1"/>
  <c r="G282" i="15" s="1"/>
  <c r="G330" i="15" s="1"/>
  <c r="G375" i="15" s="1"/>
  <c r="G84" i="15"/>
  <c r="G158" i="15" s="1"/>
  <c r="G195" i="15" s="1"/>
  <c r="G231" i="15" s="1"/>
  <c r="G279" i="15" s="1"/>
  <c r="G327" i="15" s="1"/>
  <c r="G372" i="15" s="1"/>
  <c r="G122" i="15"/>
  <c r="G241" i="15" s="1"/>
  <c r="G289" i="15" s="1"/>
  <c r="G314" i="15" s="1"/>
  <c r="G357" i="15" s="1"/>
  <c r="G72" i="15"/>
  <c r="G146" i="15" s="1"/>
  <c r="G182" i="15" s="1"/>
  <c r="G218" i="15" s="1"/>
  <c r="G268" i="15" s="1"/>
  <c r="G324" i="15" s="1"/>
  <c r="G369" i="15" s="1"/>
  <c r="G55" i="15"/>
  <c r="G132" i="15" s="1"/>
  <c r="G251" i="15" s="1"/>
  <c r="G299" i="15" s="1"/>
  <c r="G336" i="15" s="1"/>
  <c r="G385" i="15" s="1"/>
  <c r="G85" i="15"/>
  <c r="G159" i="15" s="1"/>
  <c r="G196" i="15" s="1"/>
  <c r="G232" i="15" s="1"/>
  <c r="G280" i="15" s="1"/>
  <c r="G328" i="15" s="1"/>
  <c r="G373" i="15" s="1"/>
  <c r="G52" i="15"/>
  <c r="G126" i="15" s="1"/>
  <c r="G245" i="15" s="1"/>
  <c r="G293" i="15" s="1"/>
  <c r="G318" i="15" s="1"/>
  <c r="G361" i="15" s="1"/>
  <c r="G74" i="15"/>
  <c r="G88" i="15"/>
  <c r="G162" i="15" s="1"/>
  <c r="G199" i="15" s="1"/>
  <c r="G235" i="15" s="1"/>
  <c r="G283" i="15" s="1"/>
  <c r="G340" i="15" s="1"/>
  <c r="G390" i="15" s="1"/>
  <c r="G54" i="15"/>
  <c r="G131" i="15" s="1"/>
  <c r="G250" i="15" s="1"/>
  <c r="G298" i="15" s="1"/>
  <c r="G335" i="15" s="1"/>
  <c r="G384" i="15" s="1"/>
  <c r="G70" i="15"/>
  <c r="G73" i="15"/>
  <c r="G147" i="15" s="1"/>
  <c r="G183" i="15" s="1"/>
  <c r="G219" i="15" s="1"/>
  <c r="G269" i="15" s="1"/>
  <c r="G325" i="15" s="1"/>
  <c r="G370" i="15" s="1"/>
  <c r="G89" i="15"/>
  <c r="G163" i="15" s="1"/>
  <c r="G200" i="15" s="1"/>
  <c r="G236" i="15" s="1"/>
  <c r="G284" i="15" s="1"/>
  <c r="G341" i="15" s="1"/>
  <c r="G391" i="15" s="1"/>
  <c r="G50" i="15"/>
  <c r="F50" i="15"/>
  <c r="F144" i="15"/>
  <c r="F180" i="15" s="1"/>
  <c r="F216" i="15" s="1"/>
  <c r="F264" i="15" s="1"/>
  <c r="F311" i="15" s="1"/>
  <c r="F101" i="15"/>
  <c r="F148" i="15"/>
  <c r="F184" i="15" s="1"/>
  <c r="F220" i="15" s="1"/>
  <c r="F270" i="15" s="1"/>
  <c r="F338" i="15" s="1"/>
  <c r="F388" i="15" s="1"/>
  <c r="F396" i="15" s="1"/>
  <c r="F557" i="15"/>
  <c r="G556" i="15" s="1"/>
  <c r="G562" i="15" s="1"/>
  <c r="F145" i="15"/>
  <c r="F181" i="15" s="1"/>
  <c r="F217" i="15" s="1"/>
  <c r="F267" i="15" s="1"/>
  <c r="F323" i="15" s="1"/>
  <c r="F368" i="15" s="1"/>
  <c r="F376" i="15" s="1"/>
  <c r="F382" i="15" s="1"/>
  <c r="F540" i="15"/>
  <c r="G539" i="15" s="1"/>
  <c r="G545" i="15" s="1"/>
  <c r="F53" i="15" l="1"/>
  <c r="F128" i="15" s="1"/>
  <c r="F124" i="15"/>
  <c r="F243" i="15" s="1"/>
  <c r="F291" i="15" s="1"/>
  <c r="F316" i="15" s="1"/>
  <c r="F359" i="15" s="1"/>
  <c r="G144" i="15"/>
  <c r="G180" i="15" s="1"/>
  <c r="G216" i="15" s="1"/>
  <c r="G264" i="15" s="1"/>
  <c r="G311" i="15" s="1"/>
  <c r="G101" i="15"/>
  <c r="G53" i="15"/>
  <c r="G128" i="15" s="1"/>
  <c r="G124" i="15"/>
  <c r="G243" i="15" s="1"/>
  <c r="G291" i="15" s="1"/>
  <c r="G316" i="15" s="1"/>
  <c r="G359" i="15" s="1"/>
  <c r="G557" i="15"/>
  <c r="G148" i="15"/>
  <c r="G184" i="15" s="1"/>
  <c r="G220" i="15" s="1"/>
  <c r="G270" i="15" s="1"/>
  <c r="G338" i="15" s="1"/>
  <c r="G388" i="15" s="1"/>
  <c r="G396" i="15" s="1"/>
  <c r="G540" i="15"/>
  <c r="G145" i="15"/>
  <c r="G181" i="15" s="1"/>
  <c r="G217" i="15" s="1"/>
  <c r="G267" i="15" s="1"/>
  <c r="G323" i="15" s="1"/>
  <c r="G368" i="15" s="1"/>
  <c r="G376" i="15" s="1"/>
  <c r="G382" i="15" s="1"/>
  <c r="G247" i="15" l="1"/>
  <c r="G295" i="15" s="1"/>
  <c r="G320" i="15" s="1"/>
  <c r="G363" i="15" s="1"/>
  <c r="G129" i="15"/>
  <c r="F129" i="15"/>
  <c r="F247" i="15"/>
  <c r="F295" i="15" s="1"/>
  <c r="F320" i="15" s="1"/>
  <c r="F363" i="15" s="1"/>
  <c r="G248" i="15" l="1"/>
  <c r="G296" i="15" s="1"/>
  <c r="G321" i="15" s="1"/>
  <c r="G364" i="15" s="1"/>
  <c r="G130" i="15"/>
  <c r="G249" i="15" s="1"/>
  <c r="G297" i="15" s="1"/>
  <c r="G322" i="15" s="1"/>
  <c r="G365" i="15" s="1"/>
  <c r="F248" i="15"/>
  <c r="F296" i="15" s="1"/>
  <c r="F321" i="15" s="1"/>
  <c r="F364" i="15" s="1"/>
  <c r="F130" i="15"/>
  <c r="F249" i="15" s="1"/>
  <c r="F297" i="15" s="1"/>
  <c r="F322" i="15" s="1"/>
  <c r="F365" i="15" s="1"/>
  <c r="F538" i="15"/>
  <c r="F542" i="15" s="1"/>
  <c r="F544" i="15" s="1"/>
  <c r="F546" i="15" s="1"/>
  <c r="F548" i="15" s="1"/>
  <c r="F367" i="15"/>
  <c r="G538" i="15"/>
  <c r="G542" i="15" s="1"/>
  <c r="G544" i="15" s="1"/>
  <c r="G546" i="15" s="1"/>
  <c r="G367" i="15"/>
  <c r="F377" i="15" l="1"/>
  <c r="F383" i="15"/>
  <c r="G377" i="15"/>
  <c r="G383" i="15"/>
  <c r="G427" i="15" l="1"/>
  <c r="H427" i="15" s="1"/>
  <c r="F427" i="15"/>
  <c r="F429" i="15" l="1"/>
  <c r="F455" i="15"/>
  <c r="D455" i="15"/>
  <c r="E455" i="15"/>
  <c r="C455" i="15"/>
  <c r="B455" i="15"/>
  <c r="G455" i="15"/>
  <c r="H539" i="15"/>
  <c r="H546" i="15" s="1"/>
  <c r="G547" i="15" s="1"/>
  <c r="G548" i="15" s="1"/>
  <c r="B550" i="15" s="1"/>
  <c r="B552" i="15" s="1"/>
  <c r="H455" i="15"/>
  <c r="G428" i="15"/>
  <c r="G429" i="15" s="1"/>
  <c r="B435" i="15" s="1"/>
  <c r="B553" i="15" l="1"/>
  <c r="C134" i="15"/>
  <c r="C253" i="15" s="1"/>
  <c r="C301" i="15" s="1"/>
  <c r="C337" i="15" s="1"/>
  <c r="C399" i="15" l="1"/>
  <c r="C386" i="15"/>
  <c r="C387" i="15" s="1"/>
  <c r="C59" i="15"/>
  <c r="C60" i="15" s="1"/>
  <c r="C135" i="15"/>
  <c r="C62" i="15" l="1"/>
  <c r="C94" i="15" s="1"/>
  <c r="C137" i="15"/>
  <c r="C205" i="15"/>
  <c r="C555" i="15"/>
  <c r="C559" i="15" s="1"/>
  <c r="C561" i="15" s="1"/>
  <c r="C563" i="15" s="1"/>
  <c r="C565" i="15" s="1"/>
  <c r="C397" i="15"/>
  <c r="C398" i="15" l="1"/>
  <c r="C431" i="15"/>
  <c r="C102" i="15"/>
  <c r="C103" i="15" s="1"/>
  <c r="C168" i="15"/>
  <c r="C82" i="15" l="1"/>
  <c r="C156" i="15" s="1"/>
  <c r="C193" i="15" s="1"/>
  <c r="C69" i="15"/>
  <c r="C433" i="15"/>
  <c r="C80" i="15" l="1"/>
  <c r="C143" i="15"/>
  <c r="C179" i="15" s="1"/>
  <c r="C207" i="15"/>
  <c r="C229" i="15"/>
  <c r="C154" i="15" l="1"/>
  <c r="C95" i="15"/>
  <c r="C169" i="15" s="1"/>
  <c r="C255" i="15"/>
  <c r="C277" i="15"/>
  <c r="C215" i="15"/>
  <c r="C263" i="15" s="1"/>
  <c r="C191" i="15"/>
  <c r="C265" i="15" l="1"/>
  <c r="C312" i="15" s="1"/>
  <c r="C310" i="15"/>
  <c r="C347" i="15"/>
  <c r="C304" i="15"/>
  <c r="C209" i="15"/>
  <c r="C227" i="15"/>
  <c r="C257" i="15" s="1"/>
  <c r="C401" i="15" l="1"/>
  <c r="C403" i="15" s="1"/>
  <c r="C351" i="15"/>
  <c r="C404" i="15" l="1"/>
  <c r="C409" i="15" s="1"/>
  <c r="C412" i="15" s="1"/>
  <c r="C411" i="15"/>
  <c r="G17" i="14"/>
  <c r="G18" i="14" s="1"/>
  <c r="H17" i="14"/>
  <c r="H18" i="14" s="1"/>
  <c r="I17" i="14" l="1"/>
  <c r="H19" i="14"/>
  <c r="I19" i="14" s="1"/>
  <c r="I18" i="14"/>
  <c r="G19" i="14"/>
  <c r="G20" i="14"/>
  <c r="G22" i="14" s="1"/>
  <c r="G28" i="14" l="1"/>
  <c r="G25" i="14"/>
  <c r="H20" i="14"/>
  <c r="H22" i="14" s="1"/>
  <c r="G29" i="14"/>
  <c r="H28" i="14" l="1"/>
  <c r="H25" i="14"/>
  <c r="I20" i="14"/>
  <c r="G30" i="14"/>
  <c r="I22" i="14"/>
  <c r="H29" i="14"/>
  <c r="I28" i="14" l="1"/>
  <c r="I25" i="14"/>
  <c r="H30" i="14"/>
  <c r="H35" i="14" s="1"/>
  <c r="I29" i="14"/>
  <c r="F17" i="14"/>
  <c r="F18" i="14" s="1"/>
  <c r="I30" i="14" l="1"/>
  <c r="I35" i="14" s="1"/>
  <c r="E36" i="14" s="1"/>
  <c r="F19" i="14"/>
  <c r="F20" i="14" s="1"/>
  <c r="F22" i="14" s="1"/>
  <c r="F25" i="14" s="1"/>
  <c r="F40" i="14" l="1"/>
  <c r="F41" i="14"/>
  <c r="F39" i="14"/>
  <c r="F29" i="14"/>
  <c r="F28" i="14"/>
  <c r="F30" i="14" s="1"/>
  <c r="B457" i="15"/>
  <c r="B456" i="15"/>
  <c r="F403" i="15"/>
  <c r="F399" i="15"/>
  <c r="H556" i="15"/>
  <c r="H563" i="15"/>
  <c r="G564" i="15"/>
  <c r="E209" i="15"/>
  <c r="E255" i="15"/>
  <c r="G257" i="15"/>
  <c r="G227" i="15"/>
  <c r="E565" i="15"/>
  <c r="E563" i="15"/>
  <c r="E561" i="15"/>
  <c r="E559" i="15"/>
  <c r="E555" i="15"/>
  <c r="E457" i="15"/>
  <c r="E456" i="15"/>
  <c r="H457" i="15"/>
  <c r="H456" i="15"/>
  <c r="D409" i="15"/>
  <c r="D404" i="15"/>
  <c r="E191" i="15"/>
  <c r="E227" i="15"/>
  <c r="E257" i="15"/>
  <c r="G207" i="15"/>
  <c r="G255" i="15"/>
  <c r="G457" i="15"/>
  <c r="G456" i="15"/>
  <c r="F169" i="15"/>
  <c r="F95" i="15"/>
  <c r="E169" i="15"/>
  <c r="E95" i="15"/>
  <c r="B570" i="15"/>
  <c r="G169" i="15"/>
  <c r="G95" i="15"/>
  <c r="G409" i="15"/>
  <c r="G404" i="15"/>
  <c r="E135" i="15"/>
  <c r="G168" i="15"/>
  <c r="G135" i="15"/>
  <c r="D169" i="15"/>
  <c r="D95" i="15"/>
  <c r="D555" i="15"/>
  <c r="D559" i="15"/>
  <c r="D561" i="15"/>
  <c r="D563" i="15"/>
  <c r="D565" i="15"/>
  <c r="B567" i="15"/>
  <c r="B569" i="15"/>
  <c r="B572" i="15"/>
  <c r="B573" i="15"/>
  <c r="G265" i="15"/>
  <c r="G312" i="15"/>
  <c r="G412" i="15"/>
  <c r="G80" i="15"/>
  <c r="G154" i="15"/>
  <c r="E433" i="15"/>
  <c r="E431" i="15"/>
  <c r="E265" i="15"/>
  <c r="E312" i="15"/>
  <c r="E412" i="15"/>
  <c r="D403" i="15"/>
  <c r="D399" i="15"/>
  <c r="F209" i="15"/>
  <c r="G433" i="15"/>
  <c r="G191" i="15"/>
  <c r="G209" i="15"/>
  <c r="F207" i="15"/>
  <c r="F191" i="15"/>
  <c r="F227" i="15"/>
  <c r="F257" i="15"/>
  <c r="D401" i="15"/>
  <c r="D347" i="15"/>
  <c r="G401" i="15"/>
  <c r="G347" i="15"/>
  <c r="G403" i="15"/>
  <c r="G399" i="15"/>
  <c r="D80" i="15"/>
  <c r="D154" i="15"/>
  <c r="D457" i="15"/>
  <c r="D456" i="15"/>
  <c r="F401" i="15"/>
  <c r="F347" i="15"/>
  <c r="D351" i="15"/>
  <c r="E80" i="15"/>
  <c r="E154" i="15"/>
  <c r="E59" i="15"/>
  <c r="E409" i="15"/>
  <c r="E404" i="15"/>
  <c r="D277" i="15"/>
  <c r="D304" i="15"/>
  <c r="F412" i="15"/>
  <c r="F312" i="15"/>
  <c r="F265" i="15"/>
  <c r="E403" i="15"/>
  <c r="E399" i="15"/>
  <c r="F433" i="15"/>
  <c r="F431" i="15"/>
  <c r="F168" i="15"/>
  <c r="G156" i="15"/>
  <c r="G193" i="15"/>
  <c r="G229" i="15"/>
  <c r="G277" i="15"/>
  <c r="G304" i="15"/>
  <c r="E69" i="15"/>
  <c r="E143" i="15"/>
  <c r="E179" i="15"/>
  <c r="E215" i="15"/>
  <c r="E263" i="15"/>
  <c r="E310" i="15"/>
  <c r="C436" i="15"/>
  <c r="D229" i="15"/>
  <c r="D255" i="15"/>
  <c r="D398" i="15"/>
  <c r="D411" i="15"/>
  <c r="F555" i="15"/>
  <c r="F559" i="15"/>
  <c r="F561" i="15"/>
  <c r="F563" i="15"/>
  <c r="F565" i="15"/>
  <c r="E351" i="15"/>
  <c r="F456" i="15"/>
  <c r="F457" i="15"/>
  <c r="C457" i="15"/>
  <c r="C456" i="15"/>
  <c r="D135" i="15"/>
  <c r="E168" i="15"/>
  <c r="E205" i="15"/>
  <c r="E137" i="15"/>
  <c r="E58" i="15"/>
  <c r="E60" i="15"/>
  <c r="E62" i="15"/>
  <c r="E57" i="15"/>
  <c r="E134" i="15"/>
  <c r="E253" i="15"/>
  <c r="E301" i="15"/>
  <c r="E337" i="15"/>
  <c r="E386" i="15"/>
  <c r="E387" i="15"/>
  <c r="E397" i="15"/>
  <c r="E398" i="15"/>
  <c r="E411" i="15"/>
  <c r="D168" i="15"/>
  <c r="G205" i="15"/>
  <c r="G137" i="15"/>
  <c r="G60" i="15"/>
  <c r="G62" i="15"/>
  <c r="F277" i="15"/>
  <c r="F304" i="15"/>
  <c r="E401" i="15"/>
  <c r="E347" i="15"/>
  <c r="D156" i="15"/>
  <c r="D193" i="15"/>
  <c r="D207" i="15"/>
  <c r="F205" i="15"/>
  <c r="F137" i="15"/>
  <c r="F60" i="15"/>
  <c r="F62" i="15"/>
  <c r="F143" i="15"/>
  <c r="F179" i="15"/>
  <c r="F215" i="15"/>
  <c r="F263" i="15"/>
  <c r="F310" i="15"/>
  <c r="F411" i="15"/>
  <c r="D265" i="15"/>
  <c r="D312" i="15"/>
  <c r="D412" i="15"/>
  <c r="F135" i="15"/>
  <c r="D59" i="15"/>
  <c r="D205" i="15"/>
  <c r="D137" i="15"/>
  <c r="E207" i="15"/>
  <c r="G398" i="15"/>
  <c r="G411" i="15"/>
  <c r="F69" i="15"/>
  <c r="F80" i="15"/>
  <c r="F154" i="15"/>
  <c r="C437" i="15"/>
  <c r="C435" i="15"/>
  <c r="G351" i="15"/>
  <c r="D510" i="15"/>
  <c r="E510" i="15"/>
  <c r="B445" i="15"/>
  <c r="C510" i="15"/>
  <c r="F510" i="15"/>
  <c r="D134" i="15"/>
  <c r="D253" i="15"/>
  <c r="D301" i="15"/>
  <c r="D337" i="15"/>
  <c r="D386" i="15"/>
  <c r="D387" i="15"/>
  <c r="D397" i="15"/>
  <c r="D431" i="15"/>
  <c r="D433" i="15"/>
  <c r="B436" i="15"/>
  <c r="B437" i="15"/>
  <c r="B440" i="15"/>
  <c r="G58" i="15"/>
  <c r="G59" i="15"/>
  <c r="F156" i="15"/>
  <c r="F193" i="15"/>
  <c r="F229" i="15"/>
  <c r="F255" i="15"/>
  <c r="E102" i="15"/>
  <c r="E103" i="15"/>
  <c r="E82" i="15"/>
  <c r="E156" i="15"/>
  <c r="E193" i="15"/>
  <c r="E229" i="15"/>
  <c r="E277" i="15"/>
  <c r="E304" i="15"/>
  <c r="G69" i="15"/>
  <c r="G143" i="15"/>
  <c r="G179" i="15"/>
  <c r="G215" i="15"/>
  <c r="G263" i="15"/>
  <c r="G310" i="15"/>
  <c r="F58" i="15"/>
  <c r="F59" i="15"/>
  <c r="G555" i="15"/>
  <c r="G559" i="15"/>
  <c r="G561" i="15"/>
  <c r="G563" i="15"/>
  <c r="G565" i="15"/>
  <c r="G94" i="15"/>
  <c r="G102" i="15"/>
  <c r="G103" i="15"/>
  <c r="G82" i="15"/>
  <c r="G57" i="15"/>
  <c r="G134" i="15"/>
  <c r="G253" i="15"/>
  <c r="G301" i="15"/>
  <c r="G337" i="15"/>
  <c r="G386" i="15"/>
  <c r="G387" i="15"/>
  <c r="G397" i="15"/>
  <c r="G431" i="15"/>
  <c r="H431" i="15"/>
  <c r="G432" i="15"/>
  <c r="D215" i="15"/>
  <c r="D263" i="15"/>
  <c r="D310" i="15"/>
  <c r="F386" i="15"/>
  <c r="F387" i="15"/>
  <c r="F397" i="15"/>
  <c r="F398" i="15"/>
  <c r="F404" i="15"/>
  <c r="F409" i="15"/>
  <c r="D209" i="15"/>
  <c r="D69" i="15"/>
  <c r="D143" i="15"/>
  <c r="D179" i="15"/>
  <c r="D191" i="15"/>
  <c r="D227" i="15"/>
  <c r="D257" i="15"/>
  <c r="D102" i="15"/>
  <c r="D103" i="15"/>
  <c r="D82" i="15"/>
  <c r="D57" i="15"/>
  <c r="D58" i="15"/>
  <c r="D60" i="15"/>
  <c r="D62" i="15"/>
  <c r="D94" i="15"/>
  <c r="E94" i="15"/>
  <c r="F94" i="15"/>
  <c r="F102" i="15"/>
  <c r="F103" i="15"/>
  <c r="F82" i="15"/>
  <c r="F57" i="15"/>
  <c r="F134" i="15"/>
  <c r="F253" i="15"/>
  <c r="F301" i="15"/>
  <c r="F337" i="15"/>
  <c r="F351"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Fidel Tonguino Rosero</author>
    <author>Alvaro</author>
    <author>Carlos Tonguino</author>
  </authors>
  <commentList>
    <comment ref="C5" authorId="0" shapeId="0" xr:uid="{CFB3EC42-9861-7F40-B3D2-6D86A779191E}">
      <text>
        <r>
          <rPr>
            <b/>
            <sz val="10"/>
            <color rgb="FF000000"/>
            <rFont val="Tahoma"/>
            <family val="2"/>
          </rPr>
          <t>Carlos Fidel Tonguino Rosero:</t>
        </r>
        <r>
          <rPr>
            <sz val="10"/>
            <color rgb="FF000000"/>
            <rFont val="Tahoma"/>
            <family val="2"/>
          </rPr>
          <t xml:space="preserve">
</t>
        </r>
        <r>
          <rPr>
            <sz val="10"/>
            <color rgb="FF000000"/>
            <rFont val="Tahoma"/>
            <family val="2"/>
          </rPr>
          <t>Respecto al año Cero, el crecimiento en ventas es del 100% al no tener una sola venta</t>
        </r>
      </text>
    </comment>
    <comment ref="A277" authorId="1" shapeId="0" xr:uid="{105699B3-EAE1-9A49-9B63-E71B7EC9AC66}">
      <text>
        <r>
          <rPr>
            <b/>
            <sz val="9"/>
            <color indexed="81"/>
            <rFont val="Tahoma"/>
            <family val="2"/>
          </rPr>
          <t>Alvaro:</t>
        </r>
        <r>
          <rPr>
            <sz val="9"/>
            <color indexed="81"/>
            <rFont val="Tahoma"/>
            <family val="2"/>
          </rPr>
          <t xml:space="preserve">
A pesar de estar en cero no se elimina porque en otro ejercicio sí puede aparecer</t>
        </r>
      </text>
    </comment>
    <comment ref="A285" authorId="1" shapeId="0" xr:uid="{8ADE41DB-C920-B24F-8624-1882C8CB4857}">
      <text>
        <r>
          <rPr>
            <b/>
            <sz val="9"/>
            <color indexed="81"/>
            <rFont val="Tahoma"/>
            <family val="2"/>
          </rPr>
          <t>Alvaro:</t>
        </r>
        <r>
          <rPr>
            <sz val="9"/>
            <color indexed="81"/>
            <rFont val="Tahoma"/>
            <family val="2"/>
          </rPr>
          <t xml:space="preserve">
A pesar de estar en cero no se elimina porque en otro ejercicio sí puede aparecer</t>
        </r>
      </text>
    </comment>
    <comment ref="A499" authorId="2" shapeId="0" xr:uid="{07373513-7039-4140-8E40-AA182D42500D}">
      <text>
        <r>
          <rPr>
            <b/>
            <sz val="9"/>
            <color indexed="81"/>
            <rFont val="Tahoma"/>
            <family val="2"/>
          </rPr>
          <t>Carlos Tonguino:</t>
        </r>
        <r>
          <rPr>
            <sz val="9"/>
            <color indexed="81"/>
            <rFont val="Tahoma"/>
            <family val="2"/>
          </rPr>
          <t xml:space="preserve">
Capital ajustado empleado</t>
        </r>
      </text>
    </comment>
    <comment ref="C506" authorId="2" shapeId="0" xr:uid="{15A4C2EF-B7CC-E14A-BAD2-9F0DCD9A8087}">
      <text>
        <r>
          <rPr>
            <b/>
            <sz val="9"/>
            <color indexed="81"/>
            <rFont val="Tahoma"/>
            <family val="2"/>
          </rPr>
          <t>Carlos Tonguino:</t>
        </r>
        <r>
          <rPr>
            <sz val="9"/>
            <color indexed="81"/>
            <rFont val="Tahoma"/>
            <family val="2"/>
          </rPr>
          <t xml:space="preserve">
ubicar los mas bajos</t>
        </r>
      </text>
    </comment>
    <comment ref="E506" authorId="2" shapeId="0" xr:uid="{ECA47FCE-458B-DD43-9D4E-F4F93708FBE8}">
      <text>
        <r>
          <rPr>
            <b/>
            <sz val="9"/>
            <color indexed="81"/>
            <rFont val="Tahoma"/>
            <family val="2"/>
          </rPr>
          <t>Carlos Tonguino:</t>
        </r>
        <r>
          <rPr>
            <sz val="9"/>
            <color indexed="81"/>
            <rFont val="Tahoma"/>
            <family val="2"/>
          </rPr>
          <t xml:space="preserve">
Los maximos</t>
        </r>
      </text>
    </comment>
    <comment ref="D539" authorId="2" shapeId="0" xr:uid="{91DCADFB-775B-3C4C-B15B-DE7BD7405601}">
      <text>
        <r>
          <rPr>
            <b/>
            <sz val="9"/>
            <color indexed="81"/>
            <rFont val="Tahoma"/>
            <family val="2"/>
          </rPr>
          <t>Carlos Tonguino:</t>
        </r>
        <r>
          <rPr>
            <sz val="9"/>
            <color indexed="81"/>
            <rFont val="Tahoma"/>
            <family val="2"/>
          </rPr>
          <t xml:space="preserve">
Este es el capital final del año inmediadamente anterior</t>
        </r>
      </text>
    </comment>
    <comment ref="H539" authorId="2" shapeId="0" xr:uid="{3B3F1D01-A677-6A4D-9896-0A7DC4CA29AF}">
      <text>
        <r>
          <rPr>
            <b/>
            <sz val="9"/>
            <color indexed="81"/>
            <rFont val="Tahoma"/>
            <family val="2"/>
          </rPr>
          <t>Carlos Tonguino:</t>
        </r>
        <r>
          <rPr>
            <sz val="9"/>
            <color indexed="81"/>
            <rFont val="Tahoma"/>
            <family val="2"/>
          </rPr>
          <t xml:space="preserve">
Carlos Tonguino:
El valor de perpetuidad - el capital empleado final</t>
        </r>
      </text>
    </comment>
    <comment ref="C542" authorId="2" shapeId="0" xr:uid="{9619EB11-4E4C-5949-8FA3-220B3AE303B9}">
      <text>
        <r>
          <rPr>
            <b/>
            <sz val="9"/>
            <color indexed="81"/>
            <rFont val="Tahoma"/>
            <family val="2"/>
          </rPr>
          <t>Carlos Tonguino:</t>
        </r>
        <r>
          <rPr>
            <sz val="9"/>
            <color indexed="81"/>
            <rFont val="Tahoma"/>
            <family val="2"/>
          </rPr>
          <t xml:space="preserve">
UOIDI/CAPITAL EMPELADO INICIAL</t>
        </r>
      </text>
    </comment>
    <comment ref="C546" authorId="2" shapeId="0" xr:uid="{13D8A262-92E7-2349-B01B-03B698659905}">
      <text>
        <r>
          <rPr>
            <b/>
            <sz val="9"/>
            <color indexed="81"/>
            <rFont val="Tahoma"/>
            <family val="2"/>
          </rPr>
          <t>Carlos Tonguino:</t>
        </r>
        <r>
          <rPr>
            <sz val="9"/>
            <color indexed="81"/>
            <rFont val="Tahoma"/>
            <family val="2"/>
          </rPr>
          <t xml:space="preserve">
Sprec x el capital operativo inicial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Carlos Fidel Tonguino Rosero</author>
  </authors>
  <commentList>
    <comment ref="P32" authorId="0" shapeId="0" xr:uid="{05934739-35FF-594C-B73F-CAAF14A3CE15}">
      <text>
        <r>
          <rPr>
            <sz val="9"/>
            <color rgb="FF000000"/>
            <rFont val="Tahoma"/>
            <family val="2"/>
          </rPr>
          <t xml:space="preserve">La estrategiade outbound usara la base de datos del canal para generar campaña directas a clientes con posible interes de forma maxima, la inversión requerida para esta estrategia es una inversión unica para este mes. El objetivo es incrementar la tasa de conversion inicial en un 1,5% mensual, durante el primer año </t>
        </r>
      </text>
    </comment>
    <comment ref="N36" authorId="0" shapeId="0" xr:uid="{4D5146DE-2A0D-E64A-98E1-9CFB2014EF22}">
      <text>
        <r>
          <rPr>
            <b/>
            <sz val="9"/>
            <color rgb="FF000000"/>
            <rFont val="Calibri"/>
            <family val="2"/>
          </rPr>
          <t>Incrementar Tasa de conversión de venta</t>
        </r>
        <r>
          <rPr>
            <sz val="9"/>
            <color rgb="FF000000"/>
            <rFont val="Calibri"/>
            <family val="2"/>
          </rPr>
          <t xml:space="preserve">.
</t>
        </r>
        <r>
          <rPr>
            <sz val="9"/>
            <color rgb="FF000000"/>
            <rFont val="Calibri"/>
            <family val="2"/>
          </rPr>
          <t xml:space="preserve">La implementación del sarlaft digital permite reducir la tasa de abandono y en consencia incrementar la tasa de conversión de venta, se atribuye a esta caracteristica el incrementa en 2% la tasa de conversión en la firma de documentos digitales
</t>
        </r>
      </text>
    </comment>
    <comment ref="O36" authorId="0" shapeId="0" xr:uid="{2A91CDD3-6737-734B-8131-FDBF665BB498}">
      <text>
        <r>
          <rPr>
            <b/>
            <sz val="9"/>
            <color rgb="FF000000"/>
            <rFont val="Calibri"/>
            <family val="2"/>
          </rPr>
          <t>Incrementar Tasa de conversión de venta</t>
        </r>
        <r>
          <rPr>
            <sz val="9"/>
            <color rgb="FF000000"/>
            <rFont val="Calibri"/>
            <family val="2"/>
          </rPr>
          <t xml:space="preserve">.
</t>
        </r>
        <r>
          <rPr>
            <sz val="9"/>
            <color rgb="FF000000"/>
            <rFont val="Calibri"/>
            <family val="2"/>
          </rPr>
          <t xml:space="preserve">La implementación de firma digital permite reducir la tasa de abandono y en consencia incrementar la tasa de conversión de venta, se atribuye a esta caracteristica el incrementa en 5% la tasa de conversión en la firma de documentos digitales
</t>
        </r>
      </text>
    </comment>
    <comment ref="L42" authorId="0" shapeId="0" xr:uid="{2A900FF0-67D9-8D4C-9A93-99F5D0268D57}">
      <text>
        <r>
          <rPr>
            <sz val="9"/>
            <color rgb="FF000000"/>
            <rFont val="Tahoma"/>
            <family val="2"/>
          </rPr>
          <t xml:space="preserve">Para medir el trafijo organico se toma como base los clientes que ya cuentan con producto de arrendamiento y que fueron adquiridos en la validación del MVP
</t>
        </r>
      </text>
    </comment>
    <comment ref="S49" authorId="0" shapeId="0" xr:uid="{C0696057-B5C0-9846-BA72-8B668BA04FAA}">
      <text>
        <r>
          <rPr>
            <sz val="10"/>
            <color rgb="FF000000"/>
            <rFont val="Tahoma"/>
            <family val="2"/>
          </rPr>
          <t>La estrategia de Out Bounnt busca incrementar la tasa de visita en 0,5% mes a mes durante todo el año</t>
        </r>
      </text>
    </comment>
    <comment ref="S50" authorId="0" shapeId="0" xr:uid="{6D3B08AA-5780-0345-8C7B-EB335849BD92}">
      <text>
        <r>
          <rPr>
            <sz val="9"/>
            <color rgb="FF000000"/>
            <rFont val="Tahoma"/>
            <family val="2"/>
          </rPr>
          <t xml:space="preserve">La campapaña de Outbount busca incrementar la tasa de conversión en 0,3% mes a mes durante todo el año
</t>
        </r>
      </text>
    </comment>
    <comment ref="R52" authorId="0" shapeId="0" xr:uid="{0044D86C-BE0D-754C-888D-E9DE648F7330}">
      <text>
        <r>
          <rPr>
            <sz val="10"/>
            <color rgb="FF000000"/>
            <rFont val="Tahoma"/>
            <family val="2"/>
          </rPr>
          <t>Para SOAT no hay necesidad de realizar el on bording y validación de identidad</t>
        </r>
      </text>
    </comment>
    <comment ref="R53" authorId="0" shapeId="0" xr:uid="{9D7DBC3E-7683-8345-932B-78DE3DB76E56}">
      <text>
        <r>
          <rPr>
            <sz val="10"/>
            <color rgb="FF000000"/>
            <rFont val="Tahoma"/>
            <family val="2"/>
          </rPr>
          <t>Para Soat no hay necesidad de firma de documentos o validación de identidad</t>
        </r>
      </text>
    </comment>
    <comment ref="L59" authorId="0" shapeId="0" xr:uid="{0B722526-7772-D042-8844-08E89C9E8FFF}">
      <text>
        <r>
          <rPr>
            <sz val="9"/>
            <color rgb="FF000000"/>
            <rFont val="Tahoma"/>
            <family val="2"/>
          </rPr>
          <t xml:space="preserve">Para medir el trafijo organico se toma como base los clientes que ya cuentan con producto de arrendamiento y que fueron adquiridos en la validación del MVP
</t>
        </r>
      </text>
    </comment>
    <comment ref="W65" authorId="0" shapeId="0" xr:uid="{9AD40B31-2EC2-944D-8DB3-A0FFCD64DEE4}">
      <text>
        <r>
          <rPr>
            <sz val="9"/>
            <color rgb="FF000000"/>
            <rFont val="Tahoma"/>
            <family val="2"/>
          </rPr>
          <t>La campaña de outbond busca incrementar hasta 0,05% la conversiónen la toma de cptización</t>
        </r>
      </text>
    </comment>
    <comment ref="W66" authorId="0" shapeId="0" xr:uid="{7F8E5710-0A65-BE44-9C1A-43908B412102}">
      <text>
        <r>
          <rPr>
            <sz val="9"/>
            <color rgb="FF000000"/>
            <rFont val="Tahoma"/>
            <family val="2"/>
          </rPr>
          <t>La campaña de outbound busca incrementar en 0,03 la conversión al momento de hacer la cotización</t>
        </r>
      </text>
    </comment>
    <comment ref="L75" authorId="0" shapeId="0" xr:uid="{B632DC35-EEE0-9F4E-A203-D8A352889240}">
      <text>
        <r>
          <rPr>
            <sz val="9"/>
            <color rgb="FF000000"/>
            <rFont val="Tahoma"/>
            <family val="2"/>
          </rPr>
          <t xml:space="preserve">Para medir el trafijo organico se toma como base los clientes que ya cuentan con producto de arrendamiento y que fueron adquiridos en la validación del MVP
</t>
        </r>
      </text>
    </comment>
    <comment ref="L82" authorId="0" shapeId="0" xr:uid="{2A2783D1-FD2C-6741-B7E0-F8F493FD1344}">
      <text>
        <r>
          <rPr>
            <sz val="9"/>
            <color rgb="FF000000"/>
            <rFont val="Tahoma"/>
            <family val="2"/>
          </rPr>
          <t xml:space="preserve">Estos indiadores inician en cero, debido a que es un nuevo producto, no se considerar los 9 menses de validación de hipotesis
</t>
        </r>
      </text>
    </comment>
    <comment ref="L86" authorId="0" shapeId="0" xr:uid="{11037D95-6481-3742-A587-5CEA652902A4}">
      <text>
        <r>
          <rPr>
            <sz val="10"/>
            <color rgb="FF000000"/>
            <rFont val="Tahoma"/>
            <family val="2"/>
          </rPr>
          <t>Estos indicadores buscan incrementar el trafico organico de lo productos digitales de seguros. el exito en estos canales de comunicación genera un incremento en la tasa de conversión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Carlos Fidel Tonguino Rosero</author>
  </authors>
  <commentList>
    <comment ref="L45" authorId="0" shapeId="0" xr:uid="{93C3DDE6-FC78-B640-A40F-DBB314269F9A}">
      <text>
        <r>
          <rPr>
            <sz val="10"/>
            <color rgb="FF000000"/>
            <rFont val="Tahoma"/>
            <family val="2"/>
          </rPr>
          <t>La tasa de recompra considra los clientes con polizas de arrendamiento adquiridas en la año pasado, el objetivo de tasa de re compra es del 90%</t>
        </r>
      </text>
    </comment>
    <comment ref="L60" authorId="0" shapeId="0" xr:uid="{6405E480-CDA3-5844-8459-0D80E42C9FE7}">
      <text>
        <r>
          <rPr>
            <sz val="9"/>
            <color rgb="FF000000"/>
            <rFont val="Tahoma"/>
            <family val="2"/>
          </rPr>
          <t xml:space="preserve">Para medir el trafijo organico se toma como base los clientes que ya cuentan con producto de arrendamiento y que fueron adquiridos en la validación del MVP
</t>
        </r>
      </text>
    </comment>
    <comment ref="L63" authorId="0" shapeId="0" xr:uid="{7C5A1C33-3591-4C48-BD83-2C4097FE85F5}">
      <text>
        <r>
          <rPr>
            <sz val="10"/>
            <color rgb="FF000000"/>
            <rFont val="Tahoma"/>
            <family val="2"/>
          </rPr>
          <t>La tasa de recompra considra los clientes con polizas de arrendamiento adquiridas en la año pasado, el objetivo de tasa de re compra es del 90%</t>
        </r>
      </text>
    </comment>
    <comment ref="L78" authorId="0" shapeId="0" xr:uid="{ACA63A47-A905-8041-8799-5C29C701B79A}">
      <text>
        <r>
          <rPr>
            <sz val="9"/>
            <color rgb="FF000000"/>
            <rFont val="Tahoma"/>
            <family val="2"/>
          </rPr>
          <t xml:space="preserve">Para medir el trafijo organico se toma como base los clientes que ya cuentan con producto de arrendamiento y que fueron adquiridos en la validación del MVP
</t>
        </r>
      </text>
    </comment>
    <comment ref="L81" authorId="0" shapeId="0" xr:uid="{9B5FC43A-4F6C-0A4B-B5D6-E9957132E1F2}">
      <text>
        <r>
          <rPr>
            <sz val="10"/>
            <color rgb="FF000000"/>
            <rFont val="Tahoma"/>
            <family val="2"/>
          </rPr>
          <t>La tasa de recompra considra los clientes con polizas de arrendamiento adquiridas en la año pasado, el objetivo de tasa de re compra es del 90%</t>
        </r>
      </text>
    </comment>
    <comment ref="L97" authorId="0" shapeId="0" xr:uid="{D3AD2907-CF10-8740-9E01-50B74818B020}">
      <text>
        <r>
          <rPr>
            <sz val="9"/>
            <color rgb="FF000000"/>
            <rFont val="Tahoma"/>
            <family val="2"/>
          </rPr>
          <t xml:space="preserve">Estos indiadores inician en cero, debido a que es un nuevo producto, no se considerar los 9 menses de validación de hipotesis
</t>
        </r>
      </text>
    </comment>
    <comment ref="L101" authorId="0" shapeId="0" xr:uid="{4264C7B3-301E-0B48-863B-D051842E3F6A}">
      <text>
        <r>
          <rPr>
            <sz val="10"/>
            <color rgb="FF000000"/>
            <rFont val="Tahoma"/>
            <family val="2"/>
          </rPr>
          <t>Estos indicadores buscan incrementar el trafico organico de lo productos digitales de seguros. el exito en estos canales de comunicación genera un incremento en la tasa de conversión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Carlos Fidel Tonguino Rosero</author>
  </authors>
  <commentList>
    <comment ref="O6" authorId="0" shapeId="0" xr:uid="{B09968A1-15FE-1A40-8C09-726524B28CE8}">
      <text>
        <r>
          <rPr>
            <sz val="10"/>
            <color rgb="FF000000"/>
            <rFont val="Tahoma"/>
            <family val="2"/>
          </rPr>
          <t>Las tacticas del tercer año no generar cambios en la tasa de conversión. Estas tacticas buscan preprar el negocio para la siguienete etapa para comercializar data y entregar modelo actuariales para micro seguros</t>
        </r>
      </text>
    </comment>
    <comment ref="L45" authorId="0" shapeId="0" xr:uid="{9F410D8F-7D59-0A46-95DC-F867A9A583FF}">
      <text>
        <r>
          <rPr>
            <sz val="10"/>
            <color rgb="FF000000"/>
            <rFont val="Tahoma"/>
            <family val="2"/>
          </rPr>
          <t>La tasa de recompra considra los clientes con polizas de arrendamiento adquiridas en la año pasado, el objetivo de tasa de re compra es del 90%</t>
        </r>
      </text>
    </comment>
    <comment ref="L60" authorId="0" shapeId="0" xr:uid="{134C37BE-BAB5-5E47-A848-DFBE79E1C4DB}">
      <text>
        <r>
          <rPr>
            <sz val="9"/>
            <color rgb="FF000000"/>
            <rFont val="Tahoma"/>
            <family val="2"/>
          </rPr>
          <t xml:space="preserve">Para medir el trafijo organico se toma como base los clientes que ya cuentan con producto de arrendamiento y que fueron adquiridos en la validación del MVP
</t>
        </r>
      </text>
    </comment>
    <comment ref="L63" authorId="0" shapeId="0" xr:uid="{8B6F8E3E-D71A-3B46-9F8E-D75A1C29695B}">
      <text>
        <r>
          <rPr>
            <sz val="10"/>
            <color rgb="FF000000"/>
            <rFont val="Tahoma"/>
            <family val="2"/>
          </rPr>
          <t>La tasa de recompra considra los clientes con polizas de arrendamiento adquiridas en la año pasado, el objetivo de tasa de re compra es del 90%</t>
        </r>
      </text>
    </comment>
    <comment ref="L78" authorId="0" shapeId="0" xr:uid="{C20D3990-E544-A541-94BF-673CD79DAB24}">
      <text>
        <r>
          <rPr>
            <sz val="9"/>
            <color rgb="FF000000"/>
            <rFont val="Tahoma"/>
            <family val="2"/>
          </rPr>
          <t xml:space="preserve">Para medir el trafijo organico se toma como base los clientes que ya cuentan con producto de arrendamiento y que fueron adquiridos en la validación del MVP
</t>
        </r>
      </text>
    </comment>
    <comment ref="L81" authorId="0" shapeId="0" xr:uid="{67FCD678-A174-544C-93B1-1DC3BE6BB7EF}">
      <text>
        <r>
          <rPr>
            <sz val="10"/>
            <color rgb="FF000000"/>
            <rFont val="Tahoma"/>
            <family val="2"/>
          </rPr>
          <t>La tasa de recompra considra los clientes con polizas de arrendamiento adquiridas en la año pasado, el objetivo de tasa de re compra es del 90%</t>
        </r>
      </text>
    </comment>
    <comment ref="L97" authorId="0" shapeId="0" xr:uid="{83455FCB-3D91-BC4C-8C3F-187C8A8EA935}">
      <text>
        <r>
          <rPr>
            <sz val="9"/>
            <color rgb="FF000000"/>
            <rFont val="Tahoma"/>
            <family val="2"/>
          </rPr>
          <t xml:space="preserve">Estos indiadores inician en cero, debido a que es un nuevo producto, no se considerar los 9 menses de validación de hipotesis
</t>
        </r>
      </text>
    </comment>
    <comment ref="L101" authorId="0" shapeId="0" xr:uid="{ED84137E-0C17-9B4F-A883-FFFBC5E8A22A}">
      <text>
        <r>
          <rPr>
            <sz val="10"/>
            <color rgb="FF000000"/>
            <rFont val="Tahoma"/>
            <family val="2"/>
          </rPr>
          <t>Estos indicadores buscan incrementar el trafico organico de lo productos digitales de seguros. el exito en estos canales de comunicación genera un incremento en la tasa de conversión</t>
        </r>
      </text>
    </comment>
  </commentList>
</comments>
</file>

<file path=xl/sharedStrings.xml><?xml version="1.0" encoding="utf-8"?>
<sst xmlns="http://schemas.openxmlformats.org/spreadsheetml/2006/main" count="1133" uniqueCount="576">
  <si>
    <t>Costos  Fijos</t>
  </si>
  <si>
    <t>Equipo de desarrollo</t>
  </si>
  <si>
    <t>Líder de Seguros</t>
  </si>
  <si>
    <t>Gastos Fijos</t>
  </si>
  <si>
    <t>Observaciones</t>
  </si>
  <si>
    <t>El equipo de desarrollo es el responsable de mantener y evolucionar el canal digital de ventas</t>
  </si>
  <si>
    <t>Costos y Gastos Variables</t>
  </si>
  <si>
    <t>Recurrencia</t>
  </si>
  <si>
    <t>Valor estimado</t>
  </si>
  <si>
    <t>Comisiones - Lider de Seguros</t>
  </si>
  <si>
    <t>Mensual</t>
  </si>
  <si>
    <t>Servicios de Cloud</t>
  </si>
  <si>
    <t>La comisiones para el Líder de seguros se pagan  mensual y se calculan  sobre el numero de Ventas del canal digital, inicialmente se considra sobre un 3% sobre las transacciones. Durante el MVP no hay pago de comisiones debido a que no existen ventas</t>
  </si>
  <si>
    <t>Licencimiento, herramientas ofimaticas e Internet, PC</t>
  </si>
  <si>
    <t>Servicios Juridicos</t>
  </si>
  <si>
    <t>Servicios Juridicos por demanda</t>
  </si>
  <si>
    <t>Servicios de contabilidad</t>
  </si>
  <si>
    <t>Servicios de outsourcing de contabilidad</t>
  </si>
  <si>
    <t>Responsable de trabajar en conjunto con las aseguradoras para la negoación de las comisiones, los servicios de soporte y la gestión comercial del canal digital de ventas</t>
  </si>
  <si>
    <t>Uso de un proveedor de servicios de la nube para mantener la infraestructura de software requerida por el producto digital. Este costo se mide sobre el total de transacciones estimadas. Durante el MVP el consumo inicial se calcula sobre los servicios usados. Durante el MVP este costo es fijo, ya que no hay transacciones</t>
  </si>
  <si>
    <t>El equipo trabaja de forma remota, las herramientas ofimaticas y herramientas de desarrollo de software seran licenciadas por cada rol integrante del equpo.
Se consideran un 50% de costos adicionales sobre el costo salarial del equipo</t>
  </si>
  <si>
    <t>Cano</t>
  </si>
  <si>
    <r>
      <t>1.</t>
    </r>
    <r>
      <rPr>
        <sz val="7"/>
        <color theme="1"/>
        <rFont val="Times New Roman"/>
        <family val="1"/>
      </rPr>
      <t xml:space="preserve">     </t>
    </r>
    <r>
      <rPr>
        <sz val="12"/>
        <color theme="1"/>
        <rFont val="Times New Roman"/>
        <family val="1"/>
      </rPr>
      <t>Comisiones pagadas por las aseguradas para el Ramo  “Propiedad e ingeniería”</t>
    </r>
  </si>
  <si>
    <r>
      <t xml:space="preserve">11% al 14, 4% sobre las primas emitidas </t>
    </r>
    <r>
      <rPr>
        <sz val="12"/>
        <color rgb="FF000000"/>
        <rFont val="Times New Roman"/>
        <family val="1"/>
      </rPr>
      <t>(Faselcoda, 2021)</t>
    </r>
  </si>
  <si>
    <r>
      <t>2.</t>
    </r>
    <r>
      <rPr>
        <sz val="7"/>
        <color theme="1"/>
        <rFont val="Times New Roman"/>
        <family val="1"/>
      </rPr>
      <t xml:space="preserve">     </t>
    </r>
    <r>
      <rPr>
        <sz val="12"/>
        <color theme="1"/>
        <rFont val="Times New Roman"/>
        <family val="1"/>
      </rPr>
      <t>Total de primas emitidas para el año 2021 para el Tipo de Ramo “Daños”</t>
    </r>
  </si>
  <si>
    <r>
      <t xml:space="preserve">2,489  miles de millones de pesos </t>
    </r>
    <r>
      <rPr>
        <sz val="12"/>
        <color rgb="FF000000"/>
        <rFont val="Times New Roman"/>
        <family val="1"/>
      </rPr>
      <t>(Faselcoda, 2021)</t>
    </r>
    <r>
      <rPr>
        <sz val="12"/>
        <color theme="1"/>
        <rFont val="Times New Roman"/>
        <family val="1"/>
      </rPr>
      <t xml:space="preserve">  </t>
    </r>
  </si>
  <si>
    <r>
      <t>3.</t>
    </r>
    <r>
      <rPr>
        <sz val="7"/>
        <color theme="1"/>
        <rFont val="Times New Roman"/>
        <family val="1"/>
      </rPr>
      <t xml:space="preserve">     </t>
    </r>
    <r>
      <rPr>
        <sz val="12"/>
        <color theme="1"/>
        <rFont val="Times New Roman"/>
        <family val="1"/>
      </rPr>
      <t>Hipótesis numero de visitas al portal de comercialización: 18 millones de visitas al año.</t>
    </r>
  </si>
  <si>
    <t>Ejemplo Metro Cuadrado, Finca Raíz. Este estimado es del conocimiento de la industria y se basa en datos privados.</t>
  </si>
  <si>
    <r>
      <t>4.</t>
    </r>
    <r>
      <rPr>
        <sz val="7"/>
        <color theme="1"/>
        <rFont val="Times New Roman"/>
        <family val="1"/>
      </rPr>
      <t xml:space="preserve">     </t>
    </r>
    <r>
      <rPr>
        <sz val="12"/>
        <color theme="1"/>
        <rFont val="Times New Roman"/>
        <family val="1"/>
      </rPr>
      <t>Hipótesis tasa de conversión al Canal digital de seguros de arrendamiento: 0,5 %</t>
    </r>
  </si>
  <si>
    <r>
      <t>5.</t>
    </r>
    <r>
      <rPr>
        <sz val="7"/>
        <color theme="1"/>
        <rFont val="Times New Roman"/>
        <family val="1"/>
      </rPr>
      <t xml:space="preserve">     </t>
    </r>
    <r>
      <rPr>
        <sz val="12"/>
        <color theme="1"/>
        <rFont val="Times New Roman"/>
        <family val="1"/>
      </rPr>
      <t>Hipótesis tasa de conversión  Venta de Seguro: 5%</t>
    </r>
  </si>
  <si>
    <r>
      <t>6.</t>
    </r>
    <r>
      <rPr>
        <sz val="7"/>
        <color theme="1"/>
        <rFont val="Times New Roman"/>
        <family val="1"/>
      </rPr>
      <t xml:space="preserve">     </t>
    </r>
    <r>
      <rPr>
        <sz val="12"/>
        <color theme="1"/>
        <rFont val="Times New Roman"/>
        <family val="1"/>
      </rPr>
      <t>Tiempo de operación del canal: 6 meses</t>
    </r>
  </si>
  <si>
    <r>
      <t>7.</t>
    </r>
    <r>
      <rPr>
        <sz val="7"/>
        <color theme="1"/>
        <rFont val="Times New Roman"/>
        <family val="1"/>
      </rPr>
      <t xml:space="preserve">     </t>
    </r>
    <r>
      <rPr>
        <sz val="12"/>
        <color theme="1"/>
        <rFont val="Times New Roman"/>
        <family val="1"/>
      </rPr>
      <t>Rango de canon de arrendamiento + administración: $1.200.000 a $2.500.000</t>
    </r>
  </si>
  <si>
    <r>
      <t>8.</t>
    </r>
    <r>
      <rPr>
        <sz val="7"/>
        <color theme="1"/>
        <rFont val="Times New Roman"/>
        <family val="1"/>
      </rPr>
      <t xml:space="preserve">     </t>
    </r>
    <r>
      <rPr>
        <sz val="12"/>
        <color theme="1"/>
        <rFont val="Times New Roman"/>
        <family val="1"/>
      </rPr>
      <t>Hipótesis valor de la prima sobre el canon anual de arrendamiento: 4%</t>
    </r>
  </si>
  <si>
    <r>
      <t>9.</t>
    </r>
    <r>
      <rPr>
        <sz val="7"/>
        <color theme="1"/>
        <rFont val="Times New Roman"/>
        <family val="1"/>
      </rPr>
      <t xml:space="preserve">     </t>
    </r>
    <r>
      <rPr>
        <sz val="12"/>
        <color theme="1"/>
        <rFont val="Times New Roman"/>
        <family val="1"/>
      </rPr>
      <t>Hipótesis: Los costos de comisiones por uso de las pasarelas de pago y medios de pago son asumidas por la aseguradora</t>
    </r>
  </si>
  <si>
    <r>
      <t>10.</t>
    </r>
    <r>
      <rPr>
        <sz val="7"/>
        <color theme="1"/>
        <rFont val="Times New Roman"/>
        <family val="1"/>
      </rPr>
      <t xml:space="preserve">  </t>
    </r>
    <r>
      <rPr>
        <sz val="12"/>
        <color theme="1"/>
        <rFont val="Times New Roman"/>
        <family val="1"/>
      </rPr>
      <t>Hipótesis de Up front fee por aseguradora: $328.000.000</t>
    </r>
  </si>
  <si>
    <r>
      <t>·</t>
    </r>
    <r>
      <rPr>
        <sz val="7"/>
        <color theme="1"/>
        <rFont val="Times New Roman"/>
        <family val="1"/>
      </rPr>
      <t xml:space="preserve">      </t>
    </r>
    <r>
      <rPr>
        <sz val="12"/>
        <color theme="1"/>
        <rFont val="Times New Roman"/>
        <family val="1"/>
      </rPr>
      <t>Negociación de pago anticipado de comisiones con las aseguradoras</t>
    </r>
  </si>
  <si>
    <r>
      <t>·</t>
    </r>
    <r>
      <rPr>
        <sz val="7"/>
        <color theme="1"/>
        <rFont val="Times New Roman"/>
        <family val="1"/>
      </rPr>
      <t xml:space="preserve">      </t>
    </r>
    <r>
      <rPr>
        <sz val="12"/>
        <color theme="1"/>
        <rFont val="Times New Roman"/>
        <family val="1"/>
      </rPr>
      <t>Para el comparador se suponen 3 aseguradas.</t>
    </r>
  </si>
  <si>
    <r>
      <t>·</t>
    </r>
    <r>
      <rPr>
        <sz val="7"/>
        <color theme="1"/>
        <rFont val="Times New Roman"/>
        <family val="1"/>
      </rPr>
      <t xml:space="preserve">      </t>
    </r>
    <r>
      <rPr>
        <sz val="12"/>
        <color theme="1"/>
        <rFont val="Times New Roman"/>
        <family val="1"/>
      </rPr>
      <t>El Up front fee busca cubrir las necesidades de caja y reducir el burn rate</t>
    </r>
  </si>
  <si>
    <t>Comisión</t>
  </si>
  <si>
    <t>PERT</t>
  </si>
  <si>
    <t>Canon de arrendamiento</t>
  </si>
  <si>
    <t>Tasa de conversión Canal Digital</t>
  </si>
  <si>
    <t>Tasa de conversión venta</t>
  </si>
  <si>
    <t xml:space="preserve">Optimista </t>
  </si>
  <si>
    <t>Mas Probable</t>
  </si>
  <si>
    <t>Pesimista</t>
  </si>
  <si>
    <t>Esperado</t>
  </si>
  <si>
    <t>Numero de Visitas al año</t>
  </si>
  <si>
    <t>Conversión ventas al año</t>
  </si>
  <si>
    <t>Conversion canal Digital al año</t>
  </si>
  <si>
    <t>Costo</t>
  </si>
  <si>
    <t>Prima Anual</t>
  </si>
  <si>
    <t>Comisión por prima</t>
  </si>
  <si>
    <t>Comisión anual</t>
  </si>
  <si>
    <t>Comisión 6 meses</t>
  </si>
  <si>
    <t>Up front fee</t>
  </si>
  <si>
    <t>Ingresos totales</t>
  </si>
  <si>
    <t>Punto de Equilibrio</t>
  </si>
  <si>
    <t>Costos y Gastos</t>
  </si>
  <si>
    <t>Valor por Unidad</t>
  </si>
  <si>
    <t>Numero de polizas</t>
  </si>
  <si>
    <t>Comisiones del Líder de Seguridad po poliza</t>
  </si>
  <si>
    <t>Total comisiones Líder de Seguridad</t>
  </si>
  <si>
    <t>Valor</t>
  </si>
  <si>
    <t>Unidades</t>
  </si>
  <si>
    <t>Costos</t>
  </si>
  <si>
    <t>Ingresos</t>
  </si>
  <si>
    <t>Tasa de Conversión Canal Digital</t>
  </si>
  <si>
    <t>Tasa de conversión Venta</t>
  </si>
  <si>
    <t>Mes</t>
  </si>
  <si>
    <t>Tasa de crecimiento Ventas</t>
  </si>
  <si>
    <t>Numero de Polizas Vendidas</t>
  </si>
  <si>
    <t xml:space="preserve">Comisión </t>
  </si>
  <si>
    <t>Comisión líder de Seguros</t>
  </si>
  <si>
    <t>Valor de la prima sobre el canon de arrendamiento</t>
  </si>
  <si>
    <t>Burn Rate</t>
  </si>
  <si>
    <t>PERT Canon de arrendamiento anual</t>
  </si>
  <si>
    <t xml:space="preserve">Burn rate Mes </t>
  </si>
  <si>
    <t>Costos de Marketing</t>
  </si>
  <si>
    <t>Costo total de marketing</t>
  </si>
  <si>
    <t>Costo de Marketing</t>
  </si>
  <si>
    <t>Carga Prestacional</t>
  </si>
  <si>
    <t>Incremento Salarial</t>
  </si>
  <si>
    <t>Rol</t>
  </si>
  <si>
    <t>Seniority</t>
  </si>
  <si>
    <t>Numer de personas</t>
  </si>
  <si>
    <t>Salario 2021</t>
  </si>
  <si>
    <t xml:space="preserve">  + incremento 2022</t>
  </si>
  <si>
    <t xml:space="preserve"> + Prestacional (52%)</t>
  </si>
  <si>
    <t>Arquitecto de Software</t>
  </si>
  <si>
    <t>Semi senior</t>
  </si>
  <si>
    <t>Desarrollador Back End</t>
  </si>
  <si>
    <t>Desarrollador Front End</t>
  </si>
  <si>
    <t>UX/UI</t>
  </si>
  <si>
    <t>Scrum Master</t>
  </si>
  <si>
    <t>Product Owner</t>
  </si>
  <si>
    <t>DevOps</t>
  </si>
  <si>
    <t>QA</t>
  </si>
  <si>
    <t>Costo Mensual</t>
  </si>
  <si>
    <t>Ingeniero de Datos</t>
  </si>
  <si>
    <t>Cientifico de Datos</t>
  </si>
  <si>
    <t>Equipo insurtech</t>
  </si>
  <si>
    <t>Costos Variables</t>
  </si>
  <si>
    <t>Comisión Líder de Seguros</t>
  </si>
  <si>
    <t>Costos Cloud</t>
  </si>
  <si>
    <t>Comisión canal de venta</t>
  </si>
  <si>
    <t>Año 1</t>
  </si>
  <si>
    <t>Costo de verificación de identidad</t>
  </si>
  <si>
    <t>Total costos variables</t>
  </si>
  <si>
    <t>Comisión seguros mayores</t>
  </si>
  <si>
    <t>Los seguros mayores se considerar seguros de gran valor que tienen altas comisiones y valores altos de prima</t>
  </si>
  <si>
    <t>Comisión Seguros SOAT</t>
  </si>
  <si>
    <t>Tasa de recomendación</t>
  </si>
  <si>
    <t>Tasa de recompra</t>
  </si>
  <si>
    <t xml:space="preserve">sobre la comisión pagada por la aseguradora </t>
  </si>
  <si>
    <t>sobre el de la comisión pagada por la aseguradora</t>
  </si>
  <si>
    <t>Supuesto de la Conversión</t>
  </si>
  <si>
    <t>Sarlaft Digital</t>
  </si>
  <si>
    <t>SOAT</t>
  </si>
  <si>
    <t>Todo Riesgo</t>
  </si>
  <si>
    <t>Estrategia de Outbount SOAT</t>
  </si>
  <si>
    <t>Estrategia de outbound Todo Riesgo</t>
  </si>
  <si>
    <t>Estrategia de OutBound Seguros de Arrendamiento</t>
  </si>
  <si>
    <t>Costo de Call Center</t>
  </si>
  <si>
    <t>Valor Poliza SOAT</t>
  </si>
  <si>
    <t>Supuestos de Ingresos</t>
  </si>
  <si>
    <t xml:space="preserve">Valor bien asegurado Arrendamiento </t>
  </si>
  <si>
    <t>Valor bien asegurado Todo Riesgo</t>
  </si>
  <si>
    <t>Integración reporte de Sinietros</t>
  </si>
  <si>
    <t>% de la poliza Arrendamiento</t>
  </si>
  <si>
    <t>sobre el valor del bien asegurado</t>
  </si>
  <si>
    <t>% de la poliza Todo Riesgo</t>
  </si>
  <si>
    <t>Numero de visitas al año Canal de Ventas</t>
  </si>
  <si>
    <t>% de crecimiento de visitas mensuales</t>
  </si>
  <si>
    <t xml:space="preserve">Promedio de Visitas Mensuales </t>
  </si>
  <si>
    <t>Numero de Vistas Canal 1 / Canal de Vivienda y Arrendamiento</t>
  </si>
  <si>
    <t>Tasa de conversión canal digital 1 ( numero de visitas al landing de seguros)</t>
  </si>
  <si>
    <t>Incremento Tasa de conversión de venta Sarlaft Digital</t>
  </si>
  <si>
    <t>Tasa de conversión ventas de Seguros (numero de polizas emitidas)</t>
  </si>
  <si>
    <t>Valor polizas Vendidas</t>
  </si>
  <si>
    <t>Valor de la comisión</t>
  </si>
  <si>
    <t>Total del Año</t>
  </si>
  <si>
    <t>Tasa de de conversión</t>
  </si>
  <si>
    <t>Tasa de conversión en la cotización</t>
  </si>
  <si>
    <t>Tasa de conversión selección de Poliza</t>
  </si>
  <si>
    <t>Tasa de conversion Onbording/validación de Identidad</t>
  </si>
  <si>
    <t>Tasa de conversión Firma de Documentos</t>
  </si>
  <si>
    <t>Tasa de conversión Pago Poliza</t>
  </si>
  <si>
    <t>Firma Digital de Documentos</t>
  </si>
  <si>
    <t>Tasa de conversión Inicio de cotización(1-Tasa de Rebote)</t>
  </si>
  <si>
    <t>Arrendamiento</t>
  </si>
  <si>
    <t>Valor de la prima 77, para vehiculos de cilindraje &lt;=1500 c.c, para e año 2022</t>
  </si>
  <si>
    <t>Numero de Vistas Canal 2/ Canal de Vehiculos</t>
  </si>
  <si>
    <t>Tacticas</t>
  </si>
  <si>
    <t>Indicadores clave para generar mayor tasa de conversión</t>
  </si>
  <si>
    <t>Tasa de re publicación. - Redes Sociales</t>
  </si>
  <si>
    <t>Tasa trafijo organico desde el Inbound</t>
  </si>
  <si>
    <t>SEO</t>
  </si>
  <si>
    <t>Todo riesgo Vehiculos</t>
  </si>
  <si>
    <t>Costos Fijos</t>
  </si>
  <si>
    <t>Equipo de trabajo</t>
  </si>
  <si>
    <t>Total Costos Variables</t>
  </si>
  <si>
    <t>Total Comisiones Año 1</t>
  </si>
  <si>
    <t>Porcentaje sobre 
Tasa de conversión Inicio de cotización(1-Tasa de Rebote)</t>
  </si>
  <si>
    <t>Porcentaje sobre 
Tasa de conversión en la cotización</t>
  </si>
  <si>
    <t>Porcentaje sobre 
Tasa de conversión Firma de Documentos</t>
  </si>
  <si>
    <t>Servicios Contables</t>
  </si>
  <si>
    <t>Incremento Servicios contables por mes</t>
  </si>
  <si>
    <t>Total costos Fijos</t>
  </si>
  <si>
    <t>Ingreso nuevo Canal de Ventas
SOAT
Renovación Polizas de Arrendamientos</t>
  </si>
  <si>
    <t>Tasa de conversión canal digital 1 ( numero de visitas al landing de seguros que vienen del canal)</t>
  </si>
  <si>
    <t>Trafico Organico ( resultado directo de la conversión de las estrategias de inbound)</t>
  </si>
  <si>
    <t>Numero de clientes con renovación de producto</t>
  </si>
  <si>
    <t>Numero de clientes activos</t>
  </si>
  <si>
    <t>Numero de polizas vendidas</t>
  </si>
  <si>
    <t>Indicadores de Adquisión, mantenimiento y soporte del cliente</t>
  </si>
  <si>
    <t>CAC Costo de adquisión de clientes</t>
  </si>
  <si>
    <t>Customer lifetime value - Valor del tiempo de vida del cliente</t>
  </si>
  <si>
    <t>Tasa de retención de clientes</t>
  </si>
  <si>
    <t>Costo de mantenimiento del cliente</t>
  </si>
  <si>
    <t>Ingresos Anuales</t>
  </si>
  <si>
    <t>Clientes totales al año</t>
  </si>
  <si>
    <t>Valor de compra medio al año/ Valor promedio de los ingresos por comisión</t>
  </si>
  <si>
    <t>Numero de polizas vendidas sin recompra</t>
  </si>
  <si>
    <t>Tasa de frecuencia de compra</t>
  </si>
  <si>
    <t>Clientes nuevos al año/ Unica compra en el año 1</t>
  </si>
  <si>
    <t>Valor del cliente</t>
  </si>
  <si>
    <t>años</t>
  </si>
  <si>
    <t>Life time Value</t>
  </si>
  <si>
    <t>Estrategia de Outbount Todo Riesgo</t>
  </si>
  <si>
    <t>Numero de años que un cliente se queda en la compañía</t>
  </si>
  <si>
    <t>Salario 2022</t>
  </si>
  <si>
    <t xml:space="preserve">  + incremento 2023</t>
  </si>
  <si>
    <t>Año 2</t>
  </si>
  <si>
    <t>Renovación de Polizas</t>
  </si>
  <si>
    <t>Costo fijos y variables mensuales MVP</t>
  </si>
  <si>
    <t>Año 3</t>
  </si>
  <si>
    <t>IPC</t>
  </si>
  <si>
    <t>Renovación de Polizas
inbound Marketing</t>
  </si>
  <si>
    <t>Renovación de Polizas
inboud Marketing</t>
  </si>
  <si>
    <t>Renovación de Polizas
Revaluación de Journey- Preguntas Correctas</t>
  </si>
  <si>
    <t>Revaluacón Journey Seguros de Arrendamiento- Preguntas correctas ( evaluar los resultados del Journey para reducir la tasa de rebote</t>
  </si>
  <si>
    <t>Tasa de Conversion Inicial = (1-tasa de rebote)</t>
  </si>
  <si>
    <t>Valor polizas Vendidas de recompra</t>
  </si>
  <si>
    <t>Integración reporte de siniestros</t>
  </si>
  <si>
    <t>Motor de datos y Motor actuarial</t>
  </si>
  <si>
    <t>Revaluación del Journey - Preguntas correctas</t>
  </si>
  <si>
    <t>Salario 2023</t>
  </si>
  <si>
    <t xml:space="preserve">  + incremento 2024</t>
  </si>
  <si>
    <t>Parametro</t>
  </si>
  <si>
    <t>Simbolo</t>
  </si>
  <si>
    <t>Tasa de Impuesto EEUU</t>
  </si>
  <si>
    <t>Tasa de Impuestos Colombia</t>
  </si>
  <si>
    <t>Tasa Libre de riesgo</t>
  </si>
  <si>
    <t>Retorno Esperado del mercado</t>
  </si>
  <si>
    <t>Market Risk Premium</t>
  </si>
  <si>
    <t>Credit default swap Colombia 10 years</t>
  </si>
  <si>
    <t>CDS</t>
  </si>
  <si>
    <t>Supuestos</t>
  </si>
  <si>
    <t>1. Se considera que la agencia digital de seguros es una empresa que pertenece al sector del software y no al sector financieros o de aseguramiento, ya que se basa en el concepto de intermediación digital para vender un producto de seguros mediante canales digitales.</t>
  </si>
  <si>
    <t>2. Se considera que la agencia digital de seguros es una empresa de software ya que sus principales activos son aplicaciones y soluciones de software para internet y data, al ser un intermediador para las aseguradores y re aseguradoras</t>
  </si>
  <si>
    <t>3. Al ser un intraemprendimiento se espera que gran parte de su financiación se por medio de equity, pero el el up front fee comprometido con las aseguradores se puede considerar deuda</t>
  </si>
  <si>
    <t>5. Se agrega el riesgo pais a estos datos para considerar las inversiones en el pais local</t>
  </si>
  <si>
    <t>4. se toma como base los datos de damoran en su ultima publicación a enero 5 de 2022 para hacer el calculo de Wacc de la industria</t>
  </si>
  <si>
    <t>6. Al ser un interaemprendimiento y estar en las fases de capital semilla, es la empresa padre la que financia inicialmente al empredimiento</t>
  </si>
  <si>
    <t>7. Los OKRs comprometidos y los supuestos de contabilidad de innovación, permiten estimar una generación de caja suficiente para que el 1er año de operación la agencia no debe financiarse por otros medios que no sea su propio dinero</t>
  </si>
  <si>
    <t>Fecha</t>
  </si>
  <si>
    <t>% var.</t>
  </si>
  <si>
    <t>S&amp;P 500 a 10 años</t>
  </si>
  <si>
    <t>Promedio Semanal RS&amp;P500 - Rf</t>
  </si>
  <si>
    <t>Promedio Anual RS&amp;P500</t>
  </si>
  <si>
    <t>Sobre el S&amp;P 500 a 10 años, Semana 15 de abril 2022</t>
  </si>
  <si>
    <t>10 años a partir del 15 de marzo de 2012</t>
  </si>
  <si>
    <t>13 de abril 2022</t>
  </si>
  <si>
    <t>1. Calculo del Beta</t>
  </si>
  <si>
    <t>Software Internet</t>
  </si>
  <si>
    <t>σ2 semanal</t>
  </si>
  <si>
    <t>Equity Risk Premiun - Software Internet</t>
  </si>
  <si>
    <t>3. Ke USD Nominal</t>
  </si>
  <si>
    <t>Ke</t>
  </si>
  <si>
    <t>3. Devaluación Esperada</t>
  </si>
  <si>
    <t>10-Year Breakeven Inflation Rate</t>
  </si>
  <si>
    <t>Estimación Inflación Colombia</t>
  </si>
  <si>
    <t>TES 10 años yield UVR</t>
  </si>
  <si>
    <t>Devaluación Esperada</t>
  </si>
  <si>
    <t>4. Ke en pesos Colombianos</t>
  </si>
  <si>
    <t>Parámetros de Mercado CAPM</t>
  </si>
  <si>
    <t>2. Prima de riesgo País</t>
  </si>
  <si>
    <t>Costo de Capital/WACC</t>
  </si>
  <si>
    <t>Probabilidad de Éxito</t>
  </si>
  <si>
    <t xml:space="preserve">Tasa de Retorno (Hurdle rate) </t>
  </si>
  <si>
    <t>T</t>
  </si>
  <si>
    <t>año 2</t>
  </si>
  <si>
    <t>año 3</t>
  </si>
  <si>
    <t>año 4</t>
  </si>
  <si>
    <t>Ventas</t>
  </si>
  <si>
    <t>Total ingresos</t>
  </si>
  <si>
    <t>año 1 - MVP (9 meses de operación)</t>
  </si>
  <si>
    <t>Costos y Gastos fijos</t>
  </si>
  <si>
    <t>Tasa de Impuestos</t>
  </si>
  <si>
    <t>Depreciaciones</t>
  </si>
  <si>
    <t>Utilidad Operacional antes de interes e impuestos/EBIT</t>
  </si>
  <si>
    <t>Impuestos</t>
  </si>
  <si>
    <t>Utilidad neta operacional</t>
  </si>
  <si>
    <t>Flujo de caja Neto operativo</t>
  </si>
  <si>
    <t>Total Comisiones Año 3</t>
  </si>
  <si>
    <t>Total Comisiones Año 2</t>
  </si>
  <si>
    <t>Incremento Servicios contables y servicios Juridicos por mes</t>
  </si>
  <si>
    <t>Costos y Gatos Variables</t>
  </si>
  <si>
    <t>Total Costos y Gastos</t>
  </si>
  <si>
    <t>SUPUESTOS</t>
  </si>
  <si>
    <t>DATOS ($ooo)</t>
  </si>
  <si>
    <t>ESCENARIO1: CASO BASE</t>
  </si>
  <si>
    <t>DATOS</t>
  </si>
  <si>
    <t>CRECIMIENTO EN VENTAS</t>
  </si>
  <si>
    <t>CRECIMIENTO VALOR DE CONTINUIDAD (g)</t>
  </si>
  <si>
    <t>CMV/VENTAS</t>
  </si>
  <si>
    <t>DIVIDENDOS</t>
  </si>
  <si>
    <t>G.ADMINISTRACIÓN/VENTAS</t>
  </si>
  <si>
    <t>INVENTARIOS/VENTAS</t>
  </si>
  <si>
    <t>G.VENTAS/VENTAS</t>
  </si>
  <si>
    <t>CXC/VENTAS</t>
  </si>
  <si>
    <t>OTROS ACTIVOS CORRIENTES/VENTAS</t>
  </si>
  <si>
    <t>TASA DE INTERES ACTIVA</t>
  </si>
  <si>
    <t>ACTIVOS FIJOS NETOS</t>
  </si>
  <si>
    <t>TASA DE INTERÉS PASIVA/ACTIVA</t>
  </si>
  <si>
    <t>OTROS ACTIVOS LPL</t>
  </si>
  <si>
    <t>INTERESES S/PAS.FIN.EXISTENTES</t>
  </si>
  <si>
    <t>PROVEEDORES/VENTAS</t>
  </si>
  <si>
    <t>TASA DE IMPUESTOS</t>
  </si>
  <si>
    <t>ESCENARIO 2: GUERRA DE ARANCELES USA-CHINA O BREXIT SIN NEGOCIACIÓN</t>
  </si>
  <si>
    <t>OTROS INGRESOS/VENTAS</t>
  </si>
  <si>
    <t>OTROS EGRESOS/VENTAS</t>
  </si>
  <si>
    <t>CAJA/VENTAS</t>
  </si>
  <si>
    <r>
      <t xml:space="preserve">ACTIVO </t>
    </r>
    <r>
      <rPr>
        <b/>
        <i/>
        <sz val="12"/>
        <rFont val="Verdana"/>
        <family val="2"/>
      </rPr>
      <t>CORRIENTE</t>
    </r>
    <r>
      <rPr>
        <b/>
        <sz val="12"/>
        <rFont val="Verdana"/>
        <family val="2"/>
      </rPr>
      <t xml:space="preserve"> </t>
    </r>
    <r>
      <rPr>
        <b/>
        <sz val="12"/>
        <color rgb="FF0000FF"/>
        <rFont val="Verdana"/>
        <family val="2"/>
      </rPr>
      <t>OPERATIVO</t>
    </r>
    <r>
      <rPr>
        <sz val="12"/>
        <rFont val="Verdana"/>
        <family val="2"/>
      </rPr>
      <t>/VENTAS</t>
    </r>
  </si>
  <si>
    <r>
      <t xml:space="preserve">ACTIVO </t>
    </r>
    <r>
      <rPr>
        <b/>
        <i/>
        <sz val="12"/>
        <rFont val="Verdana"/>
        <family val="2"/>
      </rPr>
      <t xml:space="preserve">CORRIENTE </t>
    </r>
    <r>
      <rPr>
        <b/>
        <sz val="12"/>
        <color rgb="FFFF0000"/>
        <rFont val="Verdana"/>
        <family val="2"/>
      </rPr>
      <t>NO OPERATIVO</t>
    </r>
    <r>
      <rPr>
        <sz val="12"/>
        <rFont val="Verdana"/>
        <family val="2"/>
      </rPr>
      <t>/VENTAS</t>
    </r>
  </si>
  <si>
    <r>
      <t xml:space="preserve">ACTIVO DE </t>
    </r>
    <r>
      <rPr>
        <b/>
        <i/>
        <sz val="12"/>
        <rFont val="Verdana"/>
        <family val="2"/>
      </rPr>
      <t>LPL</t>
    </r>
    <r>
      <rPr>
        <sz val="12"/>
        <rFont val="Verdana"/>
        <family val="2"/>
      </rPr>
      <t xml:space="preserve"> </t>
    </r>
    <r>
      <rPr>
        <b/>
        <sz val="12"/>
        <color rgb="FF0000FF"/>
        <rFont val="Verdana"/>
        <family val="2"/>
      </rPr>
      <t>OPERATIVO</t>
    </r>
  </si>
  <si>
    <r>
      <t xml:space="preserve">ACTIVO DE </t>
    </r>
    <r>
      <rPr>
        <b/>
        <i/>
        <sz val="12"/>
        <rFont val="Verdana"/>
        <family val="2"/>
      </rPr>
      <t>LPL</t>
    </r>
    <r>
      <rPr>
        <sz val="12"/>
        <rFont val="Verdana"/>
        <family val="2"/>
      </rPr>
      <t xml:space="preserve"> </t>
    </r>
    <r>
      <rPr>
        <b/>
        <sz val="12"/>
        <color rgb="FFFF0000"/>
        <rFont val="Verdana"/>
        <family val="2"/>
      </rPr>
      <t xml:space="preserve">NO OPERATIVO </t>
    </r>
  </si>
  <si>
    <t>ESCENARIO 3: GUERRA DE ARANCELES USA-CHINA Y BREXIT SIN NEGOCIACIÓN</t>
  </si>
  <si>
    <t>CXP/VENTAS</t>
  </si>
  <si>
    <t>IMPUESTOS POR PAGAR/VENTAS</t>
  </si>
  <si>
    <t>DEUDAS LABORALES POR PAGAR/VENTAS</t>
  </si>
  <si>
    <r>
      <t xml:space="preserve">PASIVO </t>
    </r>
    <r>
      <rPr>
        <b/>
        <i/>
        <sz val="12"/>
        <rFont val="Verdana"/>
        <family val="2"/>
      </rPr>
      <t>CORRIENTE</t>
    </r>
    <r>
      <rPr>
        <b/>
        <sz val="12"/>
        <rFont val="Verdana"/>
        <family val="2"/>
      </rPr>
      <t xml:space="preserve"> </t>
    </r>
    <r>
      <rPr>
        <b/>
        <sz val="12"/>
        <color rgb="FF0000FF"/>
        <rFont val="Verdana"/>
        <family val="2"/>
      </rPr>
      <t>OPERATIVO</t>
    </r>
    <r>
      <rPr>
        <sz val="12"/>
        <rFont val="Verdana"/>
        <family val="2"/>
      </rPr>
      <t>/VENTAS</t>
    </r>
  </si>
  <si>
    <t>ACREEDORES VARIOS/VENTAS</t>
  </si>
  <si>
    <r>
      <t xml:space="preserve">PASIVO </t>
    </r>
    <r>
      <rPr>
        <b/>
        <i/>
        <sz val="12"/>
        <rFont val="Verdana"/>
        <family val="2"/>
      </rPr>
      <t>CORRIENTE</t>
    </r>
    <r>
      <rPr>
        <sz val="12"/>
        <rFont val="Verdana"/>
        <family val="2"/>
      </rPr>
      <t xml:space="preserve"> </t>
    </r>
    <r>
      <rPr>
        <b/>
        <sz val="12"/>
        <color rgb="FFFF0000"/>
        <rFont val="Verdana"/>
        <family val="2"/>
      </rPr>
      <t>NO OPERATIVO</t>
    </r>
    <r>
      <rPr>
        <sz val="12"/>
        <rFont val="Verdana"/>
        <family val="2"/>
      </rPr>
      <t>/VENTAS</t>
    </r>
  </si>
  <si>
    <t>PASIVOS FINANCIEROS LPL INICIALES</t>
  </si>
  <si>
    <t>OTROS PASIVOS LPL</t>
  </si>
  <si>
    <t>DEPRECIACIÓN ACUMULADA/ACTIVOS FIJOS BRUTOS</t>
  </si>
  <si>
    <t>NOMBRE DEL ESCENARIO</t>
  </si>
  <si>
    <t>N°</t>
  </si>
  <si>
    <t>CCPP (WACC)</t>
  </si>
  <si>
    <t>CASO BASE</t>
  </si>
  <si>
    <t>INFLACION DE LARGO PLAZO - f -</t>
  </si>
  <si>
    <t>GUERRA DE ARANCELES USA-CHINA</t>
  </si>
  <si>
    <t>GUERRA ARANCELES USA-CHINA</t>
  </si>
  <si>
    <t>GUERRA DE ARANCELES USA-CHINA Y BREXIT SIN NEGOCIACIÓN</t>
  </si>
  <si>
    <t>GUERRA ARANCELES Y BREXIT SIN NEGOCIACIÓN</t>
  </si>
  <si>
    <t>ESTADO DE RESULTADOS PROYECTADO</t>
  </si>
  <si>
    <t>ESCENARIO ACTIVO</t>
  </si>
  <si>
    <t>NÚMERO</t>
  </si>
  <si>
    <t>P&amp;G</t>
  </si>
  <si>
    <t>VENTAS</t>
  </si>
  <si>
    <t>CMV</t>
  </si>
  <si>
    <t>UTILIDAD BRUTA</t>
  </si>
  <si>
    <t>G.ADMINISTRACIÓN</t>
  </si>
  <si>
    <t>G.VENTAS</t>
  </si>
  <si>
    <t>UTILIDAD OPERACIONAL</t>
  </si>
  <si>
    <t>OTROS INGRESOS</t>
  </si>
  <si>
    <t>OTROS EGRESOS</t>
  </si>
  <si>
    <t>GASTO INTERES (INGR) S/PAS.FIN.INI.</t>
  </si>
  <si>
    <t>GASTO INTERES (INGR) S/PAS.FIN.REQ.</t>
  </si>
  <si>
    <t>UTILIDAD A.Imp.</t>
  </si>
  <si>
    <t>IMPUESTOS</t>
  </si>
  <si>
    <t>UTILIDAD NETA</t>
  </si>
  <si>
    <t>GANANCIAS RETENIDAS</t>
  </si>
  <si>
    <t>ESTADO DE SITUACIÓN FINANCIERA PROYECTADO</t>
  </si>
  <si>
    <t>BALANCE</t>
  </si>
  <si>
    <t>EXCESO DE CAJA</t>
  </si>
  <si>
    <t>CAJA</t>
  </si>
  <si>
    <t>INVENTARIOS</t>
  </si>
  <si>
    <t>CUENTAS POR COBRAR</t>
  </si>
  <si>
    <r>
      <t xml:space="preserve">ACTIVO </t>
    </r>
    <r>
      <rPr>
        <b/>
        <i/>
        <sz val="12"/>
        <rFont val="Verdana"/>
        <family val="2"/>
      </rPr>
      <t>CORRIENTE</t>
    </r>
    <r>
      <rPr>
        <b/>
        <sz val="12"/>
        <rFont val="Verdana"/>
        <family val="2"/>
      </rPr>
      <t xml:space="preserve"> </t>
    </r>
    <r>
      <rPr>
        <b/>
        <sz val="12"/>
        <color rgb="FF0000FF"/>
        <rFont val="Verdana"/>
        <family val="2"/>
      </rPr>
      <t>OPERATIVO</t>
    </r>
  </si>
  <si>
    <t>OTROS ACTIVOS CORRIENTES</t>
  </si>
  <si>
    <r>
      <t xml:space="preserve">ACTIVO </t>
    </r>
    <r>
      <rPr>
        <b/>
        <i/>
        <sz val="12"/>
        <rFont val="Verdana"/>
        <family val="2"/>
      </rPr>
      <t xml:space="preserve">CORRIENTE </t>
    </r>
    <r>
      <rPr>
        <b/>
        <sz val="12"/>
        <color rgb="FFFF0000"/>
        <rFont val="Verdana"/>
        <family val="2"/>
      </rPr>
      <t xml:space="preserve">NO OPERATIVO </t>
    </r>
  </si>
  <si>
    <t>ACTIVOS FIJOS NETO</t>
  </si>
  <si>
    <r>
      <t xml:space="preserve">ACTIVO DE </t>
    </r>
    <r>
      <rPr>
        <b/>
        <i/>
        <sz val="12"/>
        <rFont val="Verdana"/>
        <family val="2"/>
      </rPr>
      <t>LPL</t>
    </r>
    <r>
      <rPr>
        <sz val="12"/>
        <rFont val="Verdana"/>
        <family val="2"/>
      </rPr>
      <t xml:space="preserve"> </t>
    </r>
    <r>
      <rPr>
        <b/>
        <sz val="12"/>
        <color rgb="FF0000FF"/>
        <rFont val="Verdana"/>
        <family val="2"/>
      </rPr>
      <t xml:space="preserve">OPERATIVO </t>
    </r>
  </si>
  <si>
    <r>
      <t xml:space="preserve">ACTIVO DE </t>
    </r>
    <r>
      <rPr>
        <b/>
        <i/>
        <sz val="12"/>
        <rFont val="Verdana"/>
        <family val="2"/>
      </rPr>
      <t>LPL</t>
    </r>
    <r>
      <rPr>
        <sz val="12"/>
        <rFont val="Verdana"/>
        <family val="2"/>
      </rPr>
      <t xml:space="preserve"> </t>
    </r>
    <r>
      <rPr>
        <b/>
        <sz val="12"/>
        <color rgb="FFFF0000"/>
        <rFont val="Verdana"/>
        <family val="2"/>
      </rPr>
      <t>NO OPERATIVO</t>
    </r>
  </si>
  <si>
    <t>ACTIVOS TOTALES</t>
  </si>
  <si>
    <t>PASIVOS FINANCIEROS REQUERIDOS</t>
  </si>
  <si>
    <t>PROVEEDORES</t>
  </si>
  <si>
    <t>CUENTAS POR PAGAR</t>
  </si>
  <si>
    <t>IMPUESTOS POR PAGAR</t>
  </si>
  <si>
    <t>DEUDAS LABORALES</t>
  </si>
  <si>
    <r>
      <t xml:space="preserve">PASIVO </t>
    </r>
    <r>
      <rPr>
        <b/>
        <i/>
        <sz val="12"/>
        <rFont val="Verdana"/>
        <family val="2"/>
      </rPr>
      <t>CORRIENTE</t>
    </r>
    <r>
      <rPr>
        <b/>
        <sz val="12"/>
        <rFont val="Verdana"/>
        <family val="2"/>
      </rPr>
      <t xml:space="preserve"> </t>
    </r>
    <r>
      <rPr>
        <b/>
        <sz val="12"/>
        <color rgb="FF0000FF"/>
        <rFont val="Verdana"/>
        <family val="2"/>
      </rPr>
      <t xml:space="preserve">OPERATIVO </t>
    </r>
  </si>
  <si>
    <t>ACREEDORES VARIOS</t>
  </si>
  <si>
    <r>
      <t xml:space="preserve">PASIVO </t>
    </r>
    <r>
      <rPr>
        <b/>
        <i/>
        <sz val="12"/>
        <rFont val="Verdana"/>
        <family val="2"/>
      </rPr>
      <t>CORRIENTE</t>
    </r>
    <r>
      <rPr>
        <sz val="12"/>
        <rFont val="Verdana"/>
        <family val="2"/>
      </rPr>
      <t xml:space="preserve"> </t>
    </r>
    <r>
      <rPr>
        <b/>
        <sz val="12"/>
        <color rgb="FFFF0000"/>
        <rFont val="Verdana"/>
        <family val="2"/>
      </rPr>
      <t>NO OPERATIVO</t>
    </r>
  </si>
  <si>
    <t>PATRIMONIO</t>
  </si>
  <si>
    <t>PASIVOS Y PATRIMONIO</t>
  </si>
  <si>
    <t>ACTIVOS FIJOS BRUTO</t>
  </si>
  <si>
    <t>DEPRECIACIÓN ACUMULADA</t>
  </si>
  <si>
    <t>ACT.TOT. SIN EXCESO DE EFECTIVO</t>
  </si>
  <si>
    <t>PAS+PAT SIN PAS.FIN.REQ.</t>
  </si>
  <si>
    <t>FER (FEN, PLUG, Variable Ajuste)</t>
  </si>
  <si>
    <t xml:space="preserve">FLUJO DE CAJA LIBRE (FCL) PROYECTADO </t>
  </si>
  <si>
    <t>PASOS METODOLÓGICOS:</t>
  </si>
  <si>
    <t>1- P&amp;G OP-NOP-FIN</t>
  </si>
  <si>
    <t>2- VARIACIONES DE LOS BALANCES</t>
  </si>
  <si>
    <t>3- ABRIR VARIACIÓN DE ACTIVOS FIJOS NETOS Y VARIACIÓN DE PATRIMONIO EN UTILIDADES Y DIVIDENDOS</t>
  </si>
  <si>
    <t>4- ABRIR UTILIDAD NETA EN TODOS SUS RUBROS</t>
  </si>
  <si>
    <t>5- AISLAR CAJA Y QUITAR SUBTOTALES - LUEGO DISTINGUIR PARTIDAS OP-NOP-FIN</t>
  </si>
  <si>
    <t>6- AGRUPAR LAS PARTIDAS POR FAMILIAS: OP-NOP-FIN</t>
  </si>
  <si>
    <t>7- ELABORAR EL FCL</t>
  </si>
  <si>
    <t>IRO</t>
  </si>
  <si>
    <t>UODI</t>
  </si>
  <si>
    <t>chk</t>
  </si>
  <si>
    <t>TOTAL CAJA</t>
  </si>
  <si>
    <t>OP</t>
  </si>
  <si>
    <t>NOP</t>
  </si>
  <si>
    <t>FIN</t>
  </si>
  <si>
    <t>FCB</t>
  </si>
  <si>
    <t>KTNO</t>
  </si>
  <si>
    <t>DILPL</t>
  </si>
  <si>
    <t>ILPL</t>
  </si>
  <si>
    <t>COE</t>
  </si>
  <si>
    <t>FCLO</t>
  </si>
  <si>
    <t>INOPdi</t>
  </si>
  <si>
    <t>CNOE</t>
  </si>
  <si>
    <t>FCL-NOP</t>
  </si>
  <si>
    <t>FCFF</t>
  </si>
  <si>
    <t>FCD</t>
  </si>
  <si>
    <t>FCDA</t>
  </si>
  <si>
    <t>FCA</t>
  </si>
  <si>
    <t>VARIACIÓN DE CAJA</t>
  </si>
  <si>
    <t>VALORACIÓN</t>
  </si>
  <si>
    <t>MÉTODO DEL FLUJO DE CAJA DESCONTADO</t>
  </si>
  <si>
    <t>SUPUESTOS Y VALORACIÓN:</t>
  </si>
  <si>
    <t>Tasa de crecimiento a perpetuidad (g)</t>
  </si>
  <si>
    <t>Costo de capital promedio ponderado (wacc)</t>
  </si>
  <si>
    <t>PERPETUIDAD</t>
  </si>
  <si>
    <t>FCLO horizonte explícito</t>
  </si>
  <si>
    <t>FCLO perpetuidad</t>
  </si>
  <si>
    <t xml:space="preserve">FCLO </t>
  </si>
  <si>
    <t>FCL-NOP horizonte explícito</t>
  </si>
  <si>
    <t>FCL-NOP perpetuidad</t>
  </si>
  <si>
    <t xml:space="preserve">FCL-NOP </t>
  </si>
  <si>
    <t xml:space="preserve"> + VALOR OPERACIONAL</t>
  </si>
  <si>
    <t xml:space="preserve"> + VALOR NO OPERACIONAL</t>
  </si>
  <si>
    <t xml:space="preserve"> = VALOR DE LA EMPRESA</t>
  </si>
  <si>
    <t xml:space="preserve"> + CAJA</t>
  </si>
  <si>
    <t xml:space="preserve"> - PASIVOS FINANCIEROS</t>
  </si>
  <si>
    <t xml:space="preserve"> = VALOR PATRIMONIAL</t>
  </si>
  <si>
    <t>si yo quiero comprar la compañía compro todas las acciones y pago esto</t>
  </si>
  <si>
    <t>ANÁLISIS DE SENSIBILIDAD:</t>
  </si>
  <si>
    <t xml:space="preserve">Sensibilidad g - wacc </t>
  </si>
  <si>
    <t>g</t>
  </si>
  <si>
    <t>WACC</t>
  </si>
  <si>
    <t>VALOR CON FUNCIÓN XNPV DE EXCEL:</t>
  </si>
  <si>
    <t xml:space="preserve">ROLLING OPERATING NPV  </t>
  </si>
  <si>
    <t>ROLLING NON OPERATING NPV</t>
  </si>
  <si>
    <t>ROLLING NPV</t>
  </si>
  <si>
    <t>MÉTODO DE LOS MÚLTIPLOS</t>
  </si>
  <si>
    <t>Industria: Household Products</t>
  </si>
  <si>
    <t>Enterprice Value (EV) Múltiplos</t>
  </si>
  <si>
    <t>EV/EBITDA</t>
  </si>
  <si>
    <t>EV/EBIT</t>
  </si>
  <si>
    <t>EV/IC</t>
  </si>
  <si>
    <t>EV/NOPLAT</t>
  </si>
  <si>
    <t>EV/SALES</t>
  </si>
  <si>
    <t>USA</t>
  </si>
  <si>
    <t>EUROPA</t>
  </si>
  <si>
    <t>PROMEDIO</t>
  </si>
  <si>
    <t>Fuente: Damodaran on line (datos 2020)</t>
  </si>
  <si>
    <t>Natura Cosméticos</t>
  </si>
  <si>
    <t>Coty (Cover Girl - Clairol)</t>
  </si>
  <si>
    <t>Estée Lauder (MAC - Clinique)</t>
  </si>
  <si>
    <t>PROMEDIO MUESTRA</t>
  </si>
  <si>
    <t xml:space="preserve">Fuente: Yahoo Finance </t>
  </si>
  <si>
    <t>Costos No Recurrentes</t>
  </si>
  <si>
    <t>Inversiones No recurrentes</t>
  </si>
  <si>
    <t>Depreciación del periodo</t>
  </si>
  <si>
    <t xml:space="preserve">EV </t>
  </si>
  <si>
    <t>EV muestra</t>
  </si>
  <si>
    <t>EBITDA ajustado</t>
  </si>
  <si>
    <t>EBIT ajustado</t>
  </si>
  <si>
    <t>IC ajustado</t>
  </si>
  <si>
    <t>NOPLAT</t>
  </si>
  <si>
    <t>SALES</t>
  </si>
  <si>
    <t>RESUMEN DE LA VALORACIÓN</t>
  </si>
  <si>
    <t>lo (bar)</t>
  </si>
  <si>
    <t>lo  (label)</t>
  </si>
  <si>
    <t>hi (bar)</t>
  </si>
  <si>
    <t>hi (label)</t>
  </si>
  <si>
    <t>EV Industria</t>
  </si>
  <si>
    <t>EV Muestra</t>
  </si>
  <si>
    <t>FCL Sensibilidad</t>
  </si>
  <si>
    <t>FCL Caso Base</t>
  </si>
  <si>
    <t>MÉTODO DEL EVA</t>
  </si>
  <si>
    <t>COEi</t>
  </si>
  <si>
    <t>COEf</t>
  </si>
  <si>
    <t>Rentabilidad del COEi</t>
  </si>
  <si>
    <t>Costo de Capital</t>
  </si>
  <si>
    <t>Diferencia</t>
  </si>
  <si>
    <t>EVA Operativo horizonte explícito</t>
  </si>
  <si>
    <t>EVA Operativo perpetuidad</t>
  </si>
  <si>
    <t>EVA Operativo</t>
  </si>
  <si>
    <t xml:space="preserve"> + Valor Presente del EVA Operativo</t>
  </si>
  <si>
    <t xml:space="preserve"> + COEi</t>
  </si>
  <si>
    <t xml:space="preserve"> = VALOR OPERACIONAL</t>
  </si>
  <si>
    <t>CNOEi</t>
  </si>
  <si>
    <t>CNOEf</t>
  </si>
  <si>
    <t>Rentabilidad del CNOEi</t>
  </si>
  <si>
    <t>EVA No Operativo horizonte eplícito</t>
  </si>
  <si>
    <t>EVA No Operativo perpetuidad</t>
  </si>
  <si>
    <t>EVA No Operativo</t>
  </si>
  <si>
    <t xml:space="preserve"> + Valor Presente del EVA No Operativo</t>
  </si>
  <si>
    <t xml:space="preserve"> + CNOEi</t>
  </si>
  <si>
    <t>VALOR NO OPERACIONAL</t>
  </si>
  <si>
    <t>VALOR DE LA EMPRESA</t>
  </si>
  <si>
    <t>MVP</t>
  </si>
  <si>
    <t>Costos fijos anuales para MVP</t>
  </si>
  <si>
    <t>Marketing Digital</t>
  </si>
  <si>
    <t>Inversión mensual en el marketing de generación de demanda</t>
  </si>
  <si>
    <t>Costos de Ventas</t>
  </si>
  <si>
    <t>upfront fee</t>
  </si>
  <si>
    <t>Costos Administrativos</t>
  </si>
  <si>
    <t>Gastos</t>
  </si>
  <si>
    <r>
      <t xml:space="preserve">PASIVO DE </t>
    </r>
    <r>
      <rPr>
        <b/>
        <i/>
        <sz val="12"/>
        <color theme="1"/>
        <rFont val="Verdana"/>
        <family val="2"/>
      </rPr>
      <t>LPL</t>
    </r>
    <r>
      <rPr>
        <sz val="11"/>
        <color theme="1"/>
        <rFont val="Verdana"/>
        <family val="2"/>
      </rPr>
      <t xml:space="preserve"> </t>
    </r>
    <r>
      <rPr>
        <b/>
        <sz val="12"/>
        <color rgb="FF0000FF"/>
        <rFont val="Verdana"/>
        <family val="2"/>
      </rPr>
      <t xml:space="preserve">OPERATIVO </t>
    </r>
  </si>
  <si>
    <r>
      <t xml:space="preserve">PASIVO DE </t>
    </r>
    <r>
      <rPr>
        <b/>
        <i/>
        <sz val="12"/>
        <color theme="1"/>
        <rFont val="Verdana"/>
        <family val="2"/>
      </rPr>
      <t>LPL</t>
    </r>
    <r>
      <rPr>
        <sz val="11"/>
        <color theme="1"/>
        <rFont val="Verdana"/>
        <family val="2"/>
      </rPr>
      <t xml:space="preserve"> </t>
    </r>
    <r>
      <rPr>
        <b/>
        <sz val="12"/>
        <color rgb="FFFF0000"/>
        <rFont val="Verdana"/>
        <family val="2"/>
      </rPr>
      <t xml:space="preserve">NO OPERATIVO </t>
    </r>
  </si>
  <si>
    <t>KTN</t>
  </si>
  <si>
    <t>CAPEX</t>
  </si>
  <si>
    <t>REVENUE</t>
  </si>
  <si>
    <t>Año</t>
  </si>
  <si>
    <t>Hippo</t>
  </si>
  <si>
    <t>Lemonade</t>
  </si>
  <si>
    <t>Utilidad Neta</t>
  </si>
  <si>
    <t>Provision de Impuestos</t>
  </si>
  <si>
    <t>Ingresos antes de Impuestos</t>
  </si>
  <si>
    <t>12/31/2020</t>
  </si>
  <si>
    <t>12/31/2021</t>
  </si>
  <si>
    <t>12/31/2019</t>
  </si>
  <si>
    <t>Estado de resultados</t>
  </si>
  <si>
    <t>Flujo de caja libre</t>
  </si>
  <si>
    <t>Emsión de deuda</t>
  </si>
  <si>
    <t>Emisión de capital</t>
  </si>
  <si>
    <t>Gasto de Capital</t>
  </si>
  <si>
    <t>Flujo de caja de financiación</t>
  </si>
  <si>
    <t>Flujo de caja de Inversión</t>
  </si>
  <si>
    <t>Flujo de caja Operativo</t>
  </si>
  <si>
    <t>Variación del campital de trabajo</t>
  </si>
  <si>
    <t>Variación en el capital de trabajo</t>
  </si>
  <si>
    <t>Gastos o perdidas no realizadas por derivados</t>
  </si>
  <si>
    <t>Otros articulos no monetarios</t>
  </si>
  <si>
    <t>Interes sobre los depositos de polizas</t>
  </si>
  <si>
    <t>Compensación basado en acciones</t>
  </si>
  <si>
    <t>Perdidas y ganaciones no realizadas</t>
  </si>
  <si>
    <t>Depreciaciones y amortizaciones</t>
  </si>
  <si>
    <t>Utilidad Neta de operaciones</t>
  </si>
  <si>
    <t>Flujo de Caja Lemonade</t>
  </si>
  <si>
    <t>% revenue total</t>
  </si>
  <si>
    <t>Grow</t>
  </si>
  <si>
    <t>Variación del capital de trabajo</t>
  </si>
  <si>
    <t>CAPEX/EBIT</t>
  </si>
  <si>
    <t>KTN/EBIT</t>
  </si>
  <si>
    <t>EBIT</t>
  </si>
  <si>
    <t>año 5</t>
  </si>
  <si>
    <t>Depreciación</t>
  </si>
  <si>
    <t>Damodaran</t>
  </si>
  <si>
    <t>Empresas de software en Internet</t>
  </si>
  <si>
    <t>Factor de descuento WACC</t>
  </si>
  <si>
    <t>VP FCF</t>
  </si>
  <si>
    <t>FCF</t>
  </si>
  <si>
    <t>Valor de la empresa</t>
  </si>
  <si>
    <t>Expectativa de la probabilidad de éxito según el enfoque metodológico propuesto</t>
  </si>
  <si>
    <t>Media de la probabilidad de éxito</t>
  </si>
  <si>
    <t>Según la probabilidad de éxito</t>
  </si>
  <si>
    <t>Probabilidad de éxito de los startups en Colombia (4 años de vida)</t>
  </si>
  <si>
    <r>
      <t>t</t>
    </r>
    <r>
      <rPr>
        <vertAlign val="subscript"/>
        <sz val="12"/>
        <color theme="1"/>
        <rFont val="Times New Roman"/>
        <family val="1"/>
      </rPr>
      <t>EEUU</t>
    </r>
  </si>
  <si>
    <r>
      <t>R</t>
    </r>
    <r>
      <rPr>
        <b/>
        <vertAlign val="subscript"/>
        <sz val="12"/>
        <color theme="4"/>
        <rFont val="Times New Roman"/>
        <family val="1"/>
      </rPr>
      <t xml:space="preserve">S&amp;P500 </t>
    </r>
    <r>
      <rPr>
        <b/>
        <sz val="12"/>
        <color theme="4"/>
        <rFont val="Times New Roman"/>
        <family val="1"/>
      </rPr>
      <t>- Rf</t>
    </r>
  </si>
  <si>
    <t>σ Semanal</t>
  </si>
  <si>
    <r>
      <t>t</t>
    </r>
    <r>
      <rPr>
        <vertAlign val="subscript"/>
        <sz val="12"/>
        <color theme="1"/>
        <rFont val="Times New Roman"/>
        <family val="1"/>
      </rPr>
      <t>Col</t>
    </r>
  </si>
  <si>
    <r>
      <t>R</t>
    </r>
    <r>
      <rPr>
        <vertAlign val="subscript"/>
        <sz val="12"/>
        <color theme="1"/>
        <rFont val="Times New Roman"/>
        <family val="1"/>
      </rPr>
      <t>f</t>
    </r>
  </si>
  <si>
    <r>
      <t>E(R</t>
    </r>
    <r>
      <rPr>
        <vertAlign val="subscript"/>
        <sz val="12"/>
        <color theme="1"/>
        <rFont val="Times New Roman"/>
        <family val="1"/>
      </rPr>
      <t>m</t>
    </r>
    <r>
      <rPr>
        <sz val="12"/>
        <color theme="1"/>
        <rFont val="Times New Roman"/>
        <family val="1"/>
      </rPr>
      <t>)</t>
    </r>
  </si>
  <si>
    <r>
      <t>MRP</t>
    </r>
    <r>
      <rPr>
        <vertAlign val="subscript"/>
        <sz val="12"/>
        <color theme="1"/>
        <rFont val="Times New Roman"/>
        <family val="1"/>
      </rPr>
      <t>(E(Rm)-Rf)</t>
    </r>
  </si>
  <si>
    <t>σ mensual</t>
  </si>
  <si>
    <r>
      <t xml:space="preserve">Sector de la compañía </t>
    </r>
    <r>
      <rPr>
        <vertAlign val="subscript"/>
        <sz val="12"/>
        <color theme="1"/>
        <rFont val="Times New Roman"/>
        <family val="1"/>
      </rPr>
      <t>(Según Damodaran)</t>
    </r>
  </si>
  <si>
    <r>
      <t>Beta</t>
    </r>
    <r>
      <rPr>
        <vertAlign val="subscript"/>
        <sz val="12"/>
        <color theme="1"/>
        <rFont val="Times New Roman"/>
        <family val="1"/>
      </rPr>
      <t>Apalancado</t>
    </r>
    <r>
      <rPr>
        <sz val="12"/>
        <color theme="1"/>
        <rFont val="Times New Roman"/>
        <family val="1"/>
      </rPr>
      <t xml:space="preserve"> - </t>
    </r>
    <r>
      <rPr>
        <vertAlign val="subscript"/>
        <sz val="12"/>
        <color theme="1"/>
        <rFont val="Times New Roman"/>
        <family val="1"/>
      </rPr>
      <t>INDUSTRIA</t>
    </r>
  </si>
  <si>
    <r>
      <t xml:space="preserve">D/E </t>
    </r>
    <r>
      <rPr>
        <vertAlign val="subscript"/>
        <sz val="12"/>
        <color theme="1"/>
        <rFont val="Times New Roman"/>
        <family val="1"/>
      </rPr>
      <t>RATIO - INDUSTRIA</t>
    </r>
  </si>
  <si>
    <r>
      <t>Beta</t>
    </r>
    <r>
      <rPr>
        <vertAlign val="subscript"/>
        <sz val="12"/>
        <color theme="1"/>
        <rFont val="Times New Roman"/>
        <family val="1"/>
      </rPr>
      <t>Desapalancado -INDUSTRIA</t>
    </r>
  </si>
  <si>
    <r>
      <t xml:space="preserve">D/E </t>
    </r>
    <r>
      <rPr>
        <vertAlign val="subscript"/>
        <sz val="12"/>
        <color theme="1"/>
        <rFont val="Times New Roman"/>
        <family val="1"/>
      </rPr>
      <t>RATIO-Agencia Digital</t>
    </r>
  </si>
  <si>
    <r>
      <t xml:space="preserve">Beta </t>
    </r>
    <r>
      <rPr>
        <b/>
        <vertAlign val="subscript"/>
        <sz val="12"/>
        <color theme="1"/>
        <rFont val="Times New Roman"/>
        <family val="1"/>
      </rPr>
      <t>Apalancado -Software internet</t>
    </r>
  </si>
  <si>
    <r>
      <t>r</t>
    </r>
    <r>
      <rPr>
        <vertAlign val="subscript"/>
        <sz val="12"/>
        <color theme="1"/>
        <rFont val="Times New Roman"/>
        <family val="1"/>
      </rPr>
      <t>f</t>
    </r>
    <r>
      <rPr>
        <sz val="12"/>
        <color theme="1"/>
        <rFont val="Times New Roman"/>
        <family val="1"/>
      </rPr>
      <t>+B</t>
    </r>
    <r>
      <rPr>
        <vertAlign val="subscript"/>
        <sz val="12"/>
        <color theme="1"/>
        <rFont val="Times New Roman"/>
        <family val="1"/>
      </rPr>
      <t>L</t>
    </r>
    <r>
      <rPr>
        <sz val="12"/>
        <color theme="1"/>
        <rFont val="Times New Roman"/>
        <family val="1"/>
      </rPr>
      <t>*(E(R</t>
    </r>
    <r>
      <rPr>
        <vertAlign val="subscript"/>
        <sz val="12"/>
        <color theme="1"/>
        <rFont val="Times New Roman"/>
        <family val="1"/>
      </rPr>
      <t>m</t>
    </r>
    <r>
      <rPr>
        <sz val="12"/>
        <color theme="1"/>
        <rFont val="Times New Roman"/>
        <family val="1"/>
      </rPr>
      <t>)-r</t>
    </r>
    <r>
      <rPr>
        <vertAlign val="subscript"/>
        <sz val="12"/>
        <color theme="1"/>
        <rFont val="Times New Roman"/>
        <family val="1"/>
      </rPr>
      <t>f</t>
    </r>
    <r>
      <rPr>
        <sz val="12"/>
        <color theme="1"/>
        <rFont val="Times New Roman"/>
        <family val="1"/>
      </rPr>
      <t>)+Riesgo_Pais</t>
    </r>
  </si>
  <si>
    <r>
      <t xml:space="preserve">Ke </t>
    </r>
    <r>
      <rPr>
        <b/>
        <vertAlign val="subscript"/>
        <sz val="12"/>
        <color theme="1"/>
        <rFont val="Times New Roman"/>
        <family val="1"/>
      </rPr>
      <t>USD Nominal</t>
    </r>
  </si>
  <si>
    <r>
      <t xml:space="preserve">Ke </t>
    </r>
    <r>
      <rPr>
        <b/>
        <vertAlign val="subscript"/>
        <sz val="12"/>
        <color theme="1"/>
        <rFont val="Times New Roman"/>
        <family val="1"/>
      </rPr>
      <t>COP Nominal</t>
    </r>
  </si>
  <si>
    <t>1.</t>
  </si>
  <si>
    <t>Costos y Gastos Fijos</t>
  </si>
  <si>
    <t>2.</t>
  </si>
  <si>
    <t xml:space="preserve">3. </t>
  </si>
  <si>
    <t>Tasa de retorno minima</t>
  </si>
  <si>
    <t xml:space="preserve">4. </t>
  </si>
  <si>
    <r>
      <t>σ</t>
    </r>
    <r>
      <rPr>
        <b/>
        <vertAlign val="superscript"/>
        <sz val="12"/>
        <color theme="0" tint="-0.499984740745262"/>
        <rFont val="Times New Roman"/>
        <family val="1"/>
      </rPr>
      <t>2</t>
    </r>
    <r>
      <rPr>
        <b/>
        <sz val="12"/>
        <color theme="0" tint="-0.499984740745262"/>
        <rFont val="Times New Roman"/>
        <family val="1"/>
      </rPr>
      <t xml:space="preserve"> semanal</t>
    </r>
  </si>
  <si>
    <t>Numero de Polizas</t>
  </si>
  <si>
    <t>Canon de arrendamiento mensual</t>
  </si>
  <si>
    <t xml:space="preserve">5. </t>
  </si>
  <si>
    <t xml:space="preserve">6. </t>
  </si>
  <si>
    <t>Contabilidad de Innovación año 2</t>
  </si>
  <si>
    <t>7.</t>
  </si>
  <si>
    <t>8.</t>
  </si>
  <si>
    <t>Contabilidad de Innovación año 3</t>
  </si>
  <si>
    <t>Contabilidad de Innovación año 4</t>
  </si>
  <si>
    <t>9.</t>
  </si>
  <si>
    <t>Analisis de Insurtechs</t>
  </si>
  <si>
    <t>10.</t>
  </si>
  <si>
    <t>Modelo Financiero</t>
  </si>
  <si>
    <t>Indice</t>
  </si>
  <si>
    <t>Hipótesis de Ingresos MVP</t>
  </si>
  <si>
    <t>Ingresos MVP Análisis PERT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</si>
</sst>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6" formatCode="&quot;$&quot;#,##0;[Red]\-&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 #,##0.00_-;\-&quot;$&quot;\ * #,##0.00_-;_-&quot;$&quot;\ * &quot;-&quot;??_-;_-@_-"/>
    <numFmt numFmtId="165" formatCode="0.0%"/>
    <numFmt numFmtId="166" formatCode="&quot;Mes&quot;\ 0"/>
    <numFmt numFmtId="167" formatCode="0.000%"/>
    <numFmt numFmtId="168" formatCode="_-&quot;$&quot;* #,##0.0_-;\-&quot;$&quot;* #,##0.0_-;_-&quot;$&quot;* &quot;-&quot;?_-;_-@_-"/>
    <numFmt numFmtId="169" formatCode="_-&quot;$&quot;* #,##0_-;\-&quot;$&quot;* #,##0_-;_-&quot;$&quot;* &quot;-&quot;??_-;_-@_-"/>
    <numFmt numFmtId="170" formatCode="0.0000%"/>
    <numFmt numFmtId="171" formatCode="0\P"/>
    <numFmt numFmtId="172" formatCode="_(* #,##0_);_(* \(#,##0\);_(* &quot;-&quot;_);_(@_)"/>
    <numFmt numFmtId="173" formatCode="_(* #,##0_);_(* \(#,##0\);_(* &quot;-&quot;??_);_(@_)"/>
    <numFmt numFmtId="174" formatCode="_(* #,##0.00_);_(* \(#,##0.00\);_(* &quot;-&quot;??_);_(@_)"/>
    <numFmt numFmtId="175" formatCode="_-* #,##0.0000_-;\-* #,##0.0000_-;_-* &quot;-&quot;_-;_-@_-"/>
    <numFmt numFmtId="176" formatCode="_(* #,##0.0000_);_(* \(#,##0.0000\);_(* &quot;-&quot;??_);_(@_)"/>
    <numFmt numFmtId="177" formatCode="_(* #,##0.000_);_(* \(#,##0.000\);_(* &quot;-&quot;??_);_(@_)"/>
    <numFmt numFmtId="178" formatCode="&quot;$&quot;\ #,##0;[Red]\-&quot;$&quot;\ #,##0"/>
    <numFmt numFmtId="179" formatCode="_-* #,##0_-;\-* #,##0_-;_-* &quot;-&quot;??_-;_-@_-"/>
    <numFmt numFmtId="180" formatCode="0.0\x"/>
    <numFmt numFmtId="181" formatCode="dd/mm/yyyy;@"/>
    <numFmt numFmtId="182" formatCode="_-* #,##0_-;\-* #,##0_-;_-* &quot;-&quot;?_-;_-@_-"/>
    <numFmt numFmtId="183" formatCode="&quot;Año&quot;\ 0"/>
    <numFmt numFmtId="184" formatCode="0.0000"/>
    <numFmt numFmtId="185" formatCode="0.0000000"/>
    <numFmt numFmtId="186" formatCode="_-&quot;$&quot;\ * #,##0_-;\-&quot;$&quot;\ * #,##0_-;_-&quot;$&quot;\ * &quot;-&quot;??_-;_-@_-"/>
  </numFmts>
  <fonts count="66" x14ac:knownFonts="1">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2"/>
      <color theme="1"/>
      <name val="Times New Roman"/>
      <family val="1"/>
    </font>
    <font>
      <sz val="7"/>
      <color theme="1"/>
      <name val="Times New Roman"/>
      <family val="1"/>
    </font>
    <font>
      <sz val="12"/>
      <color rgb="FF000000"/>
      <name val="Times New Roman"/>
      <family val="1"/>
    </font>
    <font>
      <b/>
      <sz val="12"/>
      <color theme="0"/>
      <name val="Times New Roman"/>
      <family val="1"/>
    </font>
    <font>
      <sz val="11"/>
      <color theme="1"/>
      <name val="Times New Roman"/>
      <family val="1"/>
    </font>
    <font>
      <b/>
      <sz val="11"/>
      <color theme="0"/>
      <name val="Times New Roman"/>
      <family val="1"/>
    </font>
    <font>
      <b/>
      <sz val="11"/>
      <color theme="1"/>
      <name val="Times New Roman"/>
      <family val="1"/>
    </font>
    <font>
      <b/>
      <sz val="16"/>
      <color theme="1" tint="0.34998626667073579"/>
      <name val="Times New Roman"/>
      <family val="1"/>
    </font>
    <font>
      <sz val="10"/>
      <color rgb="FF000000"/>
      <name val="Tahoma"/>
      <family val="2"/>
    </font>
    <font>
      <b/>
      <sz val="9"/>
      <color rgb="FF000000"/>
      <name val="Calibri"/>
      <family val="2"/>
    </font>
    <font>
      <sz val="9"/>
      <color rgb="FF000000"/>
      <name val="Calibri"/>
      <family val="2"/>
    </font>
    <font>
      <sz val="9"/>
      <color rgb="FF000000"/>
      <name val="Tahoma"/>
      <family val="2"/>
    </font>
    <font>
      <b/>
      <sz val="12"/>
      <color theme="1" tint="0.34998626667073579"/>
      <name val="Times New Roman"/>
      <family val="1"/>
    </font>
    <font>
      <sz val="9"/>
      <color theme="1"/>
      <name val="Times New Roman"/>
      <family val="1"/>
    </font>
    <font>
      <b/>
      <sz val="9"/>
      <color theme="0"/>
      <name val="Times New Roman"/>
      <family val="1"/>
    </font>
    <font>
      <sz val="12"/>
      <color theme="1"/>
      <name val="Verdana"/>
      <family val="2"/>
    </font>
    <font>
      <b/>
      <sz val="12"/>
      <color theme="0"/>
      <name val="Verdana"/>
      <family val="2"/>
    </font>
    <font>
      <b/>
      <u/>
      <sz val="12"/>
      <color rgb="FFFF0000"/>
      <name val="Verdana"/>
      <family val="2"/>
    </font>
    <font>
      <b/>
      <u/>
      <sz val="12"/>
      <name val="Verdana"/>
      <family val="2"/>
    </font>
    <font>
      <b/>
      <u/>
      <sz val="12"/>
      <color rgb="FF0000FF"/>
      <name val="Verdana"/>
      <family val="2"/>
    </font>
    <font>
      <b/>
      <sz val="12"/>
      <color rgb="FFFF0000"/>
      <name val="Verdana"/>
      <family val="2"/>
    </font>
    <font>
      <b/>
      <u/>
      <sz val="12"/>
      <color theme="1"/>
      <name val="Verdana"/>
      <family val="2"/>
    </font>
    <font>
      <sz val="12"/>
      <name val="Verdana"/>
      <family val="2"/>
    </font>
    <font>
      <b/>
      <sz val="12"/>
      <color theme="6" tint="-0.249977111117893"/>
      <name val="Verdana"/>
      <family val="2"/>
    </font>
    <font>
      <b/>
      <i/>
      <sz val="12"/>
      <color theme="1"/>
      <name val="Verdana"/>
      <family val="2"/>
    </font>
    <font>
      <sz val="12"/>
      <color rgb="FF0000FF"/>
      <name val="Verdana"/>
      <family val="2"/>
    </font>
    <font>
      <b/>
      <i/>
      <sz val="12"/>
      <name val="Verdana"/>
      <family val="2"/>
    </font>
    <font>
      <b/>
      <sz val="12"/>
      <name val="Verdana"/>
      <family val="2"/>
    </font>
    <font>
      <b/>
      <sz val="12"/>
      <color rgb="FF0000FF"/>
      <name val="Verdana"/>
      <family val="2"/>
    </font>
    <font>
      <u/>
      <sz val="12"/>
      <color theme="1"/>
      <name val="Verdana"/>
      <family val="2"/>
    </font>
    <font>
      <b/>
      <sz val="12"/>
      <color theme="1"/>
      <name val="Verdana"/>
      <family val="2"/>
    </font>
    <font>
      <sz val="12"/>
      <color theme="0"/>
      <name val="Verdana"/>
      <family val="2"/>
    </font>
    <font>
      <i/>
      <sz val="12"/>
      <color theme="1"/>
      <name val="Verdana"/>
      <family val="2"/>
    </font>
    <font>
      <b/>
      <u/>
      <sz val="12"/>
      <color theme="0"/>
      <name val="Verdana"/>
      <family val="2"/>
    </font>
    <font>
      <i/>
      <sz val="12"/>
      <name val="Verdana"/>
      <family val="2"/>
    </font>
    <font>
      <b/>
      <sz val="9"/>
      <color indexed="81"/>
      <name val="Tahoma"/>
      <family val="2"/>
    </font>
    <font>
      <sz val="9"/>
      <color indexed="81"/>
      <name val="Tahoma"/>
      <family val="2"/>
    </font>
    <font>
      <b/>
      <sz val="10"/>
      <color rgb="FF000000"/>
      <name val="Tahoma"/>
      <family val="2"/>
    </font>
    <font>
      <sz val="11"/>
      <color theme="1"/>
      <name val="Verdana"/>
      <family val="2"/>
    </font>
    <font>
      <sz val="11"/>
      <color rgb="FF00B050"/>
      <name val="Verdana"/>
      <family val="2"/>
    </font>
    <font>
      <b/>
      <sz val="11"/>
      <color theme="1"/>
      <name val="Verdana"/>
      <family val="2"/>
    </font>
    <font>
      <u/>
      <sz val="11"/>
      <color theme="10"/>
      <name val="Calibri"/>
      <family val="2"/>
      <scheme val="minor"/>
    </font>
    <font>
      <sz val="11"/>
      <color theme="0"/>
      <name val="Times New Roman"/>
      <family val="1"/>
    </font>
    <font>
      <sz val="11"/>
      <color rgb="FF000000"/>
      <name val="Times New Roman"/>
      <family val="1"/>
    </font>
    <font>
      <sz val="11"/>
      <name val="Times New Roman"/>
      <family val="1"/>
    </font>
    <font>
      <sz val="10"/>
      <color theme="1"/>
      <name val="Times New Roman"/>
      <family val="1"/>
    </font>
    <font>
      <i/>
      <sz val="10"/>
      <color theme="1"/>
      <name val="Times New Roman"/>
      <family val="1"/>
    </font>
    <font>
      <b/>
      <sz val="12"/>
      <color theme="4"/>
      <name val="Times New Roman"/>
      <family val="1"/>
    </font>
    <font>
      <sz val="12"/>
      <name val="Times New Roman"/>
      <family val="1"/>
    </font>
    <font>
      <vertAlign val="subscript"/>
      <sz val="12"/>
      <color theme="1"/>
      <name val="Times New Roman"/>
      <family val="1"/>
    </font>
    <font>
      <b/>
      <vertAlign val="subscript"/>
      <sz val="12"/>
      <color theme="4"/>
      <name val="Times New Roman"/>
      <family val="1"/>
    </font>
    <font>
      <b/>
      <sz val="12"/>
      <color theme="1"/>
      <name val="Times New Roman"/>
      <family val="1"/>
    </font>
    <font>
      <b/>
      <vertAlign val="subscript"/>
      <sz val="12"/>
      <color theme="1"/>
      <name val="Times New Roman"/>
      <family val="1"/>
    </font>
    <font>
      <b/>
      <sz val="10"/>
      <color rgb="FF232A31"/>
      <name val="Times New Roman"/>
      <family val="1"/>
    </font>
    <font>
      <sz val="12"/>
      <color rgb="FF232A31"/>
      <name val="Times New Roman"/>
      <family val="1"/>
    </font>
    <font>
      <b/>
      <sz val="12"/>
      <color theme="0" tint="-0.499984740745262"/>
      <name val="Times New Roman"/>
      <family val="1"/>
    </font>
    <font>
      <i/>
      <sz val="12"/>
      <color theme="0" tint="-0.499984740745262"/>
      <name val="Times New Roman"/>
      <family val="1"/>
    </font>
    <font>
      <sz val="12"/>
      <color theme="0" tint="-0.499984740745262"/>
      <name val="Times New Roman"/>
      <family val="1"/>
    </font>
    <font>
      <b/>
      <vertAlign val="superscript"/>
      <sz val="12"/>
      <color theme="0" tint="-0.499984740745262"/>
      <name val="Times New Roman"/>
      <family val="1"/>
    </font>
    <font>
      <sz val="11"/>
      <color theme="0" tint="-0.499984740745262"/>
      <name val="Times New Roman"/>
      <family val="1"/>
    </font>
    <font>
      <b/>
      <sz val="11"/>
      <color theme="0" tint="-0.499984740745262"/>
      <name val="Times New Roman"/>
      <family val="1"/>
    </font>
    <font>
      <b/>
      <sz val="12"/>
      <color theme="0" tint="-0.499984740745262"/>
      <name val="Calibri"/>
      <family val="2"/>
      <scheme val="minor"/>
    </font>
  </fonts>
  <fills count="19">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5"/>
        <bgColor indexed="64"/>
      </patternFill>
    </fill>
    <fill>
      <patternFill patternType="solid">
        <fgColor theme="0" tint="-0.34998626667073579"/>
        <bgColor indexed="64"/>
      </patternFill>
    </fill>
    <fill>
      <patternFill patternType="solid">
        <fgColor rgb="FF002060"/>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bgColor indexed="64"/>
      </patternFill>
    </fill>
    <fill>
      <patternFill patternType="solid">
        <fgColor theme="9" tint="0.79998168889431442"/>
        <bgColor indexed="64"/>
      </patternFill>
    </fill>
    <fill>
      <patternFill patternType="solid">
        <fgColor rgb="FFC000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2"/>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0" tint="-0.14999847407452621"/>
        <bgColor indexed="64"/>
      </patternFill>
    </fill>
  </fills>
  <borders count="40">
    <border>
      <left/>
      <right/>
      <top/>
      <bottom/>
      <diagonal/>
    </border>
    <border>
      <left/>
      <right/>
      <top/>
      <bottom style="medium">
        <color theme="0" tint="-0.499984740745262"/>
      </bottom>
      <diagonal/>
    </border>
    <border>
      <left/>
      <right/>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indexed="64"/>
      </left>
      <right style="thin">
        <color indexed="64"/>
      </right>
      <top style="thin">
        <color indexed="64"/>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indexed="64"/>
      </left>
      <right style="thin">
        <color indexed="64"/>
      </right>
      <top style="thin">
        <color indexed="64"/>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499984740745262"/>
      </left>
      <right style="thin">
        <color theme="0" tint="-0.499984740745262"/>
      </right>
      <top/>
      <bottom style="thin">
        <color theme="0" tint="-0.499984740745262"/>
      </bottom>
      <diagonal/>
    </border>
    <border>
      <left/>
      <right/>
      <top/>
      <bottom style="medium">
        <color theme="4"/>
      </bottom>
      <diagonal/>
    </border>
    <border>
      <left/>
      <right style="hair">
        <color rgb="FFD9E2F3"/>
      </right>
      <top style="hair">
        <color rgb="FFD9E2F3"/>
      </top>
      <bottom style="hair">
        <color rgb="FFD9E2F3"/>
      </bottom>
      <diagonal/>
    </border>
    <border>
      <left/>
      <right style="hair">
        <color rgb="FFD9E2F3"/>
      </right>
      <top/>
      <bottom/>
      <diagonal/>
    </border>
    <border>
      <left style="hair">
        <color rgb="FFB4C6E7"/>
      </left>
      <right style="hair">
        <color rgb="FFB4C6E7"/>
      </right>
      <top style="hair">
        <color rgb="FFB4C6E7"/>
      </top>
      <bottom style="hair">
        <color rgb="FFB4C6E7"/>
      </bottom>
      <diagonal/>
    </border>
    <border>
      <left style="hair">
        <color theme="4"/>
      </left>
      <right style="hair">
        <color theme="4"/>
      </right>
      <top style="hair">
        <color theme="4"/>
      </top>
      <bottom style="hair">
        <color theme="4"/>
      </bottom>
      <diagonal/>
    </border>
    <border>
      <left/>
      <right/>
      <top style="hair">
        <color rgb="FFB4C6E7"/>
      </top>
      <bottom style="hair">
        <color rgb="FFB4C6E7"/>
      </bottom>
      <diagonal/>
    </border>
    <border>
      <left/>
      <right style="hair">
        <color rgb="FFB4C6E7"/>
      </right>
      <top style="hair">
        <color rgb="FFB4C6E7"/>
      </top>
      <bottom style="hair">
        <color rgb="FFB4C6E7"/>
      </bottom>
      <diagonal/>
    </border>
    <border>
      <left/>
      <right/>
      <top style="thin">
        <color indexed="64"/>
      </top>
      <bottom style="thin">
        <color indexed="64"/>
      </bottom>
      <diagonal/>
    </border>
    <border>
      <left/>
      <right/>
      <top style="thin">
        <color indexed="64"/>
      </top>
      <bottom style="double">
        <color indexed="64"/>
      </bottom>
      <diagonal/>
    </border>
    <border>
      <left/>
      <right/>
      <top/>
      <bottom style="dashed">
        <color rgb="FFFF0000"/>
      </bottom>
      <diagonal/>
    </border>
    <border>
      <left style="thin">
        <color indexed="64"/>
      </left>
      <right style="thin">
        <color indexed="64"/>
      </right>
      <top/>
      <bottom/>
      <diagonal/>
    </border>
    <border>
      <left/>
      <right/>
      <top style="thin">
        <color indexed="64"/>
      </top>
      <bottom/>
      <diagonal/>
    </border>
    <border>
      <left/>
      <right/>
      <top style="dotted">
        <color theme="0" tint="-0.24994659260841701"/>
      </top>
      <bottom style="dotted">
        <color theme="0" tint="-0.24994659260841701"/>
      </bottom>
      <diagonal/>
    </border>
    <border>
      <left/>
      <right/>
      <top/>
      <bottom style="thin">
        <color theme="0" tint="-0.34998626667073579"/>
      </bottom>
      <diagonal/>
    </border>
    <border>
      <left/>
      <right style="hair">
        <color rgb="FFD9E2F3"/>
      </right>
      <top/>
      <bottom style="hair">
        <color rgb="FFD9E2F3"/>
      </bottom>
      <diagonal/>
    </border>
    <border>
      <left/>
      <right style="dotted">
        <color theme="4"/>
      </right>
      <top/>
      <bottom style="hair">
        <color rgb="FFD9E2F3"/>
      </bottom>
      <diagonal/>
    </border>
    <border>
      <left style="dotted">
        <color theme="4"/>
      </left>
      <right style="hair">
        <color rgb="FFD9E2F3"/>
      </right>
      <top/>
      <bottom style="hair">
        <color rgb="FFD9E2F3"/>
      </bottom>
      <diagonal/>
    </border>
    <border>
      <left style="hair">
        <color rgb="FFB4C6E7"/>
      </left>
      <right style="hair">
        <color rgb="FFB4C6E7"/>
      </right>
      <top/>
      <bottom style="hair">
        <color rgb="FFB4C6E7"/>
      </bottom>
      <diagonal/>
    </border>
    <border>
      <left/>
      <right style="hair">
        <color rgb="FFB4C6E7"/>
      </right>
      <top/>
      <bottom style="hair">
        <color rgb="FFB4C6E7"/>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right/>
      <top style="dotted">
        <color theme="0" tint="-0.24994659260841701"/>
      </top>
      <bottom/>
      <diagonal/>
    </border>
    <border>
      <left/>
      <right/>
      <top/>
      <bottom style="dotted">
        <color theme="0" tint="-0.24994659260841701"/>
      </bottom>
      <diagonal/>
    </border>
  </borders>
  <cellStyleXfs count="15">
    <xf numFmtId="0" fontId="0" fillId="0" borderId="0"/>
    <xf numFmtId="42"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19" fillId="0" borderId="0"/>
    <xf numFmtId="9" fontId="3" fillId="0" borderId="0" applyFont="0" applyFill="0" applyBorder="0" applyAlignment="0" applyProtection="0"/>
    <xf numFmtId="9" fontId="19" fillId="0" borderId="0" applyFont="0" applyFill="0" applyBorder="0" applyAlignment="0" applyProtection="0"/>
    <xf numFmtId="172" fontId="3" fillId="0" borderId="0" applyFont="0" applyFill="0" applyBorder="0" applyAlignment="0" applyProtection="0"/>
    <xf numFmtId="41" fontId="19" fillId="0" borderId="0" applyFont="0" applyFill="0" applyBorder="0" applyAlignment="0" applyProtection="0"/>
    <xf numFmtId="174" fontId="19" fillId="0" borderId="0" applyFont="0" applyFill="0" applyBorder="0" applyAlignment="0" applyProtection="0"/>
    <xf numFmtId="0" fontId="3" fillId="0" borderId="0"/>
    <xf numFmtId="0" fontId="2" fillId="0" borderId="0"/>
    <xf numFmtId="42" fontId="2" fillId="0" borderId="0" applyFont="0" applyFill="0" applyBorder="0" applyAlignment="0" applyProtection="0"/>
    <xf numFmtId="0" fontId="45" fillId="0" borderId="0" applyNumberFormat="0" applyFill="0" applyBorder="0" applyAlignment="0" applyProtection="0"/>
  </cellStyleXfs>
  <cellXfs count="433">
    <xf numFmtId="0" fontId="0" fillId="0" borderId="0" xfId="0"/>
    <xf numFmtId="0" fontId="4" fillId="0" borderId="0" xfId="0" applyFont="1" applyAlignment="1">
      <alignment horizontal="justify" vertical="center"/>
    </xf>
    <xf numFmtId="0" fontId="8" fillId="0" borderId="0" xfId="0" applyFont="1"/>
    <xf numFmtId="9" fontId="8" fillId="0" borderId="0" xfId="0" applyNumberFormat="1" applyFont="1"/>
    <xf numFmtId="165" fontId="8" fillId="0" borderId="0" xfId="0" applyNumberFormat="1" applyFont="1"/>
    <xf numFmtId="0" fontId="6" fillId="0" borderId="0" xfId="0" applyFont="1" applyAlignment="1">
      <alignment horizontal="justify" vertical="center"/>
    </xf>
    <xf numFmtId="0" fontId="10" fillId="0" borderId="0" xfId="0" applyFont="1"/>
    <xf numFmtId="9" fontId="10" fillId="0" borderId="0" xfId="0" applyNumberFormat="1" applyFont="1"/>
    <xf numFmtId="6" fontId="8" fillId="0" borderId="0" xfId="0" applyNumberFormat="1" applyFont="1"/>
    <xf numFmtId="10" fontId="8" fillId="0" borderId="0" xfId="2" applyNumberFormat="1" applyFont="1"/>
    <xf numFmtId="0" fontId="11" fillId="0" borderId="1" xfId="0" applyFont="1" applyBorder="1"/>
    <xf numFmtId="42" fontId="8" fillId="0" borderId="3" xfId="1" applyFont="1" applyBorder="1"/>
    <xf numFmtId="0" fontId="7" fillId="5" borderId="0" xfId="0" applyFont="1" applyFill="1" applyAlignment="1">
      <alignment horizontal="center" vertical="center" wrapText="1"/>
    </xf>
    <xf numFmtId="44" fontId="4" fillId="0" borderId="0" xfId="0" applyNumberFormat="1" applyFont="1" applyAlignment="1">
      <alignment vertical="center" wrapText="1"/>
    </xf>
    <xf numFmtId="0" fontId="8" fillId="5" borderId="0" xfId="0" applyFont="1" applyFill="1"/>
    <xf numFmtId="44" fontId="4" fillId="5" borderId="0" xfId="0" applyNumberFormat="1" applyFont="1" applyFill="1" applyAlignment="1">
      <alignment vertical="center" wrapText="1"/>
    </xf>
    <xf numFmtId="6" fontId="8" fillId="5" borderId="0" xfId="0" applyNumberFormat="1" applyFont="1" applyFill="1"/>
    <xf numFmtId="42" fontId="8" fillId="0" borderId="0" xfId="0" applyNumberFormat="1" applyFont="1"/>
    <xf numFmtId="0" fontId="7" fillId="5" borderId="5" xfId="0" applyFont="1" applyFill="1" applyBorder="1" applyAlignment="1">
      <alignment horizontal="center" vertical="center" wrapText="1"/>
    </xf>
    <xf numFmtId="0" fontId="16" fillId="0" borderId="1" xfId="0" applyFont="1" applyBorder="1"/>
    <xf numFmtId="0" fontId="16" fillId="0" borderId="0" xfId="0" applyFont="1"/>
    <xf numFmtId="0" fontId="8" fillId="0" borderId="3" xfId="0" applyFont="1" applyBorder="1"/>
    <xf numFmtId="10" fontId="8" fillId="0" borderId="3" xfId="2" applyNumberFormat="1" applyFont="1" applyBorder="1"/>
    <xf numFmtId="9" fontId="8" fillId="0" borderId="3" xfId="2" applyFont="1" applyBorder="1"/>
    <xf numFmtId="3" fontId="8" fillId="0" borderId="3" xfId="0" applyNumberFormat="1" applyFont="1" applyBorder="1"/>
    <xf numFmtId="9" fontId="8" fillId="0" borderId="3" xfId="0" applyNumberFormat="1" applyFont="1" applyBorder="1"/>
    <xf numFmtId="10" fontId="8" fillId="0" borderId="3" xfId="0" applyNumberFormat="1" applyFont="1" applyBorder="1"/>
    <xf numFmtId="167" fontId="8" fillId="0" borderId="3" xfId="2" applyNumberFormat="1" applyFont="1" applyBorder="1"/>
    <xf numFmtId="167" fontId="8" fillId="0" borderId="3" xfId="0" applyNumberFormat="1" applyFont="1" applyBorder="1"/>
    <xf numFmtId="42" fontId="8" fillId="0" borderId="3" xfId="0" applyNumberFormat="1" applyFont="1" applyBorder="1"/>
    <xf numFmtId="168" fontId="8" fillId="0" borderId="3" xfId="0" applyNumberFormat="1" applyFont="1" applyBorder="1"/>
    <xf numFmtId="165" fontId="8" fillId="0" borderId="3" xfId="0" applyNumberFormat="1" applyFont="1" applyBorder="1"/>
    <xf numFmtId="0" fontId="11" fillId="0" borderId="0" xfId="0" applyFont="1"/>
    <xf numFmtId="166" fontId="9" fillId="5" borderId="3" xfId="0" applyNumberFormat="1" applyFont="1" applyFill="1" applyBorder="1" applyAlignment="1">
      <alignment horizontal="center"/>
    </xf>
    <xf numFmtId="0" fontId="17" fillId="0" borderId="0" xfId="0" applyFont="1"/>
    <xf numFmtId="0" fontId="18" fillId="5" borderId="3" xfId="0" applyFont="1" applyFill="1" applyBorder="1"/>
    <xf numFmtId="9" fontId="18" fillId="5" borderId="3" xfId="0" applyNumberFormat="1" applyFont="1" applyFill="1" applyBorder="1"/>
    <xf numFmtId="10" fontId="18" fillId="5" borderId="3" xfId="0" applyNumberFormat="1" applyFont="1" applyFill="1" applyBorder="1"/>
    <xf numFmtId="0" fontId="18" fillId="5" borderId="3" xfId="0" applyFont="1" applyFill="1" applyBorder="1" applyAlignment="1">
      <alignment horizontal="center" vertical="center" wrapText="1"/>
    </xf>
    <xf numFmtId="0" fontId="17" fillId="0" borderId="3" xfId="0" applyFont="1" applyBorder="1" applyAlignment="1">
      <alignment vertical="center" wrapText="1"/>
    </xf>
    <xf numFmtId="42" fontId="17" fillId="0" borderId="3" xfId="1" applyFont="1" applyBorder="1" applyAlignment="1">
      <alignment vertical="center" wrapText="1"/>
    </xf>
    <xf numFmtId="44" fontId="17" fillId="0" borderId="3" xfId="0" applyNumberFormat="1" applyFont="1" applyBorder="1" applyAlignment="1">
      <alignment vertical="center" wrapText="1"/>
    </xf>
    <xf numFmtId="42" fontId="17" fillId="0" borderId="3" xfId="1" applyFont="1" applyBorder="1"/>
    <xf numFmtId="44" fontId="18" fillId="5" borderId="3" xfId="0" applyNumberFormat="1" applyFont="1" applyFill="1" applyBorder="1" applyAlignment="1">
      <alignment vertical="center" wrapText="1"/>
    </xf>
    <xf numFmtId="0" fontId="8" fillId="0" borderId="3" xfId="0" applyFont="1" applyBorder="1" applyAlignment="1">
      <alignment wrapText="1"/>
    </xf>
    <xf numFmtId="0" fontId="8" fillId="0" borderId="3" xfId="0" applyFont="1" applyBorder="1" applyAlignment="1">
      <alignment horizontal="left" indent="1"/>
    </xf>
    <xf numFmtId="0" fontId="16" fillId="0" borderId="3" xfId="0" applyFont="1" applyBorder="1"/>
    <xf numFmtId="44" fontId="8" fillId="0" borderId="3" xfId="0" applyNumberFormat="1" applyFont="1" applyBorder="1"/>
    <xf numFmtId="0" fontId="16" fillId="0" borderId="3" xfId="0" applyFont="1" applyBorder="1" applyAlignment="1">
      <alignment horizontal="left"/>
    </xf>
    <xf numFmtId="0" fontId="8" fillId="0" borderId="7" xfId="0" applyFont="1" applyBorder="1" applyAlignment="1">
      <alignment horizontal="left" indent="1"/>
    </xf>
    <xf numFmtId="0" fontId="8" fillId="0" borderId="8" xfId="0" applyFont="1" applyBorder="1"/>
    <xf numFmtId="0" fontId="8" fillId="0" borderId="6" xfId="0" applyFont="1" applyBorder="1"/>
    <xf numFmtId="1" fontId="8" fillId="0" borderId="6" xfId="0" applyNumberFormat="1" applyFont="1" applyBorder="1"/>
    <xf numFmtId="9" fontId="8" fillId="0" borderId="6" xfId="0" applyNumberFormat="1" applyFont="1" applyBorder="1"/>
    <xf numFmtId="0" fontId="8" fillId="0" borderId="9" xfId="0" applyFont="1" applyBorder="1" applyAlignment="1">
      <alignment horizontal="left" indent="1"/>
    </xf>
    <xf numFmtId="9" fontId="8" fillId="0" borderId="10" xfId="0" applyNumberFormat="1" applyFont="1" applyBorder="1"/>
    <xf numFmtId="0" fontId="8" fillId="0" borderId="11" xfId="0" applyFont="1" applyBorder="1" applyAlignment="1">
      <alignment horizontal="left" indent="1"/>
    </xf>
    <xf numFmtId="1" fontId="8" fillId="0" borderId="12" xfId="0" applyNumberFormat="1" applyFont="1" applyBorder="1"/>
    <xf numFmtId="0" fontId="8" fillId="0" borderId="6" xfId="0" applyFont="1" applyBorder="1" applyAlignment="1">
      <alignment horizontal="left" indent="1"/>
    </xf>
    <xf numFmtId="0" fontId="8" fillId="0" borderId="5" xfId="0" applyFont="1" applyBorder="1"/>
    <xf numFmtId="10" fontId="8" fillId="0" borderId="5" xfId="0" applyNumberFormat="1" applyFont="1" applyBorder="1"/>
    <xf numFmtId="3" fontId="8" fillId="0" borderId="0" xfId="0" applyNumberFormat="1" applyFont="1"/>
    <xf numFmtId="44" fontId="8" fillId="0" borderId="0" xfId="0" applyNumberFormat="1" applyFont="1"/>
    <xf numFmtId="42" fontId="8" fillId="0" borderId="0" xfId="1" applyFont="1"/>
    <xf numFmtId="169" fontId="8" fillId="0" borderId="0" xfId="0" applyNumberFormat="1" applyFont="1"/>
    <xf numFmtId="2" fontId="8" fillId="0" borderId="0" xfId="0" applyNumberFormat="1" applyFont="1"/>
    <xf numFmtId="9" fontId="8" fillId="0" borderId="8" xfId="0" applyNumberFormat="1" applyFont="1" applyBorder="1"/>
    <xf numFmtId="10" fontId="8" fillId="0" borderId="0" xfId="0" applyNumberFormat="1" applyFont="1"/>
    <xf numFmtId="170" fontId="8" fillId="0" borderId="0" xfId="0" applyNumberFormat="1" applyFont="1"/>
    <xf numFmtId="3" fontId="8" fillId="0" borderId="6" xfId="0" applyNumberFormat="1" applyFont="1" applyBorder="1"/>
    <xf numFmtId="1" fontId="8" fillId="0" borderId="8" xfId="0" applyNumberFormat="1" applyFont="1" applyBorder="1"/>
    <xf numFmtId="165" fontId="8" fillId="0" borderId="7" xfId="0" applyNumberFormat="1" applyFont="1" applyBorder="1" applyAlignment="1">
      <alignment horizontal="left" indent="1"/>
    </xf>
    <xf numFmtId="165" fontId="8" fillId="0" borderId="6" xfId="0" applyNumberFormat="1" applyFont="1" applyBorder="1"/>
    <xf numFmtId="10" fontId="8" fillId="0" borderId="10" xfId="0" applyNumberFormat="1" applyFont="1" applyBorder="1"/>
    <xf numFmtId="1" fontId="8" fillId="0" borderId="3" xfId="0" applyNumberFormat="1" applyFont="1" applyBorder="1"/>
    <xf numFmtId="42" fontId="8" fillId="0" borderId="0" xfId="1" applyFont="1" applyBorder="1"/>
    <xf numFmtId="3" fontId="8" fillId="0" borderId="8" xfId="0" applyNumberFormat="1" applyFont="1" applyBorder="1"/>
    <xf numFmtId="0" fontId="8" fillId="0" borderId="14" xfId="0" applyFont="1" applyBorder="1"/>
    <xf numFmtId="0" fontId="8" fillId="0" borderId="13" xfId="0" applyFont="1" applyBorder="1"/>
    <xf numFmtId="3" fontId="8" fillId="0" borderId="12" xfId="0" applyNumberFormat="1" applyFont="1" applyBorder="1"/>
    <xf numFmtId="3" fontId="8" fillId="0" borderId="14" xfId="0" applyNumberFormat="1" applyFont="1" applyBorder="1"/>
    <xf numFmtId="0" fontId="8" fillId="0" borderId="13" xfId="0" applyFont="1" applyBorder="1" applyAlignment="1">
      <alignment horizontal="left" indent="1"/>
    </xf>
    <xf numFmtId="3" fontId="8" fillId="0" borderId="13" xfId="0" applyNumberFormat="1" applyFont="1" applyBorder="1"/>
    <xf numFmtId="42" fontId="8" fillId="0" borderId="13" xfId="1" applyFont="1" applyBorder="1"/>
    <xf numFmtId="42" fontId="8" fillId="0" borderId="13" xfId="0" applyNumberFormat="1" applyFont="1" applyBorder="1"/>
    <xf numFmtId="169" fontId="8" fillId="0" borderId="13" xfId="0" applyNumberFormat="1" applyFont="1" applyBorder="1"/>
    <xf numFmtId="10" fontId="8" fillId="0" borderId="6" xfId="0" applyNumberFormat="1" applyFont="1" applyBorder="1"/>
    <xf numFmtId="164" fontId="8" fillId="0" borderId="0" xfId="4" applyFont="1"/>
    <xf numFmtId="164" fontId="8" fillId="0" borderId="0" xfId="0" applyNumberFormat="1" applyFont="1"/>
    <xf numFmtId="0" fontId="20" fillId="6" borderId="0" xfId="5" applyFont="1" applyFill="1"/>
    <xf numFmtId="0" fontId="21" fillId="0" borderId="0" xfId="5" applyFont="1"/>
    <xf numFmtId="0" fontId="22" fillId="0" borderId="0" xfId="5" applyFont="1" applyAlignment="1">
      <alignment horizontal="center"/>
    </xf>
    <xf numFmtId="171" fontId="22" fillId="0" borderId="0" xfId="5" applyNumberFormat="1" applyFont="1" applyAlignment="1">
      <alignment horizontal="center"/>
    </xf>
    <xf numFmtId="0" fontId="25" fillId="0" borderId="0" xfId="5" applyFont="1"/>
    <xf numFmtId="0" fontId="25" fillId="0" borderId="0" xfId="3" applyFont="1" applyAlignment="1">
      <alignment horizontal="left"/>
    </xf>
    <xf numFmtId="171" fontId="25" fillId="0" borderId="0" xfId="3" applyNumberFormat="1" applyFont="1"/>
    <xf numFmtId="9" fontId="26" fillId="0" borderId="0" xfId="5" applyNumberFormat="1" applyFont="1"/>
    <xf numFmtId="9" fontId="27" fillId="0" borderId="0" xfId="5" applyNumberFormat="1" applyFont="1"/>
    <xf numFmtId="0" fontId="28" fillId="0" borderId="0" xfId="5" applyFont="1"/>
    <xf numFmtId="0" fontId="19" fillId="0" borderId="0" xfId="3" applyFont="1" applyAlignment="1">
      <alignment horizontal="left"/>
    </xf>
    <xf numFmtId="9" fontId="29" fillId="0" borderId="0" xfId="6" applyFont="1"/>
    <xf numFmtId="9" fontId="29" fillId="0" borderId="0" xfId="5" applyNumberFormat="1" applyFont="1"/>
    <xf numFmtId="9" fontId="29" fillId="0" borderId="0" xfId="3" applyNumberFormat="1" applyFont="1"/>
    <xf numFmtId="172" fontId="29" fillId="0" borderId="0" xfId="8" applyFont="1"/>
    <xf numFmtId="41" fontId="26" fillId="0" borderId="0" xfId="9" applyFont="1"/>
    <xf numFmtId="41" fontId="29" fillId="0" borderId="0" xfId="9" applyFont="1"/>
    <xf numFmtId="0" fontId="19" fillId="0" borderId="0" xfId="3" applyFont="1"/>
    <xf numFmtId="41" fontId="27" fillId="0" borderId="0" xfId="9" applyFont="1"/>
    <xf numFmtId="41" fontId="26" fillId="8" borderId="0" xfId="9" applyFont="1" applyFill="1"/>
    <xf numFmtId="9" fontId="29" fillId="8" borderId="0" xfId="9" applyNumberFormat="1" applyFont="1" applyFill="1"/>
    <xf numFmtId="0" fontId="26" fillId="0" borderId="0" xfId="5" applyFont="1" applyProtection="1">
      <protection locked="0"/>
    </xf>
    <xf numFmtId="41" fontId="29" fillId="8" borderId="0" xfId="9" applyFont="1" applyFill="1"/>
    <xf numFmtId="0" fontId="33" fillId="0" borderId="0" xfId="3" applyFont="1" applyAlignment="1">
      <alignment horizontal="left"/>
    </xf>
    <xf numFmtId="0" fontId="19" fillId="0" borderId="0" xfId="3" applyFont="1" applyAlignment="1">
      <alignment horizontal="center"/>
    </xf>
    <xf numFmtId="0" fontId="19" fillId="0" borderId="6" xfId="3" applyFont="1" applyBorder="1" applyAlignment="1">
      <alignment horizontal="center"/>
    </xf>
    <xf numFmtId="173" fontId="29" fillId="0" borderId="0" xfId="10" applyNumberFormat="1" applyFont="1"/>
    <xf numFmtId="0" fontId="31" fillId="0" borderId="22" xfId="5" applyFont="1" applyBorder="1" applyProtection="1">
      <protection locked="0"/>
    </xf>
    <xf numFmtId="173" fontId="34" fillId="0" borderId="22" xfId="10" applyNumberFormat="1" applyFont="1" applyBorder="1"/>
    <xf numFmtId="173" fontId="34" fillId="0" borderId="0" xfId="10" applyNumberFormat="1" applyFont="1"/>
    <xf numFmtId="0" fontId="26" fillId="0" borderId="22" xfId="5" applyFont="1" applyBorder="1" applyProtection="1">
      <protection locked="0"/>
    </xf>
    <xf numFmtId="173" fontId="29" fillId="0" borderId="22" xfId="10" applyNumberFormat="1" applyFont="1" applyBorder="1"/>
    <xf numFmtId="0" fontId="31" fillId="0" borderId="23" xfId="5" applyFont="1" applyBorder="1" applyProtection="1">
      <protection locked="0"/>
    </xf>
    <xf numFmtId="173" fontId="34" fillId="0" borderId="23" xfId="10" applyNumberFormat="1" applyFont="1" applyBorder="1"/>
    <xf numFmtId="173" fontId="29" fillId="9" borderId="0" xfId="10" applyNumberFormat="1" applyFont="1" applyFill="1"/>
    <xf numFmtId="173" fontId="32" fillId="10" borderId="0" xfId="10" applyNumberFormat="1" applyFont="1" applyFill="1"/>
    <xf numFmtId="173" fontId="32" fillId="9" borderId="0" xfId="10" applyNumberFormat="1" applyFont="1" applyFill="1"/>
    <xf numFmtId="173" fontId="29" fillId="10" borderId="0" xfId="10" applyNumberFormat="1" applyFont="1" applyFill="1"/>
    <xf numFmtId="173" fontId="29" fillId="0" borderId="0" xfId="5" applyNumberFormat="1" applyFont="1"/>
    <xf numFmtId="0" fontId="20" fillId="11" borderId="0" xfId="5" applyFont="1" applyFill="1"/>
    <xf numFmtId="0" fontId="35" fillId="11" borderId="0" xfId="5" applyFont="1" applyFill="1"/>
    <xf numFmtId="0" fontId="34" fillId="0" borderId="0" xfId="5" applyFont="1"/>
    <xf numFmtId="0" fontId="26" fillId="0" borderId="0" xfId="5" applyFont="1"/>
    <xf numFmtId="173" fontId="34" fillId="12" borderId="22" xfId="10" applyNumberFormat="1" applyFont="1" applyFill="1" applyBorder="1"/>
    <xf numFmtId="0" fontId="34" fillId="0" borderId="22" xfId="5" applyFont="1" applyBorder="1"/>
    <xf numFmtId="173" fontId="34" fillId="0" borderId="22" xfId="5" applyNumberFormat="1" applyFont="1" applyBorder="1"/>
    <xf numFmtId="173" fontId="34" fillId="12" borderId="22" xfId="5" applyNumberFormat="1" applyFont="1" applyFill="1" applyBorder="1"/>
    <xf numFmtId="173" fontId="34" fillId="12" borderId="23" xfId="5" applyNumberFormat="1" applyFont="1" applyFill="1" applyBorder="1"/>
    <xf numFmtId="0" fontId="36" fillId="0" borderId="0" xfId="5" applyFont="1"/>
    <xf numFmtId="0" fontId="37" fillId="11" borderId="0" xfId="5" applyFont="1" applyFill="1"/>
    <xf numFmtId="173" fontId="34" fillId="12" borderId="23" xfId="10" applyNumberFormat="1" applyFont="1" applyFill="1" applyBorder="1"/>
    <xf numFmtId="0" fontId="21" fillId="0" borderId="0" xfId="5" applyFont="1" applyAlignment="1">
      <alignment horizontal="left" wrapText="1"/>
    </xf>
    <xf numFmtId="173" fontId="34" fillId="0" borderId="23" xfId="5" applyNumberFormat="1" applyFont="1" applyBorder="1"/>
    <xf numFmtId="176" fontId="36" fillId="0" borderId="0" xfId="5" applyNumberFormat="1" applyFont="1"/>
    <xf numFmtId="173" fontId="34" fillId="14" borderId="22" xfId="10" applyNumberFormat="1" applyFont="1" applyFill="1" applyBorder="1"/>
    <xf numFmtId="173" fontId="34" fillId="14" borderId="22" xfId="5" applyNumberFormat="1" applyFont="1" applyFill="1" applyBorder="1"/>
    <xf numFmtId="173" fontId="34" fillId="12" borderId="0" xfId="5" applyNumberFormat="1" applyFont="1" applyFill="1"/>
    <xf numFmtId="173" fontId="31" fillId="0" borderId="23" xfId="5" applyNumberFormat="1" applyFont="1" applyBorder="1" applyProtection="1">
      <protection locked="0"/>
    </xf>
    <xf numFmtId="177" fontId="38" fillId="0" borderId="0" xfId="5" applyNumberFormat="1" applyFont="1" applyProtection="1">
      <protection locked="0"/>
    </xf>
    <xf numFmtId="0" fontId="24" fillId="0" borderId="0" xfId="5" applyFont="1" applyAlignment="1">
      <alignment horizontal="left" wrapText="1"/>
    </xf>
    <xf numFmtId="173" fontId="34" fillId="0" borderId="0" xfId="5" applyNumberFormat="1" applyFont="1"/>
    <xf numFmtId="177" fontId="36" fillId="0" borderId="0" xfId="5" applyNumberFormat="1" applyFont="1"/>
    <xf numFmtId="0" fontId="20" fillId="11" borderId="0" xfId="5" applyFont="1" applyFill="1" applyAlignment="1">
      <alignment horizontal="center"/>
    </xf>
    <xf numFmtId="0" fontId="21" fillId="0" borderId="0" xfId="5" applyFont="1" applyAlignment="1">
      <alignment horizontal="center"/>
    </xf>
    <xf numFmtId="173" fontId="34" fillId="0" borderId="0" xfId="5" applyNumberFormat="1" applyFont="1" applyAlignment="1">
      <alignment horizontal="center"/>
    </xf>
    <xf numFmtId="173" fontId="24" fillId="0" borderId="0" xfId="5" applyNumberFormat="1" applyFont="1"/>
    <xf numFmtId="0" fontId="24" fillId="0" borderId="0" xfId="5" applyFont="1"/>
    <xf numFmtId="0" fontId="25" fillId="15" borderId="0" xfId="5" applyFont="1" applyFill="1"/>
    <xf numFmtId="9" fontId="26" fillId="12" borderId="0" xfId="5" applyNumberFormat="1" applyFont="1" applyFill="1"/>
    <xf numFmtId="9" fontId="26" fillId="14" borderId="0" xfId="5" applyNumberFormat="1" applyFont="1" applyFill="1"/>
    <xf numFmtId="0" fontId="22" fillId="0" borderId="0" xfId="5" applyFont="1"/>
    <xf numFmtId="14" fontId="26" fillId="0" borderId="0" xfId="5" applyNumberFormat="1" applyFont="1" applyAlignment="1">
      <alignment horizontal="center"/>
    </xf>
    <xf numFmtId="173" fontId="32" fillId="0" borderId="22" xfId="5" applyNumberFormat="1" applyFont="1" applyBorder="1"/>
    <xf numFmtId="165" fontId="34" fillId="12" borderId="22" xfId="7" applyNumberFormat="1" applyFont="1" applyFill="1" applyBorder="1"/>
    <xf numFmtId="165" fontId="29" fillId="14" borderId="22" xfId="5" applyNumberFormat="1" applyFont="1" applyFill="1" applyBorder="1"/>
    <xf numFmtId="165" fontId="29" fillId="14" borderId="25" xfId="5" applyNumberFormat="1" applyFont="1" applyFill="1" applyBorder="1"/>
    <xf numFmtId="165" fontId="29" fillId="0" borderId="0" xfId="5" applyNumberFormat="1" applyFont="1"/>
    <xf numFmtId="0" fontId="34" fillId="0" borderId="0" xfId="5" applyFont="1" applyAlignment="1">
      <alignment horizontal="right" vertical="center" textRotation="90"/>
    </xf>
    <xf numFmtId="0" fontId="33" fillId="0" borderId="0" xfId="5" applyFont="1" applyAlignment="1">
      <alignment horizontal="center"/>
    </xf>
    <xf numFmtId="0" fontId="29" fillId="0" borderId="0" xfId="5" applyFont="1"/>
    <xf numFmtId="3" fontId="29" fillId="0" borderId="0" xfId="5" applyNumberFormat="1" applyFont="1"/>
    <xf numFmtId="0" fontId="25" fillId="0" borderId="0" xfId="5" applyFont="1" applyAlignment="1">
      <alignment horizontal="center"/>
    </xf>
    <xf numFmtId="0" fontId="34" fillId="15" borderId="22" xfId="5" applyFont="1" applyFill="1" applyBorder="1"/>
    <xf numFmtId="179" fontId="34" fillId="15" borderId="22" xfId="5" applyNumberFormat="1" applyFont="1" applyFill="1" applyBorder="1"/>
    <xf numFmtId="179" fontId="34" fillId="0" borderId="0" xfId="5" applyNumberFormat="1" applyFont="1"/>
    <xf numFmtId="0" fontId="34" fillId="0" borderId="0" xfId="5" applyFont="1" applyAlignment="1">
      <alignment horizontal="center"/>
    </xf>
    <xf numFmtId="174" fontId="26" fillId="0" borderId="0" xfId="10" applyFont="1" applyProtection="1">
      <protection hidden="1"/>
    </xf>
    <xf numFmtId="174" fontId="26" fillId="0" borderId="2" xfId="10" applyFont="1" applyBorder="1" applyProtection="1">
      <protection hidden="1"/>
    </xf>
    <xf numFmtId="173" fontId="26" fillId="0" borderId="2" xfId="10" applyNumberFormat="1" applyFont="1" applyBorder="1" applyProtection="1">
      <protection hidden="1"/>
    </xf>
    <xf numFmtId="182" fontId="29" fillId="0" borderId="26" xfId="5" applyNumberFormat="1" applyFont="1" applyBorder="1"/>
    <xf numFmtId="182" fontId="29" fillId="0" borderId="2" xfId="5" applyNumberFormat="1" applyFont="1" applyBorder="1"/>
    <xf numFmtId="182" fontId="29" fillId="0" borderId="0" xfId="5" applyNumberFormat="1" applyFont="1"/>
    <xf numFmtId="174" fontId="31" fillId="0" borderId="0" xfId="10" applyFont="1" applyProtection="1">
      <protection hidden="1"/>
    </xf>
    <xf numFmtId="173" fontId="26" fillId="0" borderId="0" xfId="10" applyNumberFormat="1" applyFont="1" applyProtection="1">
      <protection hidden="1"/>
    </xf>
    <xf numFmtId="174" fontId="31" fillId="15" borderId="22" xfId="10" applyFont="1" applyFill="1" applyBorder="1" applyProtection="1">
      <protection hidden="1"/>
    </xf>
    <xf numFmtId="173" fontId="34" fillId="15" borderId="22" xfId="5" applyNumberFormat="1" applyFont="1" applyFill="1" applyBorder="1"/>
    <xf numFmtId="174" fontId="38" fillId="0" borderId="0" xfId="10" applyFont="1" applyProtection="1">
      <protection hidden="1"/>
    </xf>
    <xf numFmtId="177" fontId="34" fillId="0" borderId="0" xfId="5" applyNumberFormat="1" applyFont="1"/>
    <xf numFmtId="183" fontId="23" fillId="0" borderId="0" xfId="5" applyNumberFormat="1" applyFont="1" applyAlignment="1">
      <alignment horizontal="center"/>
    </xf>
    <xf numFmtId="183" fontId="25" fillId="0" borderId="0" xfId="5" applyNumberFormat="1" applyFont="1" applyAlignment="1">
      <alignment horizontal="center"/>
    </xf>
    <xf numFmtId="10" fontId="29" fillId="0" borderId="0" xfId="5" applyNumberFormat="1" applyFont="1"/>
    <xf numFmtId="0" fontId="19" fillId="0" borderId="0" xfId="5"/>
    <xf numFmtId="0" fontId="19" fillId="0" borderId="0" xfId="5" applyAlignment="1">
      <alignment horizontal="center"/>
    </xf>
    <xf numFmtId="0" fontId="19" fillId="7" borderId="0" xfId="5" applyFill="1"/>
    <xf numFmtId="9" fontId="42" fillId="0" borderId="0" xfId="7" applyFont="1"/>
    <xf numFmtId="9" fontId="42" fillId="8" borderId="0" xfId="7" applyFont="1" applyFill="1"/>
    <xf numFmtId="165" fontId="42" fillId="0" borderId="0" xfId="7" applyNumberFormat="1" applyFont="1"/>
    <xf numFmtId="0" fontId="42" fillId="0" borderId="0" xfId="3" applyFont="1"/>
    <xf numFmtId="173" fontId="19" fillId="0" borderId="0" xfId="5" applyNumberFormat="1"/>
    <xf numFmtId="9" fontId="19" fillId="0" borderId="0" xfId="5" applyNumberFormat="1"/>
    <xf numFmtId="173" fontId="19" fillId="0" borderId="0" xfId="10" applyNumberFormat="1" applyFont="1"/>
    <xf numFmtId="173" fontId="42" fillId="0" borderId="0" xfId="10" applyNumberFormat="1" applyFont="1"/>
    <xf numFmtId="41" fontId="19" fillId="0" borderId="0" xfId="5" applyNumberFormat="1"/>
    <xf numFmtId="173" fontId="42" fillId="0" borderId="22" xfId="10" applyNumberFormat="1" applyFont="1" applyBorder="1"/>
    <xf numFmtId="0" fontId="19" fillId="0" borderId="22" xfId="5" applyBorder="1"/>
    <xf numFmtId="173" fontId="19" fillId="0" borderId="22" xfId="5" applyNumberFormat="1" applyBorder="1"/>
    <xf numFmtId="0" fontId="19" fillId="0" borderId="23" xfId="5" applyBorder="1"/>
    <xf numFmtId="173" fontId="19" fillId="0" borderId="23" xfId="5" applyNumberFormat="1" applyBorder="1"/>
    <xf numFmtId="173" fontId="42" fillId="12" borderId="0" xfId="10" applyNumberFormat="1" applyFont="1" applyFill="1"/>
    <xf numFmtId="173" fontId="19" fillId="12" borderId="0" xfId="5" applyNumberFormat="1" applyFill="1"/>
    <xf numFmtId="41" fontId="42" fillId="12" borderId="0" xfId="9" applyFont="1" applyFill="1"/>
    <xf numFmtId="173" fontId="19" fillId="0" borderId="24" xfId="5" applyNumberFormat="1" applyBorder="1"/>
    <xf numFmtId="0" fontId="19" fillId="0" borderId="24" xfId="5" applyBorder="1"/>
    <xf numFmtId="175" fontId="42" fillId="0" borderId="0" xfId="9" applyNumberFormat="1" applyFont="1"/>
    <xf numFmtId="173" fontId="19" fillId="12" borderId="22" xfId="5" applyNumberFormat="1" applyFill="1" applyBorder="1"/>
    <xf numFmtId="173" fontId="42" fillId="13" borderId="0" xfId="10" applyNumberFormat="1" applyFont="1" applyFill="1"/>
    <xf numFmtId="173" fontId="19" fillId="13" borderId="0" xfId="5" applyNumberFormat="1" applyFill="1"/>
    <xf numFmtId="173" fontId="42" fillId="14" borderId="0" xfId="10" applyNumberFormat="1" applyFont="1" applyFill="1"/>
    <xf numFmtId="173" fontId="19" fillId="14" borderId="0" xfId="5" applyNumberFormat="1" applyFill="1"/>
    <xf numFmtId="41" fontId="42" fillId="14" borderId="0" xfId="9" applyFont="1" applyFill="1"/>
    <xf numFmtId="0" fontId="19" fillId="12" borderId="0" xfId="5" applyFill="1"/>
    <xf numFmtId="0" fontId="19" fillId="7" borderId="0" xfId="5" applyFill="1" applyAlignment="1">
      <alignment horizontal="center"/>
    </xf>
    <xf numFmtId="0" fontId="19" fillId="15" borderId="0" xfId="5" applyFill="1" applyAlignment="1">
      <alignment horizontal="center"/>
    </xf>
    <xf numFmtId="0" fontId="19" fillId="16" borderId="0" xfId="5" applyFill="1" applyAlignment="1">
      <alignment horizontal="center"/>
    </xf>
    <xf numFmtId="0" fontId="19" fillId="7" borderId="0" xfId="5" applyFill="1" applyAlignment="1">
      <alignment horizontal="center" vertical="center"/>
    </xf>
    <xf numFmtId="41" fontId="42" fillId="0" borderId="0" xfId="9" applyFont="1"/>
    <xf numFmtId="173" fontId="19" fillId="0" borderId="0" xfId="5" applyNumberFormat="1" applyAlignment="1">
      <alignment horizontal="center"/>
    </xf>
    <xf numFmtId="173" fontId="19" fillId="12" borderId="0" xfId="5" applyNumberFormat="1" applyFill="1" applyAlignment="1">
      <alignment horizontal="center"/>
    </xf>
    <xf numFmtId="0" fontId="19" fillId="15" borderId="0" xfId="5" applyFill="1"/>
    <xf numFmtId="165" fontId="42" fillId="14" borderId="0" xfId="7" applyNumberFormat="1" applyFont="1" applyFill="1"/>
    <xf numFmtId="178" fontId="19" fillId="0" borderId="0" xfId="5" applyNumberFormat="1"/>
    <xf numFmtId="173" fontId="19" fillId="14" borderId="22" xfId="5" applyNumberFormat="1" applyFill="1" applyBorder="1"/>
    <xf numFmtId="173" fontId="19" fillId="15" borderId="0" xfId="5" applyNumberFormat="1" applyFill="1"/>
    <xf numFmtId="165" fontId="19" fillId="12" borderId="22" xfId="5" applyNumberFormat="1" applyFill="1" applyBorder="1"/>
    <xf numFmtId="173" fontId="19" fillId="17" borderId="0" xfId="5" applyNumberFormat="1" applyFill="1"/>
    <xf numFmtId="173" fontId="19" fillId="18" borderId="0" xfId="5" applyNumberFormat="1" applyFill="1"/>
    <xf numFmtId="165" fontId="19" fillId="12" borderId="25" xfId="5" applyNumberFormat="1" applyFill="1" applyBorder="1"/>
    <xf numFmtId="165" fontId="19" fillId="0" borderId="0" xfId="5" applyNumberFormat="1"/>
    <xf numFmtId="165" fontId="19" fillId="15" borderId="0" xfId="5" applyNumberFormat="1" applyFill="1"/>
    <xf numFmtId="2" fontId="19" fillId="12" borderId="22" xfId="5" applyNumberFormat="1" applyFill="1" applyBorder="1"/>
    <xf numFmtId="179" fontId="19" fillId="14" borderId="0" xfId="5" applyNumberFormat="1" applyFill="1"/>
    <xf numFmtId="0" fontId="42" fillId="0" borderId="0" xfId="11" applyFont="1" applyAlignment="1">
      <alignment vertical="center"/>
    </xf>
    <xf numFmtId="0" fontId="42" fillId="0" borderId="0" xfId="11" applyFont="1"/>
    <xf numFmtId="180" fontId="43" fillId="0" borderId="0" xfId="11" applyNumberFormat="1" applyFont="1" applyAlignment="1">
      <alignment horizontal="right"/>
    </xf>
    <xf numFmtId="179" fontId="42" fillId="0" borderId="0" xfId="11" applyNumberFormat="1" applyFont="1"/>
    <xf numFmtId="180" fontId="42" fillId="0" borderId="0" xfId="11" applyNumberFormat="1" applyFont="1"/>
    <xf numFmtId="0" fontId="44" fillId="0" borderId="0" xfId="11" applyFont="1"/>
    <xf numFmtId="43" fontId="42" fillId="0" borderId="0" xfId="11" applyNumberFormat="1" applyFont="1"/>
    <xf numFmtId="180" fontId="43" fillId="0" borderId="0" xfId="11" applyNumberFormat="1" applyFont="1"/>
    <xf numFmtId="14" fontId="19" fillId="0" borderId="0" xfId="5" applyNumberFormat="1" applyAlignment="1">
      <alignment horizontal="center" vertical="center" wrapText="1"/>
    </xf>
    <xf numFmtId="181" fontId="19" fillId="0" borderId="0" xfId="5" applyNumberFormat="1" applyAlignment="1">
      <alignment horizontal="center" vertical="center"/>
    </xf>
    <xf numFmtId="181" fontId="19" fillId="0" borderId="0" xfId="5" applyNumberFormat="1" applyAlignment="1">
      <alignment horizontal="center"/>
    </xf>
    <xf numFmtId="10" fontId="42" fillId="12" borderId="0" xfId="7" applyNumberFormat="1" applyFont="1" applyFill="1"/>
    <xf numFmtId="10" fontId="19" fillId="14" borderId="2" xfId="5" applyNumberFormat="1" applyFill="1" applyBorder="1"/>
    <xf numFmtId="0" fontId="19" fillId="0" borderId="26" xfId="5" applyBorder="1"/>
    <xf numFmtId="10" fontId="19" fillId="12" borderId="0" xfId="5" applyNumberFormat="1" applyFill="1"/>
    <xf numFmtId="0" fontId="19" fillId="0" borderId="2" xfId="5" applyBorder="1"/>
    <xf numFmtId="182" fontId="19" fillId="12" borderId="26" xfId="5" applyNumberFormat="1" applyFill="1" applyBorder="1"/>
    <xf numFmtId="182" fontId="19" fillId="0" borderId="2" xfId="5" applyNumberFormat="1" applyBorder="1"/>
    <xf numFmtId="182" fontId="19" fillId="14" borderId="2" xfId="5" applyNumberFormat="1" applyFill="1" applyBorder="1"/>
    <xf numFmtId="182" fontId="19" fillId="12" borderId="0" xfId="5" applyNumberFormat="1" applyFill="1"/>
    <xf numFmtId="182" fontId="19" fillId="0" borderId="0" xfId="5" applyNumberFormat="1"/>
    <xf numFmtId="43" fontId="19" fillId="0" borderId="0" xfId="5" applyNumberFormat="1"/>
    <xf numFmtId="177" fontId="19" fillId="0" borderId="0" xfId="5" applyNumberFormat="1"/>
    <xf numFmtId="165" fontId="8" fillId="0" borderId="3" xfId="2" applyNumberFormat="1" applyFont="1" applyBorder="1"/>
    <xf numFmtId="169" fontId="8" fillId="0" borderId="3" xfId="0" applyNumberFormat="1" applyFont="1" applyBorder="1"/>
    <xf numFmtId="3" fontId="8" fillId="0" borderId="10" xfId="0" applyNumberFormat="1" applyFont="1" applyBorder="1"/>
    <xf numFmtId="0" fontId="46" fillId="2" borderId="13" xfId="0" applyFont="1" applyFill="1" applyBorder="1"/>
    <xf numFmtId="0" fontId="46" fillId="2" borderId="13" xfId="0" applyFont="1" applyFill="1" applyBorder="1" applyAlignment="1">
      <alignment wrapText="1"/>
    </xf>
    <xf numFmtId="0" fontId="8" fillId="0" borderId="13" xfId="0" applyFont="1" applyBorder="1" applyAlignment="1">
      <alignment wrapText="1"/>
    </xf>
    <xf numFmtId="0" fontId="46" fillId="3" borderId="13" xfId="0" applyFont="1" applyFill="1" applyBorder="1"/>
    <xf numFmtId="0" fontId="47" fillId="0" borderId="13" xfId="0" applyFont="1" applyBorder="1"/>
    <xf numFmtId="42" fontId="47" fillId="0" borderId="13" xfId="0" applyNumberFormat="1" applyFont="1" applyBorder="1"/>
    <xf numFmtId="0" fontId="46" fillId="0" borderId="0" xfId="0" applyFont="1"/>
    <xf numFmtId="0" fontId="8" fillId="0" borderId="0" xfId="0" applyFont="1" applyAlignment="1">
      <alignment wrapText="1"/>
    </xf>
    <xf numFmtId="0" fontId="48" fillId="0" borderId="0" xfId="0" applyFont="1"/>
    <xf numFmtId="42" fontId="48" fillId="0" borderId="0" xfId="0" applyNumberFormat="1" applyFont="1"/>
    <xf numFmtId="0" fontId="48" fillId="0" borderId="0" xfId="0" applyFont="1" applyAlignment="1">
      <alignment wrapText="1"/>
    </xf>
    <xf numFmtId="0" fontId="49" fillId="0" borderId="0" xfId="3" applyFont="1" applyAlignment="1">
      <alignment horizontal="left" indent="2"/>
    </xf>
    <xf numFmtId="0" fontId="50" fillId="0" borderId="0" xfId="3" applyFont="1" applyAlignment="1">
      <alignment horizontal="left" indent="4"/>
    </xf>
    <xf numFmtId="0" fontId="4" fillId="0" borderId="16" xfId="0" applyFont="1" applyBorder="1"/>
    <xf numFmtId="9" fontId="4" fillId="0" borderId="16" xfId="0" applyNumberFormat="1" applyFont="1" applyBorder="1"/>
    <xf numFmtId="0" fontId="4" fillId="0" borderId="17" xfId="0" applyFont="1" applyBorder="1"/>
    <xf numFmtId="10" fontId="4" fillId="0" borderId="16" xfId="0" applyNumberFormat="1" applyFont="1" applyBorder="1"/>
    <xf numFmtId="0" fontId="4" fillId="0" borderId="0" xfId="0" applyFont="1"/>
    <xf numFmtId="0" fontId="6" fillId="0" borderId="0" xfId="0" applyFont="1"/>
    <xf numFmtId="10" fontId="4" fillId="0" borderId="17" xfId="0" applyNumberFormat="1" applyFont="1" applyBorder="1"/>
    <xf numFmtId="0" fontId="4" fillId="0" borderId="19" xfId="0" applyFont="1" applyBorder="1"/>
    <xf numFmtId="9" fontId="4" fillId="0" borderId="19" xfId="0" applyNumberFormat="1" applyFont="1" applyBorder="1"/>
    <xf numFmtId="2" fontId="4" fillId="0" borderId="19" xfId="0" applyNumberFormat="1" applyFont="1" applyBorder="1"/>
    <xf numFmtId="10" fontId="4" fillId="0" borderId="19" xfId="0" applyNumberFormat="1" applyFont="1" applyBorder="1"/>
    <xf numFmtId="0" fontId="55" fillId="0" borderId="19" xfId="0" applyFont="1" applyBorder="1"/>
    <xf numFmtId="2" fontId="55" fillId="0" borderId="19" xfId="0" applyNumberFormat="1" applyFont="1" applyBorder="1"/>
    <xf numFmtId="165" fontId="55" fillId="0" borderId="19" xfId="0" applyNumberFormat="1" applyFont="1" applyBorder="1"/>
    <xf numFmtId="0" fontId="52" fillId="0" borderId="20" xfId="0" applyFont="1" applyBorder="1"/>
    <xf numFmtId="0" fontId="52" fillId="0" borderId="21" xfId="0" applyFont="1" applyBorder="1"/>
    <xf numFmtId="10" fontId="4" fillId="0" borderId="0" xfId="0" applyNumberFormat="1" applyFont="1"/>
    <xf numFmtId="0" fontId="4" fillId="0" borderId="18" xfId="0" applyFont="1" applyBorder="1"/>
    <xf numFmtId="0" fontId="55" fillId="0" borderId="18" xfId="0" applyFont="1" applyBorder="1"/>
    <xf numFmtId="10" fontId="55" fillId="0" borderId="18" xfId="0" applyNumberFormat="1" applyFont="1" applyBorder="1"/>
    <xf numFmtId="10" fontId="4" fillId="0" borderId="18" xfId="0" applyNumberFormat="1" applyFont="1" applyBorder="1"/>
    <xf numFmtId="9" fontId="4" fillId="0" borderId="18" xfId="0" applyNumberFormat="1" applyFont="1" applyBorder="1"/>
    <xf numFmtId="14" fontId="4" fillId="0" borderId="0" xfId="0" applyNumberFormat="1" applyFont="1"/>
    <xf numFmtId="10" fontId="4" fillId="0" borderId="0" xfId="2" applyNumberFormat="1" applyFont="1"/>
    <xf numFmtId="165" fontId="8" fillId="0" borderId="0" xfId="2" applyNumberFormat="1" applyFont="1"/>
    <xf numFmtId="9" fontId="8" fillId="0" borderId="0" xfId="2" applyFont="1"/>
    <xf numFmtId="10" fontId="46" fillId="4" borderId="0" xfId="0" applyNumberFormat="1" applyFont="1" applyFill="1"/>
    <xf numFmtId="42" fontId="46" fillId="4" borderId="0" xfId="1" applyFont="1" applyFill="1"/>
    <xf numFmtId="3" fontId="8" fillId="0" borderId="0" xfId="1" applyNumberFormat="1" applyFont="1"/>
    <xf numFmtId="1" fontId="8" fillId="0" borderId="0" xfId="0" applyNumberFormat="1" applyFont="1"/>
    <xf numFmtId="0" fontId="8" fillId="0" borderId="0" xfId="0" applyFont="1" applyAlignment="1">
      <alignment horizontal="right"/>
    </xf>
    <xf numFmtId="42" fontId="8" fillId="0" borderId="0" xfId="1" applyFont="1" applyAlignment="1">
      <alignment horizontal="right"/>
    </xf>
    <xf numFmtId="10" fontId="8" fillId="0" borderId="0" xfId="0" applyNumberFormat="1" applyFont="1" applyAlignment="1">
      <alignment horizontal="right"/>
    </xf>
    <xf numFmtId="42" fontId="8" fillId="0" borderId="0" xfId="0" applyNumberFormat="1" applyFont="1" applyAlignment="1">
      <alignment horizontal="right"/>
    </xf>
    <xf numFmtId="44" fontId="8" fillId="0" borderId="0" xfId="0" applyNumberFormat="1" applyFont="1" applyAlignment="1">
      <alignment horizontal="right"/>
    </xf>
    <xf numFmtId="9" fontId="8" fillId="0" borderId="0" xfId="0" applyNumberFormat="1" applyFont="1" applyAlignment="1">
      <alignment horizontal="right"/>
    </xf>
    <xf numFmtId="0" fontId="4" fillId="0" borderId="0" xfId="12" applyFont="1"/>
    <xf numFmtId="0" fontId="57" fillId="0" borderId="0" xfId="12" applyFont="1" applyAlignment="1">
      <alignment horizontal="center" vertical="center"/>
    </xf>
    <xf numFmtId="42" fontId="55" fillId="0" borderId="0" xfId="13" applyFont="1"/>
    <xf numFmtId="0" fontId="58" fillId="0" borderId="0" xfId="12" applyFont="1" applyAlignment="1">
      <alignment horizontal="left" vertical="center"/>
    </xf>
    <xf numFmtId="42" fontId="8" fillId="0" borderId="0" xfId="13" applyFont="1"/>
    <xf numFmtId="0" fontId="58" fillId="0" borderId="0" xfId="12" applyFont="1" applyAlignment="1">
      <alignment horizontal="left" vertical="center" indent="1"/>
    </xf>
    <xf numFmtId="42" fontId="58" fillId="0" borderId="0" xfId="13" applyFont="1" applyAlignment="1">
      <alignment horizontal="left" vertical="center" indent="1"/>
    </xf>
    <xf numFmtId="0" fontId="4" fillId="0" borderId="0" xfId="12" applyFont="1" applyAlignment="1">
      <alignment horizontal="left" indent="1"/>
    </xf>
    <xf numFmtId="42" fontId="58" fillId="0" borderId="0" xfId="13" applyFont="1" applyAlignment="1">
      <alignment horizontal="left" vertical="center"/>
    </xf>
    <xf numFmtId="2" fontId="4" fillId="0" borderId="0" xfId="12" applyNumberFormat="1" applyFont="1"/>
    <xf numFmtId="9" fontId="4" fillId="0" borderId="0" xfId="2" applyFont="1"/>
    <xf numFmtId="185" fontId="8" fillId="0" borderId="0" xfId="0" applyNumberFormat="1" applyFont="1"/>
    <xf numFmtId="186" fontId="8" fillId="0" borderId="0" xfId="0" applyNumberFormat="1" applyFont="1"/>
    <xf numFmtId="0" fontId="8" fillId="0" borderId="27" xfId="0" applyFont="1" applyBorder="1"/>
    <xf numFmtId="0" fontId="8" fillId="0" borderId="27" xfId="0" applyFont="1" applyBorder="1" applyAlignment="1">
      <alignment horizontal="left" indent="1"/>
    </xf>
    <xf numFmtId="186" fontId="8" fillId="0" borderId="27" xfId="4" applyNumberFormat="1" applyFont="1" applyBorder="1"/>
    <xf numFmtId="186" fontId="8" fillId="0" borderId="27" xfId="0" applyNumberFormat="1" applyFont="1" applyBorder="1"/>
    <xf numFmtId="0" fontId="8" fillId="0" borderId="27" xfId="0" applyFont="1" applyBorder="1" applyAlignment="1">
      <alignment horizontal="left"/>
    </xf>
    <xf numFmtId="186" fontId="8" fillId="0" borderId="27" xfId="1" applyNumberFormat="1" applyFont="1" applyBorder="1"/>
    <xf numFmtId="184" fontId="8" fillId="0" borderId="27" xfId="0" applyNumberFormat="1" applyFont="1" applyBorder="1"/>
    <xf numFmtId="0" fontId="59" fillId="0" borderId="28" xfId="0" applyFont="1" applyBorder="1" applyAlignment="1">
      <alignment horizontal="center"/>
    </xf>
    <xf numFmtId="0" fontId="59" fillId="0" borderId="28" xfId="0" applyFont="1" applyBorder="1"/>
    <xf numFmtId="0" fontId="60" fillId="0" borderId="29" xfId="0" applyFont="1" applyBorder="1"/>
    <xf numFmtId="0" fontId="60" fillId="0" borderId="30" xfId="0" applyFont="1" applyBorder="1"/>
    <xf numFmtId="0" fontId="60" fillId="0" borderId="31" xfId="0" applyFont="1" applyBorder="1"/>
    <xf numFmtId="0" fontId="51" fillId="0" borderId="32" xfId="0" applyFont="1" applyBorder="1"/>
    <xf numFmtId="0" fontId="51" fillId="0" borderId="0" xfId="0" applyFont="1" applyAlignment="1">
      <alignment horizontal="center"/>
    </xf>
    <xf numFmtId="0" fontId="52" fillId="0" borderId="0" xfId="0" applyFont="1"/>
    <xf numFmtId="10" fontId="6" fillId="0" borderId="0" xfId="0" applyNumberFormat="1" applyFont="1"/>
    <xf numFmtId="0" fontId="51" fillId="0" borderId="0" xfId="0" applyFont="1"/>
    <xf numFmtId="9" fontId="6" fillId="0" borderId="0" xfId="0" applyNumberFormat="1" applyFont="1"/>
    <xf numFmtId="167" fontId="6" fillId="0" borderId="33" xfId="0" applyNumberFormat="1" applyFont="1" applyBorder="1"/>
    <xf numFmtId="10" fontId="6" fillId="0" borderId="32" xfId="0" applyNumberFormat="1" applyFont="1" applyBorder="1"/>
    <xf numFmtId="10" fontId="6" fillId="0" borderId="33" xfId="0" applyNumberFormat="1" applyFont="1" applyBorder="1"/>
    <xf numFmtId="9" fontId="6" fillId="0" borderId="32" xfId="0" applyNumberFormat="1" applyFont="1" applyBorder="1"/>
    <xf numFmtId="0" fontId="63" fillId="0" borderId="0" xfId="0" applyFont="1"/>
    <xf numFmtId="0" fontId="64" fillId="0" borderId="0" xfId="0" applyFont="1"/>
    <xf numFmtId="9" fontId="8" fillId="0" borderId="13" xfId="0" applyNumberFormat="1" applyFont="1" applyBorder="1"/>
    <xf numFmtId="9" fontId="8" fillId="0" borderId="13" xfId="2" applyFont="1" applyBorder="1"/>
    <xf numFmtId="10" fontId="8" fillId="0" borderId="13" xfId="2" applyNumberFormat="1" applyFont="1" applyBorder="1"/>
    <xf numFmtId="3" fontId="8" fillId="0" borderId="13" xfId="1" applyNumberFormat="1" applyFont="1" applyBorder="1"/>
    <xf numFmtId="44" fontId="8" fillId="0" borderId="13" xfId="0" applyNumberFormat="1" applyFont="1" applyBorder="1"/>
    <xf numFmtId="164" fontId="8" fillId="0" borderId="13" xfId="4" applyFont="1" applyBorder="1"/>
    <xf numFmtId="10" fontId="8" fillId="0" borderId="13" xfId="0" applyNumberFormat="1" applyFont="1" applyBorder="1"/>
    <xf numFmtId="0" fontId="64" fillId="0" borderId="28" xfId="0" applyFont="1" applyBorder="1"/>
    <xf numFmtId="42" fontId="64" fillId="0" borderId="34" xfId="1" applyFont="1" applyBorder="1" applyAlignment="1">
      <alignment horizontal="right" vertical="center" wrapText="1"/>
    </xf>
    <xf numFmtId="42" fontId="64" fillId="0" borderId="34" xfId="0" applyNumberFormat="1" applyFont="1" applyBorder="1" applyAlignment="1">
      <alignment horizontal="right" vertical="center" wrapText="1"/>
    </xf>
    <xf numFmtId="0" fontId="64" fillId="0" borderId="34" xfId="0" applyFont="1" applyBorder="1" applyAlignment="1">
      <alignment horizontal="right" vertical="center" wrapText="1"/>
    </xf>
    <xf numFmtId="0" fontId="8" fillId="0" borderId="35" xfId="1" applyNumberFormat="1" applyFont="1" applyBorder="1" applyAlignment="1">
      <alignment horizontal="right"/>
    </xf>
    <xf numFmtId="9" fontId="8" fillId="0" borderId="35" xfId="0" applyNumberFormat="1" applyFont="1" applyBorder="1" applyAlignment="1">
      <alignment horizontal="right"/>
    </xf>
    <xf numFmtId="1" fontId="8" fillId="0" borderId="35" xfId="0" applyNumberFormat="1" applyFont="1" applyBorder="1" applyAlignment="1">
      <alignment horizontal="right"/>
    </xf>
    <xf numFmtId="42" fontId="8" fillId="0" borderId="35" xfId="1" applyFont="1" applyBorder="1" applyAlignment="1">
      <alignment horizontal="right"/>
    </xf>
    <xf numFmtId="42" fontId="8" fillId="0" borderId="35" xfId="0" applyNumberFormat="1" applyFont="1" applyBorder="1" applyAlignment="1">
      <alignment horizontal="right"/>
    </xf>
    <xf numFmtId="0" fontId="8" fillId="0" borderId="35" xfId="0" applyFont="1" applyBorder="1"/>
    <xf numFmtId="0" fontId="8" fillId="0" borderId="4" xfId="0" applyFont="1" applyBorder="1" applyAlignment="1">
      <alignment horizontal="right"/>
    </xf>
    <xf numFmtId="1" fontId="8" fillId="0" borderId="4" xfId="0" applyNumberFormat="1" applyFont="1" applyBorder="1" applyAlignment="1">
      <alignment horizontal="right"/>
    </xf>
    <xf numFmtId="42" fontId="8" fillId="0" borderId="4" xfId="1" applyFont="1" applyBorder="1" applyAlignment="1">
      <alignment horizontal="right"/>
    </xf>
    <xf numFmtId="42" fontId="8" fillId="0" borderId="4" xfId="0" applyNumberFormat="1" applyFont="1" applyBorder="1" applyAlignment="1">
      <alignment horizontal="right"/>
    </xf>
    <xf numFmtId="0" fontId="8" fillId="0" borderId="4" xfId="0" applyFont="1" applyBorder="1"/>
    <xf numFmtId="0" fontId="59" fillId="0" borderId="0" xfId="12" applyFont="1"/>
    <xf numFmtId="0" fontId="61" fillId="0" borderId="0" xfId="12" applyFont="1"/>
    <xf numFmtId="0" fontId="59" fillId="0" borderId="0" xfId="12" applyFont="1" applyAlignment="1">
      <alignment horizontal="left" vertical="center" indent="1"/>
    </xf>
    <xf numFmtId="0" fontId="61" fillId="0" borderId="0" xfId="12" applyFont="1" applyAlignment="1">
      <alignment horizontal="left" vertical="center" indent="1"/>
    </xf>
    <xf numFmtId="0" fontId="61" fillId="0" borderId="28" xfId="12" applyFont="1" applyBorder="1"/>
    <xf numFmtId="0" fontId="59" fillId="0" borderId="28" xfId="12" applyFont="1" applyBorder="1"/>
    <xf numFmtId="0" fontId="59" fillId="0" borderId="28" xfId="12" applyFont="1" applyBorder="1" applyAlignment="1">
      <alignment horizontal="left" vertical="center" indent="1"/>
    </xf>
    <xf numFmtId="42" fontId="59" fillId="0" borderId="28" xfId="13" applyFont="1" applyBorder="1"/>
    <xf numFmtId="14" fontId="59" fillId="0" borderId="28" xfId="13" applyNumberFormat="1" applyFont="1" applyBorder="1"/>
    <xf numFmtId="42" fontId="63" fillId="0" borderId="0" xfId="13" applyFont="1" applyBorder="1"/>
    <xf numFmtId="0" fontId="59" fillId="0" borderId="13" xfId="12" applyFont="1" applyBorder="1" applyAlignment="1">
      <alignment horizontal="justify" vertical="center" wrapText="1"/>
    </xf>
    <xf numFmtId="0" fontId="59" fillId="0" borderId="13" xfId="12" applyFont="1" applyBorder="1" applyAlignment="1">
      <alignment horizontal="center" vertical="center"/>
    </xf>
    <xf numFmtId="0" fontId="4" fillId="0" borderId="13" xfId="12" applyFont="1" applyBorder="1" applyAlignment="1">
      <alignment horizontal="justify" vertical="center" wrapText="1"/>
    </xf>
    <xf numFmtId="42" fontId="4" fillId="0" borderId="13" xfId="12" applyNumberFormat="1" applyFont="1" applyBorder="1" applyAlignment="1">
      <alignment horizontal="justify" vertical="center" wrapText="1"/>
    </xf>
    <xf numFmtId="42" fontId="4" fillId="0" borderId="13" xfId="12" applyNumberFormat="1" applyFont="1" applyBorder="1"/>
    <xf numFmtId="9" fontId="4" fillId="0" borderId="13" xfId="2" applyFont="1" applyBorder="1" applyAlignment="1">
      <alignment horizontal="right" vertical="center" wrapText="1"/>
    </xf>
    <xf numFmtId="2" fontId="4" fillId="0" borderId="13" xfId="12" applyNumberFormat="1" applyFont="1" applyBorder="1" applyAlignment="1">
      <alignment horizontal="right" vertical="center" wrapText="1"/>
    </xf>
    <xf numFmtId="0" fontId="4" fillId="0" borderId="13" xfId="12" applyFont="1" applyBorder="1"/>
    <xf numFmtId="9" fontId="4" fillId="0" borderId="13" xfId="2" applyFont="1" applyBorder="1"/>
    <xf numFmtId="9" fontId="4" fillId="0" borderId="13" xfId="12" applyNumberFormat="1" applyFont="1" applyBorder="1" applyAlignment="1">
      <alignment horizontal="right"/>
    </xf>
    <xf numFmtId="2" fontId="55" fillId="0" borderId="13" xfId="12" applyNumberFormat="1" applyFont="1" applyBorder="1"/>
    <xf numFmtId="0" fontId="4" fillId="0" borderId="13" xfId="12" applyFont="1" applyBorder="1" applyAlignment="1">
      <alignment horizontal="left" indent="1"/>
    </xf>
    <xf numFmtId="42" fontId="8" fillId="0" borderId="13" xfId="13" applyFont="1" applyBorder="1"/>
    <xf numFmtId="0" fontId="61" fillId="0" borderId="37" xfId="12" applyFont="1" applyBorder="1"/>
    <xf numFmtId="0" fontId="59" fillId="0" borderId="37" xfId="12" applyFont="1" applyBorder="1"/>
    <xf numFmtId="0" fontId="59" fillId="0" borderId="37" xfId="12" applyFont="1" applyBorder="1" applyAlignment="1">
      <alignment horizontal="left" vertical="center" indent="1"/>
    </xf>
    <xf numFmtId="0" fontId="64" fillId="0" borderId="27" xfId="0" applyFont="1" applyBorder="1"/>
    <xf numFmtId="0" fontId="8" fillId="0" borderId="38" xfId="0" applyFont="1" applyBorder="1"/>
    <xf numFmtId="186" fontId="8" fillId="0" borderId="38" xfId="0" applyNumberFormat="1" applyFont="1" applyBorder="1"/>
    <xf numFmtId="0" fontId="8" fillId="0" borderId="39" xfId="0" applyFont="1" applyBorder="1"/>
    <xf numFmtId="1" fontId="8" fillId="0" borderId="39" xfId="0" applyNumberFormat="1" applyFont="1" applyBorder="1"/>
    <xf numFmtId="0" fontId="1" fillId="0" borderId="0" xfId="0" applyFont="1"/>
    <xf numFmtId="0" fontId="45" fillId="0" borderId="0" xfId="14"/>
    <xf numFmtId="0" fontId="20" fillId="11" borderId="0" xfId="5" applyFont="1" applyFill="1" applyAlignment="1">
      <alignment horizontal="left" wrapText="1"/>
    </xf>
    <xf numFmtId="0" fontId="34" fillId="0" borderId="0" xfId="5" applyFont="1" applyAlignment="1">
      <alignment horizontal="center"/>
    </xf>
    <xf numFmtId="0" fontId="34" fillId="0" borderId="2" xfId="5" applyFont="1" applyBorder="1" applyAlignment="1">
      <alignment horizontal="center" vertical="center"/>
    </xf>
    <xf numFmtId="0" fontId="34" fillId="0" borderId="0" xfId="5" applyFont="1" applyAlignment="1">
      <alignment horizontal="right" vertical="center" textRotation="90"/>
    </xf>
    <xf numFmtId="0" fontId="24" fillId="0" borderId="0" xfId="3" applyFont="1" applyAlignment="1">
      <alignment horizontal="center"/>
    </xf>
    <xf numFmtId="0" fontId="24" fillId="0" borderId="0" xfId="3" applyFont="1" applyAlignment="1">
      <alignment horizontal="center" wrapText="1"/>
    </xf>
    <xf numFmtId="0" fontId="37" fillId="11" borderId="0" xfId="5" applyFont="1" applyFill="1" applyAlignment="1">
      <alignment horizontal="left" wrapText="1"/>
    </xf>
    <xf numFmtId="0" fontId="20" fillId="11" borderId="0" xfId="5" applyFont="1" applyFill="1" applyAlignment="1">
      <alignment horizontal="left" vertical="center" wrapText="1"/>
    </xf>
    <xf numFmtId="0" fontId="65" fillId="0" borderId="0" xfId="0" applyFont="1" applyAlignment="1">
      <alignment horizontal="center"/>
    </xf>
    <xf numFmtId="0" fontId="46" fillId="3" borderId="13" xfId="0" applyFont="1" applyFill="1" applyBorder="1" applyAlignment="1">
      <alignment horizontal="left"/>
    </xf>
    <xf numFmtId="0" fontId="59" fillId="0" borderId="28" xfId="0" applyFont="1" applyBorder="1" applyAlignment="1">
      <alignment horizontal="left"/>
    </xf>
    <xf numFmtId="0" fontId="61" fillId="0" borderId="28" xfId="0" applyFont="1" applyBorder="1"/>
    <xf numFmtId="0" fontId="59" fillId="0" borderId="28" xfId="0" applyFont="1" applyBorder="1" applyAlignment="1">
      <alignment horizontal="center"/>
    </xf>
    <xf numFmtId="0" fontId="59" fillId="0" borderId="28" xfId="0" applyFont="1" applyBorder="1"/>
    <xf numFmtId="0" fontId="51" fillId="0" borderId="0" xfId="0" applyFont="1" applyAlignment="1">
      <alignment horizontal="center"/>
    </xf>
    <xf numFmtId="0" fontId="52" fillId="0" borderId="0" xfId="0" applyFont="1"/>
    <xf numFmtId="0" fontId="59" fillId="0" borderId="15" xfId="0" applyFont="1" applyBorder="1" applyAlignment="1">
      <alignment horizontal="left"/>
    </xf>
    <xf numFmtId="0" fontId="61" fillId="0" borderId="15" xfId="0" applyFont="1" applyBorder="1"/>
    <xf numFmtId="0" fontId="8" fillId="0" borderId="0" xfId="0" applyFont="1" applyAlignment="1">
      <alignment horizontal="center"/>
    </xf>
    <xf numFmtId="0" fontId="64" fillId="0" borderId="28" xfId="0" applyFont="1" applyBorder="1" applyAlignment="1">
      <alignment horizontal="center"/>
    </xf>
    <xf numFmtId="0" fontId="64" fillId="0" borderId="36" xfId="0" applyFont="1" applyBorder="1" applyAlignment="1">
      <alignment horizontal="center" vertical="center" wrapText="1"/>
    </xf>
    <xf numFmtId="0" fontId="64" fillId="0" borderId="0" xfId="0" applyFont="1" applyAlignment="1">
      <alignment horizontal="center"/>
    </xf>
    <xf numFmtId="0" fontId="18" fillId="5" borderId="3" xfId="0" applyFont="1" applyFill="1" applyBorder="1" applyAlignment="1">
      <alignment horizontal="right" vertical="center" wrapText="1"/>
    </xf>
    <xf numFmtId="166" fontId="9" fillId="5" borderId="4" xfId="0" applyNumberFormat="1" applyFont="1" applyFill="1" applyBorder="1" applyAlignment="1">
      <alignment horizontal="center" vertical="center"/>
    </xf>
    <xf numFmtId="166" fontId="9" fillId="5" borderId="2" xfId="0" applyNumberFormat="1" applyFont="1" applyFill="1" applyBorder="1" applyAlignment="1">
      <alignment horizontal="center" vertical="center"/>
    </xf>
    <xf numFmtId="0" fontId="11" fillId="0" borderId="1" xfId="0" applyFont="1" applyBorder="1" applyAlignment="1">
      <alignment horizontal="left"/>
    </xf>
  </cellXfs>
  <cellStyles count="15">
    <cellStyle name="Comma [0] 2" xfId="8" xr:uid="{0F9E9A1E-0212-984D-9F92-177A841ED041}"/>
    <cellStyle name="Hipervínculo" xfId="14" builtinId="8"/>
    <cellStyle name="Millares [0] 2" xfId="9" xr:uid="{328F72FC-ECE7-B543-A412-EC0F5CCAEC94}"/>
    <cellStyle name="Millares 2" xfId="10" xr:uid="{2AA8A86C-043C-4949-9540-F95217592E60}"/>
    <cellStyle name="Moneda" xfId="4" builtinId="4"/>
    <cellStyle name="Moneda [0]" xfId="1" builtinId="7"/>
    <cellStyle name="Moneda [0] 2" xfId="13" xr:uid="{0906310F-8EA9-DC44-B589-24C771602CCB}"/>
    <cellStyle name="Normal" xfId="0" builtinId="0"/>
    <cellStyle name="Normal 2" xfId="5" xr:uid="{96F17AFA-CDEC-D146-BCB4-565F1C9E61DA}"/>
    <cellStyle name="Normal 2 2" xfId="11" xr:uid="{0DF9AE6B-D0CA-F144-9BDB-CAB2C9740903}"/>
    <cellStyle name="Normal 3" xfId="3" xr:uid="{B4E40D19-09E5-D241-AD4D-DF1A259F89AC}"/>
    <cellStyle name="Normal 4" xfId="12" xr:uid="{0E18CADA-08EB-7E48-81D9-574E230ECEAB}"/>
    <cellStyle name="Percent 2" xfId="6" xr:uid="{26157CFE-2DE0-8B43-BE7F-85ABBC5F364A}"/>
    <cellStyle name="Porcentaje" xfId="2" builtinId="5"/>
    <cellStyle name="Porcentaje 2" xfId="7" xr:uid="{2D67D60D-BC14-154B-82E2-900A068F48F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Valor anual de la empresa </a:t>
            </a:r>
            <a:r>
              <a:rPr lang="en-US" sz="1600" b="0"/>
              <a:t>(Final del período)</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2.1775835774346851E-2"/>
          <c:y val="0.17372915308964926"/>
          <c:w val="0.95644832845130634"/>
          <c:h val="0.73430877633636693"/>
        </c:manualLayout>
      </c:layout>
      <c:barChart>
        <c:barDir val="col"/>
        <c:grouping val="clustered"/>
        <c:varyColors val="0"/>
        <c:ser>
          <c:idx val="0"/>
          <c:order val="0"/>
          <c:spPr>
            <a:solidFill>
              <a:srgbClr val="0000FF"/>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'Proyeccion estados financieros'!$B$457:$G$457</c:f>
              <c:numCache>
                <c:formatCode>_(* #,##0_);_(* \(#,##0\);_(* "-"??_);_(@_)</c:formatCode>
                <c:ptCount val="6"/>
                <c:pt idx="0">
                  <c:v>0</c:v>
                </c:pt>
                <c:pt idx="1">
                  <c:v>0</c:v>
                </c:pt>
                <c:pt idx="2">
                  <c:v>0</c:v>
                </c:pt>
                <c:pt idx="3">
                  <c:v>0</c:v>
                </c:pt>
                <c:pt idx="4">
                  <c:v>0</c:v>
                </c:pt>
                <c:pt idx="5">
                  <c:v>0</c:v>
                </c:pt>
              </c:numCache>
            </c:numRef>
          </c:val>
          <c:extLst>
            <c:ext xmlns:c15="http://schemas.microsoft.com/office/drawing/2012/chart" uri="{02D57815-91ED-43cb-92C2-25804820EDAC}">
              <c15:filteredCategoryTitle>
                <c15:cat>
                  <c:numRef>
                    <c:extLst>
                      <c:ext uri="{02D57815-91ED-43cb-92C2-25804820EDAC}">
                        <c15:formulaRef>
                          <c15:sqref>'Proyeccion estados financieros'!$B$424:$G$424</c15:sqref>
                        </c15:formulaRef>
                      </c:ext>
                    </c:extLst>
                    <c:numCache>
                      <c:formatCode>0\P</c:formatCode>
                      <c:ptCount val="6"/>
                      <c:pt idx="0" formatCode="General">
                        <c:v>0</c:v>
                      </c:pt>
                      <c:pt idx="1">
                        <c:v>1</c:v>
                      </c:pt>
                      <c:pt idx="2">
                        <c:v>2</c:v>
                      </c:pt>
                      <c:pt idx="3">
                        <c:v>3</c:v>
                      </c:pt>
                      <c:pt idx="4">
                        <c:v>4</c:v>
                      </c:pt>
                      <c:pt idx="5">
                        <c:v>5</c:v>
                      </c:pt>
                    </c:numCache>
                  </c:numRef>
                </c15:cat>
              </c15:filteredCategoryTitle>
            </c:ext>
            <c:ext xmlns:c16="http://schemas.microsoft.com/office/drawing/2014/chart" uri="{C3380CC4-5D6E-409C-BE32-E72D297353CC}">
              <c16:uniqueId val="{00000000-77D3-934A-98B9-153DE23E0A96}"/>
            </c:ext>
          </c:extLst>
        </c:ser>
        <c:dLbls>
          <c:showLegendKey val="0"/>
          <c:showVal val="0"/>
          <c:showCatName val="0"/>
          <c:showSerName val="0"/>
          <c:showPercent val="0"/>
          <c:showBubbleSize val="0"/>
        </c:dLbls>
        <c:gapWidth val="64"/>
        <c:overlap val="35"/>
        <c:axId val="382839720"/>
        <c:axId val="378696640"/>
      </c:barChart>
      <c:catAx>
        <c:axId val="382839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378696640"/>
        <c:crosses val="autoZero"/>
        <c:auto val="1"/>
        <c:lblAlgn val="ctr"/>
        <c:lblOffset val="100"/>
        <c:noMultiLvlLbl val="0"/>
      </c:catAx>
      <c:valAx>
        <c:axId val="378696640"/>
        <c:scaling>
          <c:orientation val="minMax"/>
        </c:scaling>
        <c:delete val="1"/>
        <c:axPos val="l"/>
        <c:numFmt formatCode="_(* #,##0_);_(* \(#,##0\);_(* &quot;-&quot;??_);_(@_)" sourceLinked="1"/>
        <c:majorTickMark val="none"/>
        <c:minorTickMark val="none"/>
        <c:tickLblPos val="nextTo"/>
        <c:crossAx val="3828397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Resumen de la Valoración</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tockChart>
        <c:ser>
          <c:idx val="0"/>
          <c:order val="0"/>
          <c:tx>
            <c:strRef>
              <c:f>'Proyeccion estados financieros'!$C$506</c:f>
              <c:strCache>
                <c:ptCount val="1"/>
                <c:pt idx="0">
                  <c:v>lo (bar)</c:v>
                </c:pt>
              </c:strCache>
            </c:strRef>
          </c:tx>
          <c:spPr>
            <a:ln w="28575" cap="rnd">
              <a:noFill/>
              <a:round/>
            </a:ln>
            <a:effectLst/>
          </c:spPr>
          <c:marker>
            <c:symbol val="none"/>
          </c:marker>
          <c:cat>
            <c:strRef>
              <c:f>'Proyeccion estados financieros'!$A$507:$B$510</c:f>
              <c:strCache>
                <c:ptCount val="4"/>
                <c:pt idx="0">
                  <c:v>EV Industria</c:v>
                </c:pt>
                <c:pt idx="1">
                  <c:v>EV Muestra</c:v>
                </c:pt>
                <c:pt idx="2">
                  <c:v>FCL Sensibilidad</c:v>
                </c:pt>
                <c:pt idx="3">
                  <c:v>FCL Caso Base</c:v>
                </c:pt>
              </c:strCache>
            </c:strRef>
          </c:cat>
          <c:val>
            <c:numRef>
              <c:f>'Proyeccion estados financieros'!$C$507:$C$510</c:f>
              <c:numCache>
                <c:formatCode>_(* #,##0_);_(* \(#,##0\);_(* "-"??_);_(@_)</c:formatCode>
                <c:ptCount val="4"/>
                <c:pt idx="0">
                  <c:v>3.5350000000000001</c:v>
                </c:pt>
                <c:pt idx="1">
                  <c:v>3.03</c:v>
                </c:pt>
                <c:pt idx="2">
                  <c:v>0</c:v>
                </c:pt>
                <c:pt idx="3">
                  <c:v>0</c:v>
                </c:pt>
              </c:numCache>
            </c:numRef>
          </c:val>
          <c:smooth val="0"/>
          <c:extLst>
            <c:ext xmlns:c16="http://schemas.microsoft.com/office/drawing/2014/chart" uri="{C3380CC4-5D6E-409C-BE32-E72D297353CC}">
              <c16:uniqueId val="{00000000-1C91-1B40-B44C-2DDB17CDC25F}"/>
            </c:ext>
          </c:extLst>
        </c:ser>
        <c:ser>
          <c:idx val="1"/>
          <c:order val="1"/>
          <c:tx>
            <c:strRef>
              <c:f>'Proyeccion estados financieros'!$D$506</c:f>
              <c:strCache>
                <c:ptCount val="1"/>
                <c:pt idx="0">
                  <c:v>lo  (label)</c:v>
                </c:pt>
              </c:strCache>
            </c:strRef>
          </c:tx>
          <c:spPr>
            <a:ln w="28575" cap="rnd">
              <a:noFill/>
              <a:round/>
            </a:ln>
            <a:effectLst/>
          </c:spPr>
          <c:marker>
            <c:symbol val="none"/>
          </c:marker>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'Proyeccion estados financieros'!$A$507:$B$510</c:f>
              <c:strCache>
                <c:ptCount val="4"/>
                <c:pt idx="0">
                  <c:v>EV Industria</c:v>
                </c:pt>
                <c:pt idx="1">
                  <c:v>EV Muestra</c:v>
                </c:pt>
                <c:pt idx="2">
                  <c:v>FCL Sensibilidad</c:v>
                </c:pt>
                <c:pt idx="3">
                  <c:v>FCL Caso Base</c:v>
                </c:pt>
              </c:strCache>
            </c:strRef>
          </c:cat>
          <c:val>
            <c:numRef>
              <c:f>'Proyeccion estados financieros'!$D$507:$D$510</c:f>
              <c:numCache>
                <c:formatCode>_(* #,##0_);_(* \(#,##0\);_(* "-"??_);_(@_)</c:formatCode>
                <c:ptCount val="4"/>
                <c:pt idx="0">
                  <c:v>3.5350000000000001</c:v>
                </c:pt>
                <c:pt idx="1">
                  <c:v>3.03</c:v>
                </c:pt>
                <c:pt idx="2">
                  <c:v>0</c:v>
                </c:pt>
                <c:pt idx="3">
                  <c:v>0</c:v>
                </c:pt>
              </c:numCache>
            </c:numRef>
          </c:val>
          <c:smooth val="0"/>
          <c:extLst>
            <c:ext xmlns:c16="http://schemas.microsoft.com/office/drawing/2014/chart" uri="{C3380CC4-5D6E-409C-BE32-E72D297353CC}">
              <c16:uniqueId val="{00000001-1C91-1B40-B44C-2DDB17CDC25F}"/>
            </c:ext>
          </c:extLst>
        </c:ser>
        <c:ser>
          <c:idx val="2"/>
          <c:order val="2"/>
          <c:tx>
            <c:strRef>
              <c:f>'Proyeccion estados financieros'!$E$506</c:f>
              <c:strCache>
                <c:ptCount val="1"/>
                <c:pt idx="0">
                  <c:v>hi (bar)</c:v>
                </c:pt>
              </c:strCache>
            </c:strRef>
          </c:tx>
          <c:spPr>
            <a:ln w="28575" cap="rnd">
              <a:noFill/>
              <a:round/>
            </a:ln>
            <a:effectLst/>
          </c:spPr>
          <c:marker>
            <c:symbol val="none"/>
          </c:marker>
          <c:cat>
            <c:strRef>
              <c:f>'Proyeccion estados financieros'!$A$507:$B$510</c:f>
              <c:strCache>
                <c:ptCount val="4"/>
                <c:pt idx="0">
                  <c:v>EV Industria</c:v>
                </c:pt>
                <c:pt idx="1">
                  <c:v>EV Muestra</c:v>
                </c:pt>
                <c:pt idx="2">
                  <c:v>FCL Sensibilidad</c:v>
                </c:pt>
                <c:pt idx="3">
                  <c:v>FCL Caso Base</c:v>
                </c:pt>
              </c:strCache>
            </c:strRef>
          </c:cat>
          <c:val>
            <c:numRef>
              <c:f>'Proyeccion estados financieros'!$E$507:$E$510</c:f>
              <c:numCache>
                <c:formatCode>_(* #,##0_);_(* \(#,##0\);_(* "-"??_);_(@_)</c:formatCode>
                <c:ptCount val="4"/>
                <c:pt idx="0">
                  <c:v>1803426.03</c:v>
                </c:pt>
                <c:pt idx="1">
                  <c:v>1513288.5266666664</c:v>
                </c:pt>
                <c:pt idx="2">
                  <c:v>0</c:v>
                </c:pt>
                <c:pt idx="3">
                  <c:v>0</c:v>
                </c:pt>
              </c:numCache>
            </c:numRef>
          </c:val>
          <c:smooth val="0"/>
          <c:extLst>
            <c:ext xmlns:c16="http://schemas.microsoft.com/office/drawing/2014/chart" uri="{C3380CC4-5D6E-409C-BE32-E72D297353CC}">
              <c16:uniqueId val="{00000002-1C91-1B40-B44C-2DDB17CDC25F}"/>
            </c:ext>
          </c:extLst>
        </c:ser>
        <c:ser>
          <c:idx val="3"/>
          <c:order val="3"/>
          <c:tx>
            <c:strRef>
              <c:f>'Proyeccion estados financieros'!$F$506</c:f>
              <c:strCache>
                <c:ptCount val="1"/>
                <c:pt idx="0">
                  <c:v>hi (label)</c:v>
                </c:pt>
              </c:strCache>
            </c:strRef>
          </c:tx>
          <c:spPr>
            <a:ln w="28575" cap="rnd">
              <a:noFill/>
              <a:round/>
            </a:ln>
            <a:effectLst/>
          </c:spPr>
          <c:marker>
            <c:symbol val="none"/>
          </c:marker>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'Proyeccion estados financieros'!$A$507:$B$510</c:f>
              <c:strCache>
                <c:ptCount val="4"/>
                <c:pt idx="0">
                  <c:v>EV Industria</c:v>
                </c:pt>
                <c:pt idx="1">
                  <c:v>EV Muestra</c:v>
                </c:pt>
                <c:pt idx="2">
                  <c:v>FCL Sensibilidad</c:v>
                </c:pt>
                <c:pt idx="3">
                  <c:v>FCL Caso Base</c:v>
                </c:pt>
              </c:strCache>
            </c:strRef>
          </c:cat>
          <c:val>
            <c:numRef>
              <c:f>'Proyeccion estados financieros'!$F$507:$F$510</c:f>
              <c:numCache>
                <c:formatCode>_(* #,##0_);_(* \(#,##0\);_(* "-"??_);_(@_)</c:formatCode>
                <c:ptCount val="4"/>
                <c:pt idx="0">
                  <c:v>1803426.03</c:v>
                </c:pt>
                <c:pt idx="1">
                  <c:v>1513288.5266666664</c:v>
                </c:pt>
                <c:pt idx="2">
                  <c:v>0</c:v>
                </c:pt>
                <c:pt idx="3">
                  <c:v>0</c:v>
                </c:pt>
              </c:numCache>
            </c:numRef>
          </c:val>
          <c:smooth val="0"/>
          <c:extLst>
            <c:ext xmlns:c16="http://schemas.microsoft.com/office/drawing/2014/chart" uri="{C3380CC4-5D6E-409C-BE32-E72D297353CC}">
              <c16:uniqueId val="{00000003-1C91-1B40-B44C-2DDB17CDC25F}"/>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upDownBars>
          <c:gapWidth val="150"/>
          <c:upBars>
            <c:spPr>
              <a:solidFill>
                <a:srgbClr val="0000FF"/>
              </a:solidFill>
              <a:ln w="9525" cap="flat" cmpd="sng" algn="ctr">
                <a:noFill/>
                <a:round/>
              </a:ln>
              <a:effectLst/>
            </c:spPr>
          </c:upBars>
          <c:downBars>
            <c:spPr>
              <a:solidFill>
                <a:srgbClr val="0000FF"/>
              </a:solidFill>
              <a:ln w="9525" cap="flat" cmpd="sng" algn="ctr">
                <a:solidFill>
                  <a:srgbClr val="0000FF"/>
                </a:solidFill>
                <a:round/>
              </a:ln>
              <a:effectLst/>
            </c:spPr>
          </c:downBars>
        </c:upDownBars>
        <c:axId val="528128304"/>
        <c:axId val="528125560"/>
      </c:stockChart>
      <c:catAx>
        <c:axId val="528128304"/>
        <c:scaling>
          <c:orientation val="minMax"/>
        </c:scaling>
        <c:delete val="0"/>
        <c:axPos val="b"/>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528125560"/>
        <c:crosses val="autoZero"/>
        <c:auto val="1"/>
        <c:lblAlgn val="ctr"/>
        <c:lblOffset val="100"/>
        <c:noMultiLvlLbl val="0"/>
      </c:catAx>
      <c:valAx>
        <c:axId val="528125560"/>
        <c:scaling>
          <c:orientation val="minMax"/>
          <c:min val="1000000"/>
        </c:scaling>
        <c:delete val="0"/>
        <c:axPos val="l"/>
        <c:numFmt formatCode="_(* #,##0_);_(* \(#,##0\);_(* &quot;-&quot;??_);_(@_)" sourceLinked="1"/>
        <c:majorTickMark val="none"/>
        <c:minorTickMark val="none"/>
        <c:tickLblPos val="nextTo"/>
        <c:spPr>
          <a:noFill/>
          <a:ln>
            <a:solidFill>
              <a:schemeClr val="bg1">
                <a:lumMod val="65000"/>
              </a:schemeClr>
            </a:solid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528128304"/>
        <c:crosses val="autoZero"/>
        <c:crossBetween val="between"/>
      </c:valAx>
      <c:spPr>
        <a:solidFill>
          <a:schemeClr val="bg1"/>
        </a:solidFill>
        <a:ln>
          <a:solidFill>
            <a:schemeClr val="bg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strRef>
              <c:f>'Tasa de retorno minima'!$D$8</c:f>
              <c:strCache>
                <c:ptCount val="1"/>
                <c:pt idx="0">
                  <c:v>Tasa de Retorno (Hurdle rate) </c:v>
                </c:pt>
              </c:strCache>
            </c:strRef>
          </c:tx>
          <c:spPr>
            <a:ln w="19050"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'Tasa de retorno minima'!$C$9:$C$16</c:f>
              <c:numCache>
                <c:formatCode>0%</c:formatCode>
                <c:ptCount val="8"/>
                <c:pt idx="0">
                  <c:v>0.25</c:v>
                </c:pt>
                <c:pt idx="1">
                  <c:v>0.37</c:v>
                </c:pt>
                <c:pt idx="2">
                  <c:v>0.47</c:v>
                </c:pt>
                <c:pt idx="3">
                  <c:v>0.56999999999999995</c:v>
                </c:pt>
                <c:pt idx="4">
                  <c:v>0.67</c:v>
                </c:pt>
                <c:pt idx="5">
                  <c:v>0.77</c:v>
                </c:pt>
                <c:pt idx="6">
                  <c:v>0.87</c:v>
                </c:pt>
                <c:pt idx="7">
                  <c:v>0.97</c:v>
                </c:pt>
              </c:numCache>
            </c:numRef>
          </c:xVal>
          <c:yVal>
            <c:numRef>
              <c:f>'Tasa de retorno minima'!$D$9:$D$16</c:f>
              <c:numCache>
                <c:formatCode>0%</c:formatCode>
                <c:ptCount val="8"/>
                <c:pt idx="0">
                  <c:v>0.54174658775593598</c:v>
                </c:pt>
                <c:pt idx="1">
                  <c:v>0.42547843909545469</c:v>
                </c:pt>
                <c:pt idx="2">
                  <c:v>0.35888099910494997</c:v>
                </c:pt>
                <c:pt idx="3">
                  <c:v>0.30745282116363981</c:v>
                </c:pt>
                <c:pt idx="4">
                  <c:v>0.26586105024105566</c:v>
                </c:pt>
                <c:pt idx="5">
                  <c:v>0.23112699042827489</c:v>
                </c:pt>
                <c:pt idx="6">
                  <c:v>0.20142633433740942</c:v>
                </c:pt>
                <c:pt idx="7">
                  <c:v>0.17556500922111584</c:v>
                </c:pt>
              </c:numCache>
            </c:numRef>
          </c:yVal>
          <c:smooth val="1"/>
          <c:extLst>
            <c:ext xmlns:c16="http://schemas.microsoft.com/office/drawing/2014/chart" uri="{C3380CC4-5D6E-409C-BE32-E72D297353CC}">
              <c16:uniqueId val="{00000000-B0DE-47F1-A6A1-D5A19F4469CE}"/>
            </c:ext>
          </c:extLst>
        </c:ser>
        <c:dLbls>
          <c:showLegendKey val="0"/>
          <c:showVal val="1"/>
          <c:showCatName val="1"/>
          <c:showSerName val="0"/>
          <c:showPercent val="0"/>
          <c:showBubbleSize val="0"/>
        </c:dLbls>
        <c:axId val="790630447"/>
        <c:axId val="790629199"/>
      </c:scatterChart>
      <c:valAx>
        <c:axId val="790630447"/>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Probabilidad de éxito</a:t>
                </a:r>
                <a:r>
                  <a:rPr lang="es-CO" baseline="0"/>
                  <a:t> </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0629199"/>
        <c:crosses val="autoZero"/>
        <c:crossBetween val="midCat"/>
      </c:valAx>
      <c:valAx>
        <c:axId val="790629199"/>
        <c:scaling>
          <c:orientation val="minMax"/>
        </c:scaling>
        <c:delete val="0"/>
        <c:axPos val="l"/>
        <c:numFmt formatCode="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0630447"/>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a:t>Punto de Equilibrio vs</a:t>
            </a:r>
            <a:r>
              <a:rPr lang="es-MX" baseline="0"/>
              <a:t> Comisión</a:t>
            </a:r>
            <a:endParaRPr lang="es-MX"/>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'Hipótesis de Ingresos MVP '!$J$29:$J$34</c:f>
              <c:numCache>
                <c:formatCode>0.00%</c:formatCode>
                <c:ptCount val="6"/>
                <c:pt idx="0">
                  <c:v>0.14399999999999999</c:v>
                </c:pt>
                <c:pt idx="1">
                  <c:v>0.15</c:v>
                </c:pt>
                <c:pt idx="2">
                  <c:v>0.16</c:v>
                </c:pt>
                <c:pt idx="3">
                  <c:v>0.17</c:v>
                </c:pt>
                <c:pt idx="4">
                  <c:v>0.18</c:v>
                </c:pt>
                <c:pt idx="5">
                  <c:v>0.2</c:v>
                </c:pt>
              </c:numCache>
            </c:numRef>
          </c:xVal>
          <c:yVal>
            <c:numRef>
              <c:f>'Hipótesis de Ingresos MVP '!$K$29:$K$34</c:f>
              <c:numCache>
                <c:formatCode>#,##0</c:formatCode>
                <c:ptCount val="6"/>
                <c:pt idx="0">
                  <c:v>12136.142139103347</c:v>
                </c:pt>
                <c:pt idx="1">
                  <c:v>11650.696453539211</c:v>
                </c:pt>
                <c:pt idx="2">
                  <c:v>10922.52792519301</c:v>
                </c:pt>
                <c:pt idx="3">
                  <c:v>10280.026282534598</c:v>
                </c:pt>
                <c:pt idx="4">
                  <c:v>9708.9137112826756</c:v>
                </c:pt>
                <c:pt idx="5">
                  <c:v>8738.0223401544081</c:v>
                </c:pt>
              </c:numCache>
            </c:numRef>
          </c:yVal>
          <c:smooth val="0"/>
          <c:extLst>
            <c:ext xmlns:c16="http://schemas.microsoft.com/office/drawing/2014/chart" uri="{C3380CC4-5D6E-409C-BE32-E72D297353CC}">
              <c16:uniqueId val="{00000000-624D-B843-9216-12D6EAC0C16D}"/>
            </c:ext>
          </c:extLst>
        </c:ser>
        <c:dLbls>
          <c:dLblPos val="b"/>
          <c:showLegendKey val="0"/>
          <c:showVal val="1"/>
          <c:showCatName val="0"/>
          <c:showSerName val="0"/>
          <c:showPercent val="0"/>
          <c:showBubbleSize val="0"/>
        </c:dLbls>
        <c:axId val="1770121136"/>
        <c:axId val="1770211856"/>
      </c:scatterChart>
      <c:valAx>
        <c:axId val="1770121136"/>
        <c:scaling>
          <c:orientation val="minMax"/>
          <c:min val="0.14000000000000001"/>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MX"/>
                  <a:t>Comisión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70211856"/>
        <c:crosses val="autoZero"/>
        <c:crossBetween val="midCat"/>
      </c:valAx>
      <c:valAx>
        <c:axId val="1770211856"/>
        <c:scaling>
          <c:orientation val="minMax"/>
          <c:min val="8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MX"/>
                  <a:t>Numero de Polizas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701211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MX"/>
              <a:t>Punto</a:t>
            </a:r>
            <a:r>
              <a:rPr lang="es-MX" baseline="0"/>
              <a:t> de equilibrio</a:t>
            </a:r>
            <a:endParaRPr lang="es-MX"/>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'Ingresos MVP Análisis PERT'!$G$46</c:f>
              <c:strCache>
                <c:ptCount val="1"/>
                <c:pt idx="0">
                  <c:v>Costos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'Ingresos MVP Análisis PERT'!$F$47:$F$54</c:f>
              <c:numCache>
                <c:formatCode>General</c:formatCode>
                <c:ptCount val="8"/>
                <c:pt idx="0">
                  <c:v>0</c:v>
                </c:pt>
                <c:pt idx="1">
                  <c:v>4000</c:v>
                </c:pt>
                <c:pt idx="2">
                  <c:v>5750</c:v>
                </c:pt>
                <c:pt idx="3">
                  <c:v>7000</c:v>
                </c:pt>
                <c:pt idx="4">
                  <c:v>10000</c:v>
                </c:pt>
                <c:pt idx="5">
                  <c:v>16033</c:v>
                </c:pt>
                <c:pt idx="6">
                  <c:v>18000</c:v>
                </c:pt>
                <c:pt idx="7">
                  <c:v>20000</c:v>
                </c:pt>
              </c:numCache>
            </c:numRef>
          </c:cat>
          <c:val>
            <c:numRef>
              <c:f>'Ingresos MVP Análisis PERT'!$G$47:$G$54</c:f>
              <c:numCache>
                <c:formatCode>_("$"* #,##0_);_("$"* \(#,##0\);_("$"* "-"_);_(@_)</c:formatCode>
                <c:ptCount val="8"/>
                <c:pt idx="0">
                  <c:v>1518877995.2549999</c:v>
                </c:pt>
                <c:pt idx="1">
                  <c:v>1530597675.2549999</c:v>
                </c:pt>
                <c:pt idx="2">
                  <c:v>1535725035.2549999</c:v>
                </c:pt>
                <c:pt idx="3">
                  <c:v>1539387435.2549999</c:v>
                </c:pt>
                <c:pt idx="4">
                  <c:v>1548177195.2549999</c:v>
                </c:pt>
                <c:pt idx="5">
                  <c:v>1565853402.6149998</c:v>
                </c:pt>
                <c:pt idx="6">
                  <c:v>1571616555.2549999</c:v>
                </c:pt>
                <c:pt idx="7">
                  <c:v>1577476395.2549999</c:v>
                </c:pt>
              </c:numCache>
            </c:numRef>
          </c:val>
          <c:smooth val="0"/>
          <c:extLst>
            <c:ext xmlns:c16="http://schemas.microsoft.com/office/drawing/2014/chart" uri="{C3380CC4-5D6E-409C-BE32-E72D297353CC}">
              <c16:uniqueId val="{00000000-2E7C-3F4F-B7DC-0D3A87898010}"/>
            </c:ext>
          </c:extLst>
        </c:ser>
        <c:ser>
          <c:idx val="1"/>
          <c:order val="1"/>
          <c:tx>
            <c:strRef>
              <c:f>'Ingresos MVP Análisis PERT'!$H$46</c:f>
              <c:strCache>
                <c:ptCount val="1"/>
                <c:pt idx="0">
                  <c:v>Ingresos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'Ingresos MVP Análisis PERT'!$F$47:$F$54</c:f>
              <c:numCache>
                <c:formatCode>General</c:formatCode>
                <c:ptCount val="8"/>
                <c:pt idx="0">
                  <c:v>0</c:v>
                </c:pt>
                <c:pt idx="1">
                  <c:v>4000</c:v>
                </c:pt>
                <c:pt idx="2">
                  <c:v>5750</c:v>
                </c:pt>
                <c:pt idx="3">
                  <c:v>7000</c:v>
                </c:pt>
                <c:pt idx="4">
                  <c:v>10000</c:v>
                </c:pt>
                <c:pt idx="5">
                  <c:v>16033</c:v>
                </c:pt>
                <c:pt idx="6">
                  <c:v>18000</c:v>
                </c:pt>
                <c:pt idx="7">
                  <c:v>20000</c:v>
                </c:pt>
              </c:numCache>
            </c:numRef>
          </c:cat>
          <c:val>
            <c:numRef>
              <c:f>'Ingresos MVP Análisis PERT'!$H$47:$H$54</c:f>
              <c:numCache>
                <c:formatCode>_("$"* #,##0.00_);_("$"* \(#,##0.00\);_("$"* "-"??_);_(@_)</c:formatCode>
                <c:ptCount val="8"/>
                <c:pt idx="0">
                  <c:v>0</c:v>
                </c:pt>
                <c:pt idx="1">
                  <c:v>390655999.99999994</c:v>
                </c:pt>
                <c:pt idx="2">
                  <c:v>561567999.99999988</c:v>
                </c:pt>
                <c:pt idx="3">
                  <c:v>683647999.99999988</c:v>
                </c:pt>
                <c:pt idx="4">
                  <c:v>976639999.99999988</c:v>
                </c:pt>
                <c:pt idx="5">
                  <c:v>1565846911.9999998</c:v>
                </c:pt>
                <c:pt idx="6">
                  <c:v>1757951999.9999998</c:v>
                </c:pt>
                <c:pt idx="7">
                  <c:v>1953279999.9999998</c:v>
                </c:pt>
              </c:numCache>
            </c:numRef>
          </c:val>
          <c:smooth val="0"/>
          <c:extLst>
            <c:ext xmlns:c16="http://schemas.microsoft.com/office/drawing/2014/chart" uri="{C3380CC4-5D6E-409C-BE32-E72D297353CC}">
              <c16:uniqueId val="{00000001-2E7C-3F4F-B7DC-0D3A87898010}"/>
            </c:ext>
          </c:extLst>
        </c:ser>
        <c:dLbls>
          <c:showLegendKey val="0"/>
          <c:showVal val="0"/>
          <c:showCatName val="0"/>
          <c:showSerName val="0"/>
          <c:showPercent val="0"/>
          <c:showBubbleSize val="0"/>
        </c:dLbls>
        <c:marker val="1"/>
        <c:smooth val="0"/>
        <c:axId val="1770733648"/>
        <c:axId val="1689181296"/>
      </c:lineChart>
      <c:catAx>
        <c:axId val="177073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89181296"/>
        <c:crossesAt val="0.5"/>
        <c:auto val="1"/>
        <c:lblAlgn val="ctr"/>
        <c:lblOffset val="100"/>
        <c:noMultiLvlLbl val="0"/>
      </c:catAx>
      <c:valAx>
        <c:axId val="16891812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70733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25" fmlaLink="$K$45" fmlaRange="$L$40:$L$42" noThreeD="1" sel="1" val="0"/>
</file>

<file path=xl/ctrlProps/ctrlProp2.xml><?xml version="1.0" encoding="utf-8"?>
<formControlPr xmlns="http://schemas.microsoft.com/office/spreadsheetml/2009/9/main" objectType="Drop" dropStyle="combo" dx="25" fmlaLink="$K$45" fmlaRange="$L$40:$L$42" noThreeD="1"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28014</xdr:colOff>
      <xdr:row>458</xdr:row>
      <xdr:rowOff>42022</xdr:rowOff>
    </xdr:from>
    <xdr:to>
      <xdr:col>6</xdr:col>
      <xdr:colOff>1148603</xdr:colOff>
      <xdr:row>474</xdr:row>
      <xdr:rowOff>186576</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13805</xdr:colOff>
      <xdr:row>511</xdr:row>
      <xdr:rowOff>13544</xdr:rowOff>
    </xdr:from>
    <xdr:to>
      <xdr:col>7</xdr:col>
      <xdr:colOff>14007</xdr:colOff>
      <xdr:row>530</xdr:row>
      <xdr:rowOff>181690</xdr:rowOff>
    </xdr:to>
    <xdr:graphicFrame macro="">
      <xdr:nvGraphicFramePr>
        <xdr:cNvPr id="3" name="Chart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895083</xdr:colOff>
      <xdr:row>521</xdr:row>
      <xdr:rowOff>144467</xdr:rowOff>
    </xdr:from>
    <xdr:to>
      <xdr:col>6</xdr:col>
      <xdr:colOff>1207539</xdr:colOff>
      <xdr:row>521</xdr:row>
      <xdr:rowOff>144467</xdr:rowOff>
    </xdr:to>
    <xdr:cxnSp macro="">
      <xdr:nvCxnSpPr>
        <xdr:cNvPr id="4" name="Straight Connector 10">
          <a:extLst>
            <a:ext uri="{FF2B5EF4-FFF2-40B4-BE49-F238E27FC236}">
              <a16:creationId xmlns:a16="http://schemas.microsoft.com/office/drawing/2014/main" id="{00000000-0008-0000-0000-000004000000}"/>
            </a:ext>
          </a:extLst>
        </xdr:cNvPr>
        <xdr:cNvCxnSpPr/>
      </xdr:nvCxnSpPr>
      <xdr:spPr bwMode="auto">
        <a:xfrm>
          <a:off x="5797283" y="97108967"/>
          <a:ext cx="6535456" cy="0"/>
        </a:xfrm>
        <a:prstGeom prst="line">
          <a:avLst/>
        </a:prstGeom>
        <a:solidFill>
          <a:srgbClr xmlns:mc="http://schemas.openxmlformats.org/markup-compatibility/2006" xmlns:a14="http://schemas.microsoft.com/office/drawing/2010/main" val="FFFFFF" mc:Ignorable="a14" a14:legacySpreadsheetColorIndex="65"/>
        </a:solidFill>
        <a:ln w="15875" cap="flat" cmpd="sng" algn="ctr">
          <a:solidFill>
            <a:srgbClr val="FA621C"/>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editAs="oneCell">
        <xdr:from>
          <xdr:col>12</xdr:col>
          <xdr:colOff>876300</xdr:colOff>
          <xdr:row>37</xdr:row>
          <xdr:rowOff>76200</xdr:rowOff>
        </xdr:from>
        <xdr:to>
          <xdr:col>16</xdr:col>
          <xdr:colOff>1028700</xdr:colOff>
          <xdr:row>38</xdr:row>
          <xdr:rowOff>190500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584200</xdr:colOff>
          <xdr:row>434</xdr:row>
          <xdr:rowOff>88900</xdr:rowOff>
        </xdr:from>
        <xdr:to>
          <xdr:col>5</xdr:col>
          <xdr:colOff>1498600</xdr:colOff>
          <xdr:row>436</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0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101600</xdr:colOff>
      <xdr:row>4</xdr:row>
      <xdr:rowOff>50800</xdr:rowOff>
    </xdr:from>
    <xdr:to>
      <xdr:col>7</xdr:col>
      <xdr:colOff>739775</xdr:colOff>
      <xdr:row>7</xdr:row>
      <xdr:rowOff>22225</xdr:rowOff>
    </xdr:to>
    <xdr:pic>
      <xdr:nvPicPr>
        <xdr:cNvPr id="2" name="Imagen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467600" y="812800"/>
          <a:ext cx="1463675"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396875</xdr:colOff>
      <xdr:row>12</xdr:row>
      <xdr:rowOff>100012</xdr:rowOff>
    </xdr:from>
    <xdr:to>
      <xdr:col>11</xdr:col>
      <xdr:colOff>396875</xdr:colOff>
      <xdr:row>26</xdr:row>
      <xdr:rowOff>176212</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1098550</xdr:colOff>
      <xdr:row>28</xdr:row>
      <xdr:rowOff>120650</xdr:rowOff>
    </xdr:from>
    <xdr:to>
      <xdr:col>15</xdr:col>
      <xdr:colOff>990600</xdr:colOff>
      <xdr:row>44</xdr:row>
      <xdr:rowOff>63500</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787400</xdr:colOff>
      <xdr:row>26</xdr:row>
      <xdr:rowOff>57150</xdr:rowOff>
    </xdr:from>
    <xdr:to>
      <xdr:col>15</xdr:col>
      <xdr:colOff>4216400</xdr:colOff>
      <xdr:row>48</xdr:row>
      <xdr:rowOff>101600</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A021A-B5ED-7843-A023-A96A039DB615}">
  <dimension ref="A1:O575"/>
  <sheetViews>
    <sheetView topLeftCell="A33" zoomScale="104" zoomScaleNormal="55" workbookViewId="0">
      <selection activeCell="E75" sqref="E75"/>
    </sheetView>
  </sheetViews>
  <sheetFormatPr baseColWidth="10" defaultColWidth="15" defaultRowHeight="16" outlineLevelRow="2" x14ac:dyDescent="0.2"/>
  <cols>
    <col min="1" max="1" width="64.33203125" style="190" customWidth="1"/>
    <col min="2" max="2" width="22.6640625" style="190" bestFit="1" customWidth="1"/>
    <col min="3" max="3" width="26" style="190" customWidth="1"/>
    <col min="4" max="5" width="21.1640625" style="190" bestFit="1" customWidth="1"/>
    <col min="6" max="7" width="22.83203125" style="190" bestFit="1" customWidth="1"/>
    <col min="8" max="8" width="18.5" style="190" customWidth="1"/>
    <col min="9" max="9" width="2.33203125" style="190" customWidth="1"/>
    <col min="10" max="10" width="75.6640625" style="190" bestFit="1" customWidth="1"/>
    <col min="11" max="15" width="12.5" style="190" bestFit="1" customWidth="1"/>
    <col min="16" max="16384" width="15" style="190"/>
  </cols>
  <sheetData>
    <row r="1" spans="1:15" x14ac:dyDescent="0.2">
      <c r="A1" s="89" t="s">
        <v>270</v>
      </c>
      <c r="B1" s="89"/>
      <c r="C1" s="89"/>
      <c r="D1" s="89"/>
      <c r="E1" s="89"/>
      <c r="F1" s="89"/>
      <c r="G1" s="89"/>
      <c r="H1" s="89"/>
    </row>
    <row r="2" spans="1:15" outlineLevel="1" x14ac:dyDescent="0.2">
      <c r="C2" s="191" t="s">
        <v>478</v>
      </c>
    </row>
    <row r="3" spans="1:15" outlineLevel="1" x14ac:dyDescent="0.2">
      <c r="A3" s="90" t="s">
        <v>271</v>
      </c>
      <c r="B3" s="187">
        <v>0</v>
      </c>
      <c r="C3" s="187">
        <f>B3+1</f>
        <v>1</v>
      </c>
      <c r="D3" s="187">
        <f t="shared" ref="D3:G3" si="0">C3+1</f>
        <v>2</v>
      </c>
      <c r="E3" s="187">
        <f t="shared" si="0"/>
        <v>3</v>
      </c>
      <c r="F3" s="187">
        <f t="shared" si="0"/>
        <v>4</v>
      </c>
      <c r="G3" s="187">
        <f t="shared" si="0"/>
        <v>5</v>
      </c>
      <c r="J3" s="411" t="s">
        <v>272</v>
      </c>
      <c r="K3" s="411"/>
      <c r="L3" s="411"/>
      <c r="M3" s="411"/>
      <c r="N3" s="411"/>
      <c r="O3" s="411"/>
    </row>
    <row r="4" spans="1:15" outlineLevel="1" x14ac:dyDescent="0.2">
      <c r="A4" s="93"/>
      <c r="B4" s="93"/>
      <c r="J4" s="94" t="s">
        <v>273</v>
      </c>
      <c r="K4" s="95">
        <v>2020</v>
      </c>
      <c r="L4" s="95">
        <v>2021</v>
      </c>
      <c r="M4" s="95">
        <v>2022</v>
      </c>
      <c r="N4" s="95">
        <v>2023</v>
      </c>
      <c r="O4" s="95">
        <v>2024</v>
      </c>
    </row>
    <row r="5" spans="1:15" outlineLevel="1" x14ac:dyDescent="0.2">
      <c r="A5" s="192" t="s">
        <v>274</v>
      </c>
      <c r="B5" s="96">
        <v>0</v>
      </c>
      <c r="C5" s="97">
        <v>0</v>
      </c>
      <c r="D5" s="97">
        <f>1-('Hipótesis de Ingresos MVP '!H63/'ContabilidaddeInnovación Año2'!Y93)</f>
        <v>0.77778849984834397</v>
      </c>
      <c r="E5" s="97">
        <f>1-('ContabilidaddeInnovación Año2'!Y93/'ContabilidaddeInnovación Año3'!Y107)</f>
        <v>0.67391716726965156</v>
      </c>
      <c r="F5" s="97">
        <f>1-('ContabilidaddeInnovación Año3'!Y107/'ContabilidaddeInnovación Año 4'!Y107)</f>
        <v>0.51472526073891101</v>
      </c>
      <c r="G5" s="97">
        <v>0.1</v>
      </c>
      <c r="I5" s="98"/>
      <c r="J5" s="99" t="s">
        <v>274</v>
      </c>
      <c r="K5" s="100">
        <v>0.13</v>
      </c>
      <c r="L5" s="100">
        <v>0.12</v>
      </c>
      <c r="M5" s="100">
        <v>0.11</v>
      </c>
      <c r="N5" s="100">
        <v>0.1</v>
      </c>
      <c r="O5" s="100">
        <v>0.09</v>
      </c>
    </row>
    <row r="6" spans="1:15" outlineLevel="1" x14ac:dyDescent="0.2">
      <c r="A6" s="190" t="s">
        <v>275</v>
      </c>
      <c r="B6" s="96"/>
      <c r="C6" s="101">
        <v>0.03</v>
      </c>
      <c r="D6" s="101">
        <v>0.03</v>
      </c>
      <c r="E6" s="101">
        <v>0.03</v>
      </c>
      <c r="F6" s="101">
        <v>0.03</v>
      </c>
      <c r="G6" s="101">
        <v>0.03</v>
      </c>
      <c r="J6" s="99" t="s">
        <v>276</v>
      </c>
      <c r="K6" s="102">
        <v>0.4</v>
      </c>
      <c r="L6" s="102">
        <v>0.4</v>
      </c>
      <c r="M6" s="102">
        <v>0.38</v>
      </c>
      <c r="N6" s="102">
        <v>0.38</v>
      </c>
      <c r="O6" s="102">
        <v>0.38</v>
      </c>
    </row>
    <row r="7" spans="1:15" outlineLevel="1" x14ac:dyDescent="0.2">
      <c r="A7" s="192" t="s">
        <v>276</v>
      </c>
      <c r="B7" s="96">
        <v>0</v>
      </c>
      <c r="C7" s="97">
        <f>'Costos y Gastos Fijos'!E21/'Hipótesis de Ingresos MVP '!H63</f>
        <v>0.69840382019267144</v>
      </c>
      <c r="D7" s="97">
        <f>SUM('ContabilidaddeInnovación Año2'!Y97,'ContabilidaddeInnovación Año2'!Y104:Y108)/'ContabilidaddeInnovación Año2'!Y93</f>
        <v>0.58636934324715584</v>
      </c>
      <c r="E7" s="97">
        <f>SUM('ContabilidaddeInnovación Año3'!Y111,'ContabilidaddeInnovación Año3'!Y118:Y122)/'ContabilidaddeInnovación Año3'!Y107</f>
        <v>0.67173964944917319</v>
      </c>
      <c r="F7" s="97">
        <f>SUM('ContabilidaddeInnovación Año 4'!Y111,'ContabilidaddeInnovación Año 4'!Y118:Y122)/'ContabilidaddeInnovación Año 4'!Y107</f>
        <v>0.67429257357078987</v>
      </c>
      <c r="G7" s="97">
        <f>F7*(1+G6)</f>
        <v>0.69452135077791355</v>
      </c>
      <c r="J7" s="99" t="s">
        <v>277</v>
      </c>
      <c r="K7" s="103">
        <v>21800</v>
      </c>
      <c r="L7" s="103">
        <v>21800</v>
      </c>
      <c r="M7" s="103">
        <v>43252.774611061453</v>
      </c>
      <c r="N7" s="103">
        <v>65584.114454124297</v>
      </c>
      <c r="O7" s="103">
        <v>87412.666925061916</v>
      </c>
    </row>
    <row r="8" spans="1:15" outlineLevel="1" x14ac:dyDescent="0.2">
      <c r="A8" s="190" t="s">
        <v>278</v>
      </c>
      <c r="B8" s="96">
        <v>0</v>
      </c>
      <c r="C8" s="101">
        <f>(SUM('Costos y Gastos Fijos'!E11:E12)*12)/'Hipótesis de Ingresos MVP '!H63</f>
        <v>1.9159103572213333E-2</v>
      </c>
      <c r="D8" s="189">
        <f>SUM('ContabilidaddeInnovación Año2'!Y98,'ContabilidaddeInnovación Año2'!Y100)/'ContabilidaddeInnovación Año2'!Y93</f>
        <v>7.2713437727903339E-3</v>
      </c>
      <c r="E8" s="189">
        <f>SUM('ContabilidaddeInnovación Año3'!Y112,'ContabilidaddeInnovación Año3'!Y114)/'ContabilidaddeInnovación Año3'!Y107</f>
        <v>5.5284568351584634E-3</v>
      </c>
      <c r="F8" s="189">
        <f>SUM('ContabilidaddeInnovación Año 4'!Y112,'ContabilidaddeInnovación Año 4'!Y114)/'ContabilidaddeInnovación Año 4'!Y107</f>
        <v>3.1413784599899166E-3</v>
      </c>
      <c r="G8" s="189">
        <f>F8*(1+G6)</f>
        <v>3.2356198137896142E-3</v>
      </c>
      <c r="J8" s="99" t="s">
        <v>279</v>
      </c>
      <c r="K8" s="102">
        <v>0.15</v>
      </c>
      <c r="L8" s="102">
        <v>0.14000000000000001</v>
      </c>
      <c r="M8" s="102">
        <v>0.13</v>
      </c>
      <c r="N8" s="102">
        <v>0.12</v>
      </c>
      <c r="O8" s="102">
        <v>0.12</v>
      </c>
    </row>
    <row r="9" spans="1:15" outlineLevel="1" x14ac:dyDescent="0.2">
      <c r="A9" s="190" t="s">
        <v>280</v>
      </c>
      <c r="B9" s="96">
        <v>0</v>
      </c>
      <c r="C9" s="101">
        <f>('Costos y Gastos Fijos'!E23+'Hipótesis de Ingresos MVP '!I63)/'Hipótesis de Ingresos MVP '!H63</f>
        <v>0.28723821294971169</v>
      </c>
      <c r="D9" s="101">
        <f>SUM('ContabilidaddeInnovación Año2'!Y99,'ContabilidaddeInnovación Año2'!Y103)/'ContabilidaddeInnovación Año2'!Y93</f>
        <v>0.12568467162357785</v>
      </c>
      <c r="E9" s="101">
        <f>SUM('ContabilidaddeInnovación Año3'!Y113,'ContabilidaddeInnovación Año3'!Y117)/'ContabilidaddeInnovación Año3'!Y107</f>
        <v>7.8369824724586631E-2</v>
      </c>
      <c r="F9" s="189">
        <f>SUM('ContabilidaddeInnovación Año 4'!Y113,'ContabilidaddeInnovación Año 4'!Y117)/'ContabilidaddeInnovación Año 4'!Y107</f>
        <v>5.4646286785394786E-2</v>
      </c>
      <c r="G9" s="189">
        <f>F9*(1+G6)</f>
        <v>5.6285675388956631E-2</v>
      </c>
      <c r="J9" s="99" t="s">
        <v>281</v>
      </c>
      <c r="K9" s="102">
        <v>0.13</v>
      </c>
      <c r="L9" s="102">
        <v>0.11</v>
      </c>
      <c r="M9" s="102">
        <v>0.11</v>
      </c>
      <c r="N9" s="102">
        <v>0.11</v>
      </c>
      <c r="O9" s="102">
        <v>0.11</v>
      </c>
    </row>
    <row r="10" spans="1:15" outlineLevel="1" x14ac:dyDescent="0.2">
      <c r="A10" s="190" t="s">
        <v>283</v>
      </c>
      <c r="B10" s="96"/>
      <c r="C10" s="101">
        <v>0.06</v>
      </c>
      <c r="D10" s="101">
        <v>0.06</v>
      </c>
      <c r="E10" s="101">
        <v>0.06</v>
      </c>
      <c r="F10" s="101">
        <v>0.06</v>
      </c>
      <c r="G10" s="101">
        <v>0.06</v>
      </c>
      <c r="J10" s="99" t="s">
        <v>282</v>
      </c>
      <c r="K10" s="102">
        <v>0.04</v>
      </c>
      <c r="L10" s="102">
        <v>0.03</v>
      </c>
      <c r="M10" s="102">
        <v>0.02</v>
      </c>
      <c r="N10" s="102">
        <v>0.01</v>
      </c>
      <c r="O10" s="102">
        <v>0.01</v>
      </c>
    </row>
    <row r="11" spans="1:15" outlineLevel="1" x14ac:dyDescent="0.2">
      <c r="A11" s="190" t="s">
        <v>285</v>
      </c>
      <c r="B11" s="96"/>
      <c r="C11" s="101">
        <v>0.8</v>
      </c>
      <c r="D11" s="101">
        <v>0.8</v>
      </c>
      <c r="E11" s="101">
        <v>0.8</v>
      </c>
      <c r="F11" s="101">
        <v>0.8</v>
      </c>
      <c r="G11" s="101">
        <v>0.8</v>
      </c>
      <c r="J11" s="99" t="s">
        <v>284</v>
      </c>
      <c r="K11" s="103">
        <v>221200</v>
      </c>
      <c r="L11" s="103">
        <v>225733.11744614402</v>
      </c>
      <c r="M11" s="103">
        <v>246049.09801629698</v>
      </c>
      <c r="N11" s="103">
        <v>268193.51683776372</v>
      </c>
      <c r="O11" s="103">
        <v>292330.93335316249</v>
      </c>
    </row>
    <row r="12" spans="1:15" outlineLevel="1" x14ac:dyDescent="0.2">
      <c r="A12" s="190" t="s">
        <v>287</v>
      </c>
      <c r="B12" s="96"/>
      <c r="C12" s="105">
        <v>0</v>
      </c>
      <c r="D12" s="105">
        <v>0</v>
      </c>
      <c r="E12" s="105">
        <v>0</v>
      </c>
      <c r="F12" s="105">
        <v>0</v>
      </c>
      <c r="G12" s="105">
        <v>0</v>
      </c>
      <c r="J12" s="99" t="s">
        <v>286</v>
      </c>
      <c r="K12" s="103">
        <v>5000</v>
      </c>
      <c r="L12" s="103">
        <v>5000</v>
      </c>
      <c r="M12" s="103">
        <v>5000</v>
      </c>
      <c r="N12" s="103">
        <v>5000</v>
      </c>
      <c r="O12" s="103">
        <v>5000</v>
      </c>
    </row>
    <row r="13" spans="1:15" outlineLevel="1" x14ac:dyDescent="0.2">
      <c r="A13" s="190" t="s">
        <v>289</v>
      </c>
      <c r="B13" s="96">
        <v>0.39</v>
      </c>
      <c r="C13" s="101">
        <v>0.39</v>
      </c>
      <c r="D13" s="101">
        <v>0.39</v>
      </c>
      <c r="E13" s="101">
        <v>0.39</v>
      </c>
      <c r="F13" s="101">
        <v>0.39</v>
      </c>
      <c r="G13" s="101">
        <v>0.39</v>
      </c>
      <c r="J13" s="99" t="s">
        <v>288</v>
      </c>
      <c r="K13" s="102">
        <v>0.08</v>
      </c>
      <c r="L13" s="102">
        <v>0.08</v>
      </c>
      <c r="M13" s="102">
        <v>0.08</v>
      </c>
      <c r="N13" s="102">
        <v>0.08</v>
      </c>
      <c r="O13" s="102">
        <v>0.08</v>
      </c>
    </row>
    <row r="14" spans="1:15" outlineLevel="1" x14ac:dyDescent="0.2">
      <c r="J14" s="99"/>
      <c r="K14" s="106"/>
      <c r="L14" s="106"/>
    </row>
    <row r="15" spans="1:15" outlineLevel="1" x14ac:dyDescent="0.2">
      <c r="A15" s="192"/>
      <c r="B15" s="104">
        <v>0</v>
      </c>
      <c r="C15" s="107">
        <v>0</v>
      </c>
      <c r="D15" s="107">
        <v>0</v>
      </c>
      <c r="E15" s="107">
        <v>0</v>
      </c>
      <c r="F15" s="107">
        <v>0</v>
      </c>
      <c r="G15" s="107">
        <v>0</v>
      </c>
      <c r="J15" s="412" t="s">
        <v>290</v>
      </c>
      <c r="K15" s="412"/>
      <c r="L15" s="412"/>
      <c r="M15" s="412"/>
      <c r="N15" s="412"/>
      <c r="O15" s="412"/>
    </row>
    <row r="16" spans="1:15" outlineLevel="1" x14ac:dyDescent="0.2">
      <c r="A16" s="190" t="s">
        <v>291</v>
      </c>
      <c r="B16" s="108"/>
      <c r="C16" s="109"/>
      <c r="D16" s="109"/>
      <c r="E16" s="109"/>
      <c r="F16" s="109"/>
      <c r="G16" s="109"/>
      <c r="J16" s="94" t="s">
        <v>273</v>
      </c>
      <c r="K16" s="95">
        <v>2020</v>
      </c>
      <c r="L16" s="95">
        <v>2021</v>
      </c>
      <c r="M16" s="95">
        <v>2022</v>
      </c>
      <c r="N16" s="95">
        <v>2023</v>
      </c>
      <c r="O16" s="95">
        <v>2024</v>
      </c>
    </row>
    <row r="17" spans="1:15" outlineLevel="1" x14ac:dyDescent="0.2">
      <c r="A17" s="190" t="s">
        <v>292</v>
      </c>
      <c r="B17" s="108"/>
      <c r="C17" s="109"/>
      <c r="D17" s="109"/>
      <c r="E17" s="109"/>
      <c r="F17" s="109"/>
      <c r="G17" s="109"/>
      <c r="J17" s="99" t="s">
        <v>274</v>
      </c>
      <c r="K17" s="100">
        <v>0.11</v>
      </c>
      <c r="L17" s="100">
        <v>7.0000000000000007E-2</v>
      </c>
      <c r="M17" s="100">
        <v>0.06</v>
      </c>
      <c r="N17" s="100">
        <v>0.05</v>
      </c>
      <c r="O17" s="100">
        <v>0.06</v>
      </c>
    </row>
    <row r="18" spans="1:15" outlineLevel="1" x14ac:dyDescent="0.2">
      <c r="A18" s="190" t="s">
        <v>293</v>
      </c>
      <c r="B18" s="193">
        <f>B70/B48</f>
        <v>8400</v>
      </c>
      <c r="C18" s="101">
        <v>0.01</v>
      </c>
      <c r="D18" s="101">
        <v>0.01</v>
      </c>
      <c r="E18" s="101">
        <v>0.01</v>
      </c>
      <c r="F18" s="101">
        <v>0.01</v>
      </c>
      <c r="G18" s="101">
        <v>0.01</v>
      </c>
      <c r="J18" s="99" t="s">
        <v>276</v>
      </c>
      <c r="K18" s="102">
        <v>0.41</v>
      </c>
      <c r="L18" s="102">
        <v>0.42</v>
      </c>
      <c r="M18" s="102">
        <v>0.4</v>
      </c>
      <c r="N18" s="102">
        <v>0.4</v>
      </c>
      <c r="O18" s="102">
        <v>0.4</v>
      </c>
    </row>
    <row r="19" spans="1:15" outlineLevel="1" x14ac:dyDescent="0.2">
      <c r="A19" s="192" t="s">
        <v>279</v>
      </c>
      <c r="B19" s="193">
        <v>0</v>
      </c>
      <c r="C19" s="97">
        <v>0</v>
      </c>
      <c r="D19" s="97">
        <v>0</v>
      </c>
      <c r="E19" s="97">
        <v>0</v>
      </c>
      <c r="F19" s="97">
        <v>0</v>
      </c>
      <c r="G19" s="97">
        <v>0</v>
      </c>
      <c r="J19" s="99" t="s">
        <v>277</v>
      </c>
      <c r="K19" s="103">
        <v>21800</v>
      </c>
      <c r="L19" s="103">
        <v>21800</v>
      </c>
      <c r="M19" s="103">
        <v>35000</v>
      </c>
      <c r="N19" s="103">
        <v>50000</v>
      </c>
      <c r="O19" s="103">
        <v>65000</v>
      </c>
    </row>
    <row r="20" spans="1:15" outlineLevel="1" x14ac:dyDescent="0.2">
      <c r="A20" s="192" t="s">
        <v>281</v>
      </c>
      <c r="B20" s="193">
        <f>B72/B48</f>
        <v>101200</v>
      </c>
      <c r="C20" s="97">
        <v>0.02</v>
      </c>
      <c r="D20" s="97">
        <v>0.02</v>
      </c>
      <c r="E20" s="97">
        <v>0.02</v>
      </c>
      <c r="F20" s="97">
        <v>0.02</v>
      </c>
      <c r="G20" s="97">
        <v>0.02</v>
      </c>
      <c r="J20" s="99" t="s">
        <v>279</v>
      </c>
      <c r="K20" s="102">
        <v>0.19</v>
      </c>
      <c r="L20" s="102">
        <v>0.19</v>
      </c>
      <c r="M20" s="102">
        <v>0.18</v>
      </c>
      <c r="N20" s="102">
        <v>0.16</v>
      </c>
      <c r="O20" s="102">
        <v>0.15</v>
      </c>
    </row>
    <row r="21" spans="1:15" outlineLevel="1" x14ac:dyDescent="0.2">
      <c r="A21" s="110" t="s">
        <v>294</v>
      </c>
      <c r="B21" s="194"/>
      <c r="C21" s="109"/>
      <c r="D21" s="109"/>
      <c r="E21" s="109"/>
      <c r="F21" s="109"/>
      <c r="G21" s="109"/>
      <c r="J21" s="99" t="s">
        <v>281</v>
      </c>
      <c r="K21" s="102">
        <v>0.14000000000000001</v>
      </c>
      <c r="L21" s="102">
        <v>0.14000000000000001</v>
      </c>
      <c r="M21" s="102">
        <v>0.14000000000000001</v>
      </c>
      <c r="N21" s="102">
        <v>0.13</v>
      </c>
      <c r="O21" s="102">
        <v>0.12</v>
      </c>
    </row>
    <row r="22" spans="1:15" outlineLevel="1" x14ac:dyDescent="0.2">
      <c r="A22" s="192" t="s">
        <v>282</v>
      </c>
      <c r="B22" s="193">
        <f>B74/B48</f>
        <v>38906</v>
      </c>
      <c r="C22" s="97">
        <f>CHOOSE($K$45,K10,K22,K34)</f>
        <v>0.04</v>
      </c>
      <c r="D22" s="97">
        <f>CHOOSE($K$45,L10,L22,L34)</f>
        <v>0.03</v>
      </c>
      <c r="E22" s="97">
        <f>CHOOSE($K$45,M10,M22,M34)</f>
        <v>0.02</v>
      </c>
      <c r="F22" s="97">
        <f>CHOOSE($K$45,N10,N22,N34)</f>
        <v>0.01</v>
      </c>
      <c r="G22" s="97">
        <f>CHOOSE($K$45,O10,O22,O34)</f>
        <v>0.01</v>
      </c>
      <c r="J22" s="99" t="s">
        <v>282</v>
      </c>
      <c r="K22" s="102">
        <v>0.04</v>
      </c>
      <c r="L22" s="102">
        <v>0.03</v>
      </c>
      <c r="M22" s="102">
        <v>0.02</v>
      </c>
      <c r="N22" s="102">
        <v>0</v>
      </c>
      <c r="O22" s="102">
        <v>0</v>
      </c>
    </row>
    <row r="23" spans="1:15" outlineLevel="1" x14ac:dyDescent="0.2">
      <c r="A23" s="110" t="s">
        <v>295</v>
      </c>
      <c r="B23" s="194"/>
      <c r="C23" s="109"/>
      <c r="D23" s="109"/>
      <c r="E23" s="109"/>
      <c r="F23" s="109"/>
      <c r="G23" s="109"/>
      <c r="J23" s="99" t="s">
        <v>284</v>
      </c>
      <c r="K23" s="103">
        <v>221200</v>
      </c>
      <c r="L23" s="103">
        <v>225733.11744614402</v>
      </c>
      <c r="M23" s="103">
        <v>230000</v>
      </c>
      <c r="N23" s="103">
        <v>235000</v>
      </c>
      <c r="O23" s="103">
        <v>250000</v>
      </c>
    </row>
    <row r="24" spans="1:15" outlineLevel="1" x14ac:dyDescent="0.2">
      <c r="A24" s="192" t="s">
        <v>284</v>
      </c>
      <c r="B24" s="104">
        <f>B76</f>
        <v>209400</v>
      </c>
      <c r="C24" s="107">
        <f>CHOOSE($K$45,K11,K23,K35)</f>
        <v>221200</v>
      </c>
      <c r="D24" s="107">
        <f>CHOOSE($K$45,L11,L23,L35)</f>
        <v>225733.11744614402</v>
      </c>
      <c r="E24" s="107">
        <f>CHOOSE($K$45,M11,M23,M35)</f>
        <v>246049.09801629698</v>
      </c>
      <c r="F24" s="107">
        <f>CHOOSE($K$45,N11,N23,N35)</f>
        <v>268193.51683776372</v>
      </c>
      <c r="G24" s="107">
        <f>CHOOSE($K$45,O11,O23,O35)</f>
        <v>292330.93335316249</v>
      </c>
      <c r="J24" s="99" t="s">
        <v>286</v>
      </c>
      <c r="K24" s="103">
        <v>5000</v>
      </c>
      <c r="L24" s="103">
        <v>2000</v>
      </c>
      <c r="M24" s="103">
        <v>0</v>
      </c>
      <c r="N24" s="103">
        <v>0</v>
      </c>
      <c r="O24" s="103">
        <v>0</v>
      </c>
    </row>
    <row r="25" spans="1:15" outlineLevel="1" x14ac:dyDescent="0.2">
      <c r="A25" s="110" t="s">
        <v>296</v>
      </c>
      <c r="B25" s="108"/>
      <c r="C25" s="111"/>
      <c r="D25" s="111"/>
      <c r="E25" s="111"/>
      <c r="F25" s="111"/>
      <c r="G25" s="111"/>
      <c r="J25" s="99" t="s">
        <v>288</v>
      </c>
      <c r="K25" s="102">
        <v>0.06</v>
      </c>
      <c r="L25" s="102">
        <v>0.05</v>
      </c>
      <c r="M25" s="102">
        <v>0.04</v>
      </c>
      <c r="N25" s="102">
        <v>0.03</v>
      </c>
      <c r="O25" s="102">
        <v>0.04</v>
      </c>
    </row>
    <row r="26" spans="1:15" outlineLevel="1" x14ac:dyDescent="0.2">
      <c r="A26" s="192" t="s">
        <v>286</v>
      </c>
      <c r="B26" s="104">
        <f>B78</f>
        <v>0</v>
      </c>
      <c r="C26" s="107">
        <f>CHOOSE($K$45,K12,K24,K36)</f>
        <v>5000</v>
      </c>
      <c r="D26" s="107">
        <f t="shared" ref="D26:G26" si="1">CHOOSE($K$45,L12,L24,L36)</f>
        <v>5000</v>
      </c>
      <c r="E26" s="107">
        <f t="shared" si="1"/>
        <v>5000</v>
      </c>
      <c r="F26" s="107">
        <f t="shared" si="1"/>
        <v>5000</v>
      </c>
      <c r="G26" s="107">
        <f t="shared" si="1"/>
        <v>5000</v>
      </c>
      <c r="J26" s="99"/>
      <c r="K26" s="106"/>
      <c r="L26" s="106"/>
      <c r="M26" s="195"/>
      <c r="N26" s="195"/>
      <c r="O26" s="195"/>
    </row>
    <row r="27" spans="1:15" outlineLevel="1" x14ac:dyDescent="0.2">
      <c r="A27" s="110" t="s">
        <v>297</v>
      </c>
      <c r="B27" s="108"/>
      <c r="C27" s="111"/>
      <c r="D27" s="111"/>
      <c r="E27" s="111"/>
      <c r="F27" s="111"/>
      <c r="G27" s="111"/>
      <c r="J27" s="411" t="s">
        <v>298</v>
      </c>
      <c r="K27" s="411"/>
      <c r="L27" s="411"/>
      <c r="M27" s="411"/>
      <c r="N27" s="411"/>
      <c r="O27" s="411"/>
    </row>
    <row r="28" spans="1:15" outlineLevel="1" x14ac:dyDescent="0.2">
      <c r="A28" s="192" t="s">
        <v>288</v>
      </c>
      <c r="B28" s="193">
        <f>B83/B48</f>
        <v>40750</v>
      </c>
      <c r="C28" s="97">
        <f>CHOOSE($K$45,K13,K25,K37)</f>
        <v>0.08</v>
      </c>
      <c r="D28" s="97">
        <f t="shared" ref="D28:G28" si="2">CHOOSE($K$45,L13,L25,L37)</f>
        <v>0.08</v>
      </c>
      <c r="E28" s="97">
        <f t="shared" si="2"/>
        <v>0.08</v>
      </c>
      <c r="F28" s="97">
        <f t="shared" si="2"/>
        <v>0.08</v>
      </c>
      <c r="G28" s="97">
        <f t="shared" si="2"/>
        <v>0.08</v>
      </c>
      <c r="J28" s="94" t="s">
        <v>273</v>
      </c>
      <c r="K28" s="95">
        <v>2020</v>
      </c>
      <c r="L28" s="95">
        <v>2021</v>
      </c>
      <c r="M28" s="95">
        <v>2022</v>
      </c>
      <c r="N28" s="95">
        <v>2023</v>
      </c>
      <c r="O28" s="95">
        <v>2024</v>
      </c>
    </row>
    <row r="29" spans="1:15" outlineLevel="1" x14ac:dyDescent="0.2">
      <c r="A29" s="190" t="s">
        <v>299</v>
      </c>
      <c r="B29" s="193">
        <f>B84/B48</f>
        <v>23556</v>
      </c>
      <c r="C29" s="101">
        <v>0.03</v>
      </c>
      <c r="D29" s="101">
        <v>0.03</v>
      </c>
      <c r="E29" s="101">
        <v>0.03</v>
      </c>
      <c r="F29" s="101">
        <v>0.03</v>
      </c>
      <c r="G29" s="101">
        <v>0.03</v>
      </c>
      <c r="J29" s="99" t="s">
        <v>274</v>
      </c>
      <c r="K29" s="100">
        <v>0.11</v>
      </c>
      <c r="L29" s="100">
        <v>0.05</v>
      </c>
      <c r="M29" s="100">
        <v>0.03</v>
      </c>
      <c r="N29" s="100">
        <v>0.03</v>
      </c>
      <c r="O29" s="100">
        <v>0.04</v>
      </c>
    </row>
    <row r="30" spans="1:15" outlineLevel="1" x14ac:dyDescent="0.2">
      <c r="A30" s="190" t="s">
        <v>300</v>
      </c>
      <c r="B30" s="193">
        <f>B85/B48</f>
        <v>7900</v>
      </c>
      <c r="C30" s="101">
        <v>0.01</v>
      </c>
      <c r="D30" s="101">
        <v>0.01</v>
      </c>
      <c r="E30" s="101">
        <v>0.01</v>
      </c>
      <c r="F30" s="101">
        <v>0.01</v>
      </c>
      <c r="G30" s="101">
        <v>0.01</v>
      </c>
      <c r="J30" s="99" t="s">
        <v>276</v>
      </c>
      <c r="K30" s="102">
        <v>0.42</v>
      </c>
      <c r="L30" s="102">
        <v>0.44</v>
      </c>
      <c r="M30" s="102">
        <v>0.42</v>
      </c>
      <c r="N30" s="102">
        <v>0.42</v>
      </c>
      <c r="O30" s="102">
        <v>0.42</v>
      </c>
    </row>
    <row r="31" spans="1:15" outlineLevel="1" x14ac:dyDescent="0.2">
      <c r="A31" s="190" t="s">
        <v>301</v>
      </c>
      <c r="B31" s="193">
        <f>B86/B48</f>
        <v>16800</v>
      </c>
      <c r="C31" s="101">
        <v>0.02</v>
      </c>
      <c r="D31" s="101">
        <v>0.02</v>
      </c>
      <c r="E31" s="101">
        <v>0.02</v>
      </c>
      <c r="F31" s="101">
        <v>0.02</v>
      </c>
      <c r="G31" s="101">
        <v>0.02</v>
      </c>
      <c r="J31" s="99" t="s">
        <v>277</v>
      </c>
      <c r="K31" s="103">
        <v>21800</v>
      </c>
      <c r="L31" s="103">
        <v>21800</v>
      </c>
      <c r="M31" s="103">
        <v>30000</v>
      </c>
      <c r="N31" s="103">
        <v>45000</v>
      </c>
      <c r="O31" s="103">
        <v>60000</v>
      </c>
    </row>
    <row r="32" spans="1:15" outlineLevel="1" x14ac:dyDescent="0.2">
      <c r="A32" s="110" t="s">
        <v>302</v>
      </c>
      <c r="B32" s="194"/>
      <c r="C32" s="109"/>
      <c r="D32" s="109"/>
      <c r="E32" s="109"/>
      <c r="F32" s="109"/>
      <c r="G32" s="109"/>
      <c r="J32" s="99" t="s">
        <v>279</v>
      </c>
      <c r="K32" s="102">
        <v>0.2</v>
      </c>
      <c r="L32" s="102">
        <v>0.2</v>
      </c>
      <c r="M32" s="102">
        <v>0.18</v>
      </c>
      <c r="N32" s="102">
        <v>0.17</v>
      </c>
      <c r="O32" s="102">
        <v>0.15</v>
      </c>
    </row>
    <row r="33" spans="1:15" outlineLevel="1" x14ac:dyDescent="0.2">
      <c r="A33" s="190" t="s">
        <v>303</v>
      </c>
      <c r="B33" s="193">
        <f>B88/B48</f>
        <v>8260</v>
      </c>
      <c r="C33" s="101">
        <v>0.01</v>
      </c>
      <c r="D33" s="101">
        <v>0.01</v>
      </c>
      <c r="E33" s="101">
        <v>0.01</v>
      </c>
      <c r="F33" s="101">
        <v>0.01</v>
      </c>
      <c r="G33" s="101">
        <v>0.01</v>
      </c>
      <c r="J33" s="99" t="s">
        <v>281</v>
      </c>
      <c r="K33" s="102">
        <v>0.15</v>
      </c>
      <c r="L33" s="102">
        <v>0.17</v>
      </c>
      <c r="M33" s="102">
        <v>0.17</v>
      </c>
      <c r="N33" s="102">
        <v>0.16</v>
      </c>
      <c r="O33" s="102">
        <v>0.15</v>
      </c>
    </row>
    <row r="34" spans="1:15" outlineLevel="1" x14ac:dyDescent="0.2">
      <c r="A34" s="110" t="s">
        <v>304</v>
      </c>
      <c r="B34" s="194"/>
      <c r="C34" s="109"/>
      <c r="D34" s="109"/>
      <c r="E34" s="109"/>
      <c r="F34" s="109"/>
      <c r="G34" s="109"/>
      <c r="J34" s="99" t="s">
        <v>282</v>
      </c>
      <c r="K34" s="102">
        <v>0.04</v>
      </c>
      <c r="L34" s="102">
        <v>0.03</v>
      </c>
      <c r="M34" s="102">
        <v>0.02</v>
      </c>
      <c r="N34" s="102">
        <v>0.01</v>
      </c>
      <c r="O34" s="102">
        <v>0</v>
      </c>
    </row>
    <row r="35" spans="1:15" outlineLevel="1" x14ac:dyDescent="0.2">
      <c r="A35" s="190" t="s">
        <v>305</v>
      </c>
      <c r="B35" s="105"/>
      <c r="C35" s="105">
        <v>115840</v>
      </c>
      <c r="D35" s="105">
        <v>115840</v>
      </c>
      <c r="E35" s="105">
        <v>115840</v>
      </c>
      <c r="F35" s="105">
        <v>115840</v>
      </c>
      <c r="G35" s="105">
        <v>115840</v>
      </c>
      <c r="J35" s="99" t="s">
        <v>284</v>
      </c>
      <c r="K35" s="103">
        <v>221200</v>
      </c>
      <c r="L35" s="103">
        <v>223000</v>
      </c>
      <c r="M35" s="103">
        <v>228000</v>
      </c>
      <c r="N35" s="103">
        <v>230000</v>
      </c>
      <c r="O35" s="103">
        <v>240000</v>
      </c>
    </row>
    <row r="36" spans="1:15" outlineLevel="1" x14ac:dyDescent="0.2">
      <c r="A36" s="190" t="s">
        <v>486</v>
      </c>
      <c r="B36" s="111"/>
      <c r="C36" s="111"/>
      <c r="D36" s="111"/>
      <c r="E36" s="111"/>
      <c r="F36" s="111"/>
      <c r="G36" s="111"/>
      <c r="J36" s="99" t="s">
        <v>286</v>
      </c>
      <c r="K36" s="103">
        <v>5000</v>
      </c>
      <c r="L36" s="103">
        <v>0</v>
      </c>
      <c r="M36" s="103">
        <v>0</v>
      </c>
      <c r="N36" s="103">
        <v>0</v>
      </c>
      <c r="O36" s="103">
        <v>0</v>
      </c>
    </row>
    <row r="37" spans="1:15" outlineLevel="1" x14ac:dyDescent="0.2">
      <c r="A37" s="190" t="s">
        <v>306</v>
      </c>
      <c r="B37" s="104">
        <f>B92</f>
        <v>0</v>
      </c>
      <c r="C37" s="105">
        <v>3000</v>
      </c>
      <c r="D37" s="105">
        <v>3000</v>
      </c>
      <c r="E37" s="105">
        <v>3000</v>
      </c>
      <c r="F37" s="105">
        <v>3000</v>
      </c>
      <c r="G37" s="105">
        <v>3000</v>
      </c>
      <c r="J37" s="99" t="s">
        <v>288</v>
      </c>
      <c r="K37" s="102">
        <v>0.05</v>
      </c>
      <c r="L37" s="102">
        <v>0.03</v>
      </c>
      <c r="M37" s="102">
        <v>0.03</v>
      </c>
      <c r="N37" s="102">
        <v>0.03</v>
      </c>
      <c r="O37" s="102">
        <v>0.04</v>
      </c>
    </row>
    <row r="38" spans="1:15" outlineLevel="1" x14ac:dyDescent="0.2">
      <c r="A38" s="190" t="s">
        <v>487</v>
      </c>
      <c r="B38" s="108"/>
      <c r="C38" s="111"/>
      <c r="D38" s="111"/>
      <c r="E38" s="111"/>
      <c r="F38" s="111"/>
      <c r="G38" s="111"/>
      <c r="J38" s="99"/>
      <c r="K38" s="106"/>
      <c r="L38" s="106"/>
    </row>
    <row r="39" spans="1:15" outlineLevel="1" x14ac:dyDescent="0.2">
      <c r="A39" s="190" t="s">
        <v>307</v>
      </c>
      <c r="B39" s="193">
        <f>B99/B97</f>
        <v>0.10000128939643353</v>
      </c>
      <c r="C39" s="101">
        <v>0.1</v>
      </c>
      <c r="D39" s="101">
        <v>0.1</v>
      </c>
      <c r="E39" s="101">
        <v>0.1</v>
      </c>
      <c r="F39" s="101">
        <v>0.1</v>
      </c>
      <c r="G39" s="101">
        <v>0.1</v>
      </c>
      <c r="J39" s="112" t="s">
        <v>308</v>
      </c>
      <c r="K39" s="113" t="s">
        <v>309</v>
      </c>
      <c r="L39" s="106"/>
    </row>
    <row r="40" spans="1:15" outlineLevel="1" x14ac:dyDescent="0.2">
      <c r="A40" s="190" t="s">
        <v>310</v>
      </c>
      <c r="C40" s="101">
        <f>Ke_COP_Nominal</f>
        <v>0.16842542221127488</v>
      </c>
      <c r="D40" s="101">
        <f>Ke_COP_Nominal</f>
        <v>0.16842542221127488</v>
      </c>
      <c r="E40" s="101">
        <f>Ke_COP_Nominal</f>
        <v>0.16842542221127488</v>
      </c>
      <c r="F40" s="101">
        <f>Ke_COP_Nominal</f>
        <v>0.16842542221127488</v>
      </c>
      <c r="G40" s="101">
        <f>Ke_COP_Nominal</f>
        <v>0.16842542221127488</v>
      </c>
      <c r="J40" s="99" t="s">
        <v>311</v>
      </c>
      <c r="K40" s="113">
        <v>1</v>
      </c>
      <c r="L40" s="196" t="s">
        <v>311</v>
      </c>
    </row>
    <row r="41" spans="1:15" outlineLevel="1" x14ac:dyDescent="0.2">
      <c r="A41" s="190" t="s">
        <v>312</v>
      </c>
      <c r="C41" s="101">
        <f>'Costo de Capital'!Estimación_Inflación_Colombia</f>
        <v>3.8399999999999997E-2</v>
      </c>
      <c r="D41" s="101">
        <f>'Costo de Capital'!Estimación_Inflación_Colombia</f>
        <v>3.8399999999999997E-2</v>
      </c>
      <c r="E41" s="101">
        <f>'Costo de Capital'!Estimación_Inflación_Colombia</f>
        <v>3.8399999999999997E-2</v>
      </c>
      <c r="F41" s="101">
        <f>'Costo de Capital'!Estimación_Inflación_Colombia</f>
        <v>3.8399999999999997E-2</v>
      </c>
      <c r="G41" s="101">
        <f>'Costo de Capital'!Estimación_Inflación_Colombia</f>
        <v>3.8399999999999997E-2</v>
      </c>
      <c r="J41" s="99" t="s">
        <v>313</v>
      </c>
      <c r="K41" s="113">
        <v>2</v>
      </c>
      <c r="L41" s="196" t="s">
        <v>314</v>
      </c>
    </row>
    <row r="42" spans="1:15" outlineLevel="1" x14ac:dyDescent="0.2">
      <c r="J42" s="99" t="s">
        <v>315</v>
      </c>
      <c r="K42" s="113">
        <v>3</v>
      </c>
      <c r="L42" s="196" t="s">
        <v>316</v>
      </c>
    </row>
    <row r="43" spans="1:15" x14ac:dyDescent="0.2">
      <c r="J43" s="99"/>
      <c r="K43" s="106"/>
      <c r="L43" s="106"/>
    </row>
    <row r="44" spans="1:15" x14ac:dyDescent="0.2">
      <c r="A44" s="89" t="s">
        <v>317</v>
      </c>
      <c r="B44" s="89"/>
      <c r="C44" s="89"/>
      <c r="D44" s="89"/>
      <c r="E44" s="89"/>
      <c r="F44" s="89"/>
      <c r="G44" s="89"/>
      <c r="H44" s="89"/>
      <c r="J44" s="112" t="s">
        <v>318</v>
      </c>
      <c r="K44" s="106"/>
      <c r="L44" s="106"/>
    </row>
    <row r="45" spans="1:15" outlineLevel="1" x14ac:dyDescent="0.2">
      <c r="J45" s="99" t="s">
        <v>319</v>
      </c>
      <c r="K45" s="114">
        <v>1</v>
      </c>
      <c r="L45" s="106"/>
    </row>
    <row r="46" spans="1:15" outlineLevel="1" x14ac:dyDescent="0.2">
      <c r="A46" s="90" t="s">
        <v>320</v>
      </c>
      <c r="B46" s="188">
        <f>$B$3</f>
        <v>0</v>
      </c>
      <c r="C46" s="188">
        <f>$C$3</f>
        <v>1</v>
      </c>
      <c r="D46" s="188">
        <f>$D$3</f>
        <v>2</v>
      </c>
      <c r="E46" s="188">
        <f>$E$3</f>
        <v>3</v>
      </c>
      <c r="F46" s="188">
        <f>$F$3</f>
        <v>4</v>
      </c>
      <c r="G46" s="188">
        <f>$G$3</f>
        <v>5</v>
      </c>
      <c r="J46" s="197"/>
    </row>
    <row r="47" spans="1:15" outlineLevel="1" x14ac:dyDescent="0.2">
      <c r="J47" s="198"/>
    </row>
    <row r="48" spans="1:15" outlineLevel="1" x14ac:dyDescent="0.2">
      <c r="A48" s="110" t="s">
        <v>321</v>
      </c>
      <c r="B48" s="115">
        <v>1</v>
      </c>
      <c r="C48" s="199">
        <f>'Hipótesis de Ingresos MVP '!H63</f>
        <v>1565835263.9999998</v>
      </c>
      <c r="D48" s="199">
        <f>'ContabilidaddeInnovación Año2'!Y93</f>
        <v>7046598681.5774193</v>
      </c>
      <c r="E48" s="199">
        <f>'ContabilidaddeInnovación Año3'!Y107</f>
        <v>21609842574.584564</v>
      </c>
      <c r="F48" s="199">
        <f>'ContabilidaddeInnovación Año 4'!Y107</f>
        <v>44531150761.090759</v>
      </c>
      <c r="G48" s="199">
        <f>F48*(1+G5)</f>
        <v>48984265837.199837</v>
      </c>
    </row>
    <row r="49" spans="1:10" outlineLevel="1" x14ac:dyDescent="0.2">
      <c r="A49" s="110" t="s">
        <v>322</v>
      </c>
      <c r="B49" s="115">
        <v>1</v>
      </c>
      <c r="C49" s="199">
        <f>C48*C7</f>
        <v>1093585330.1700001</v>
      </c>
      <c r="D49" s="199">
        <f>D48*D7</f>
        <v>4131909441.0428257</v>
      </c>
      <c r="E49" s="199">
        <f>E48*E7</f>
        <v>14516188075.703253</v>
      </c>
      <c r="F49" s="199">
        <f>F48*F7</f>
        <v>30027024250.764725</v>
      </c>
      <c r="G49" s="199">
        <f>G48*G7</f>
        <v>34020618476.116436</v>
      </c>
      <c r="J49" s="197"/>
    </row>
    <row r="50" spans="1:10" outlineLevel="1" x14ac:dyDescent="0.2">
      <c r="A50" s="116" t="s">
        <v>323</v>
      </c>
      <c r="B50" s="117">
        <f t="shared" ref="B50:G50" si="3">B48-B49</f>
        <v>0</v>
      </c>
      <c r="C50" s="117">
        <f t="shared" si="3"/>
        <v>472249933.82999969</v>
      </c>
      <c r="D50" s="117">
        <f t="shared" si="3"/>
        <v>2914689240.5345936</v>
      </c>
      <c r="E50" s="117">
        <f t="shared" si="3"/>
        <v>7093654498.8813114</v>
      </c>
      <c r="F50" s="117">
        <f t="shared" si="3"/>
        <v>14504126510.326035</v>
      </c>
      <c r="G50" s="117">
        <f t="shared" si="3"/>
        <v>14963647361.083401</v>
      </c>
    </row>
    <row r="51" spans="1:10" outlineLevel="1" x14ac:dyDescent="0.2">
      <c r="A51" s="110" t="s">
        <v>324</v>
      </c>
      <c r="B51" s="115">
        <v>0</v>
      </c>
      <c r="C51" s="200">
        <f>C48*C8</f>
        <v>30000000.000000004</v>
      </c>
      <c r="D51" s="200">
        <f>D48*D8</f>
        <v>51238241.442640543</v>
      </c>
      <c r="E51" s="200">
        <f>E48*E8</f>
        <v>119469081.88816041</v>
      </c>
      <c r="F51" s="200">
        <f>F48*F8</f>
        <v>139889197.79945409</v>
      </c>
      <c r="G51" s="200">
        <f>G48*G8</f>
        <v>158494461.10678148</v>
      </c>
      <c r="J51" s="197"/>
    </row>
    <row r="52" spans="1:10" outlineLevel="1" x14ac:dyDescent="0.2">
      <c r="A52" s="110" t="s">
        <v>325</v>
      </c>
      <c r="B52" s="115">
        <v>0</v>
      </c>
      <c r="C52" s="200">
        <f>C48*C9</f>
        <v>449767723.00499994</v>
      </c>
      <c r="D52" s="200">
        <f>D48*D9</f>
        <v>885649441.35719454</v>
      </c>
      <c r="E52" s="200">
        <f>E48*E9</f>
        <v>1693559574.8961022</v>
      </c>
      <c r="F52" s="200">
        <f>F48*F9</f>
        <v>2433462035.374217</v>
      </c>
      <c r="G52" s="200">
        <f>G48*G9</f>
        <v>2757112486.0789881</v>
      </c>
      <c r="J52" s="198"/>
    </row>
    <row r="53" spans="1:10" outlineLevel="1" x14ac:dyDescent="0.2">
      <c r="A53" s="116" t="s">
        <v>326</v>
      </c>
      <c r="B53" s="117">
        <f>B50-B51-B52</f>
        <v>0</v>
      </c>
      <c r="C53" s="117">
        <f>C50-C51-C52</f>
        <v>-7517789.1750002503</v>
      </c>
      <c r="D53" s="117">
        <f t="shared" ref="D53:G53" si="4">D50-D51-D52</f>
        <v>1977801557.7347589</v>
      </c>
      <c r="E53" s="117">
        <f t="shared" si="4"/>
        <v>5280625842.0970488</v>
      </c>
      <c r="F53" s="117">
        <f t="shared" si="4"/>
        <v>11930775277.152363</v>
      </c>
      <c r="G53" s="117">
        <f t="shared" si="4"/>
        <v>12048040413.897633</v>
      </c>
    </row>
    <row r="54" spans="1:10" outlineLevel="1" x14ac:dyDescent="0.2">
      <c r="A54" s="110" t="s">
        <v>327</v>
      </c>
      <c r="B54" s="118">
        <v>0</v>
      </c>
      <c r="C54" s="199">
        <f>'Hipótesis de Ingresos MVP '!F30</f>
        <v>1063214596.6784997</v>
      </c>
      <c r="D54" s="199">
        <f>-D48*D16</f>
        <v>0</v>
      </c>
      <c r="E54" s="199">
        <f>-E48*E16</f>
        <v>0</v>
      </c>
      <c r="F54" s="199">
        <f>-F48*F16</f>
        <v>0</v>
      </c>
      <c r="G54" s="199">
        <f>-G48*G16</f>
        <v>0</v>
      </c>
    </row>
    <row r="55" spans="1:10" outlineLevel="1" x14ac:dyDescent="0.2">
      <c r="A55" s="110" t="s">
        <v>328</v>
      </c>
      <c r="B55" s="118">
        <v>0</v>
      </c>
      <c r="C55" s="199">
        <f>C48*C17</f>
        <v>0</v>
      </c>
      <c r="D55" s="199">
        <f>D48*D17</f>
        <v>0</v>
      </c>
      <c r="E55" s="199">
        <f>E48*E17</f>
        <v>0</v>
      </c>
      <c r="F55" s="199">
        <f>F48*F17</f>
        <v>0</v>
      </c>
      <c r="G55" s="199">
        <f>G48*G17</f>
        <v>0</v>
      </c>
    </row>
    <row r="56" spans="1:10" outlineLevel="1" x14ac:dyDescent="0.2">
      <c r="A56" s="110" t="s">
        <v>329</v>
      </c>
      <c r="B56" s="115">
        <v>3000</v>
      </c>
      <c r="C56" s="200">
        <f>C12</f>
        <v>0</v>
      </c>
      <c r="D56" s="200">
        <f>D12</f>
        <v>0</v>
      </c>
      <c r="E56" s="200">
        <f>E12</f>
        <v>0</v>
      </c>
      <c r="F56" s="200">
        <f>F12</f>
        <v>0</v>
      </c>
      <c r="G56" s="200">
        <f>G12</f>
        <v>0</v>
      </c>
      <c r="J56" s="201"/>
    </row>
    <row r="57" spans="1:10" outlineLevel="1" x14ac:dyDescent="0.2">
      <c r="A57" s="110" t="s">
        <v>330</v>
      </c>
      <c r="B57" s="200"/>
      <c r="C57" s="200">
        <v>0</v>
      </c>
      <c r="D57" s="200">
        <f ca="1">D82*D10-D69*D10*D11</f>
        <v>-3312.4121429021639</v>
      </c>
      <c r="E57" s="200">
        <f ca="1">E82*E10-E69*E10*E11</f>
        <v>-5721.0005800814333</v>
      </c>
      <c r="F57" s="200">
        <f ca="1">F82*F10-F69*F10*F11</f>
        <v>-8188.9320585712649</v>
      </c>
      <c r="G57" s="200">
        <f ca="1">G82*G10-G69*G10*G11</f>
        <v>-9080.8328165055336</v>
      </c>
    </row>
    <row r="58" spans="1:10" outlineLevel="1" x14ac:dyDescent="0.2">
      <c r="A58" s="116" t="s">
        <v>331</v>
      </c>
      <c r="B58" s="117">
        <v>11964</v>
      </c>
      <c r="C58" s="117">
        <f>C53+C54-C55-C56-C57</f>
        <v>1055696807.5034995</v>
      </c>
      <c r="D58" s="117">
        <f t="shared" ref="D58:G58" ca="1" si="5">D53-D56-D57-D54-D55</f>
        <v>85535.384942902179</v>
      </c>
      <c r="E58" s="117">
        <f t="shared" ca="1" si="5"/>
        <v>139361.8336360814</v>
      </c>
      <c r="F58" s="117">
        <f t="shared" ca="1" si="5"/>
        <v>167055.76506337122</v>
      </c>
      <c r="G58" s="117">
        <f t="shared" ca="1" si="5"/>
        <v>182515.68079173754</v>
      </c>
      <c r="J58" s="197"/>
    </row>
    <row r="59" spans="1:10" outlineLevel="1" x14ac:dyDescent="0.2">
      <c r="A59" s="119" t="s">
        <v>332</v>
      </c>
      <c r="B59" s="120">
        <v>4068</v>
      </c>
      <c r="C59" s="202">
        <f>C58*C13</f>
        <v>411721754.92636484</v>
      </c>
      <c r="D59" s="202">
        <f ca="1">D58*D13</f>
        <v>20528.492386296522</v>
      </c>
      <c r="E59" s="202">
        <f ca="1">E58*E13</f>
        <v>32053.221736298725</v>
      </c>
      <c r="F59" s="202">
        <f ca="1">F58*F13</f>
        <v>38422.825964575379</v>
      </c>
      <c r="G59" s="202">
        <f ca="1">G58*G13</f>
        <v>41978.606582099637</v>
      </c>
      <c r="J59" s="197"/>
    </row>
    <row r="60" spans="1:10" ht="17" outlineLevel="1" thickBot="1" x14ac:dyDescent="0.25">
      <c r="A60" s="121" t="s">
        <v>333</v>
      </c>
      <c r="B60" s="122">
        <v>7896</v>
      </c>
      <c r="C60" s="122">
        <f>C58-C59</f>
        <v>643975052.57713461</v>
      </c>
      <c r="D60" s="122">
        <f ca="1">D58-D59</f>
        <v>65006.892556605657</v>
      </c>
      <c r="E60" s="122">
        <f ca="1">E58-E59</f>
        <v>107308.61189978267</v>
      </c>
      <c r="F60" s="122">
        <f ca="1">F58-F59</f>
        <v>128632.93909879585</v>
      </c>
      <c r="G60" s="122">
        <f ca="1">G58-G59</f>
        <v>140537.07420963791</v>
      </c>
      <c r="J60" s="195"/>
    </row>
    <row r="61" spans="1:10" ht="17" outlineLevel="1" thickTop="1" x14ac:dyDescent="0.2">
      <c r="A61" s="110" t="s">
        <v>277</v>
      </c>
      <c r="B61" s="115">
        <v>21800</v>
      </c>
      <c r="C61" s="200">
        <f>C15</f>
        <v>0</v>
      </c>
      <c r="D61" s="200">
        <f>D15</f>
        <v>0</v>
      </c>
      <c r="E61" s="200">
        <f>E15</f>
        <v>0</v>
      </c>
      <c r="F61" s="200">
        <f>F15</f>
        <v>0</v>
      </c>
      <c r="G61" s="200">
        <f>G15</f>
        <v>0</v>
      </c>
    </row>
    <row r="62" spans="1:10" outlineLevel="1" x14ac:dyDescent="0.2">
      <c r="A62" s="110" t="s">
        <v>334</v>
      </c>
      <c r="B62" s="115">
        <v>-13904</v>
      </c>
      <c r="C62" s="200">
        <f>C60-C61</f>
        <v>643975052.57713461</v>
      </c>
      <c r="D62" s="200">
        <f ca="1">D60-D61</f>
        <v>43206.892556605657</v>
      </c>
      <c r="E62" s="200">
        <f ca="1">E60-E61</f>
        <v>64055.837288721217</v>
      </c>
      <c r="F62" s="200">
        <f ca="1">F60-F61</f>
        <v>63048.824644671549</v>
      </c>
      <c r="G62" s="200">
        <f ca="1">G60-G61</f>
        <v>53124.407284575995</v>
      </c>
    </row>
    <row r="63" spans="1:10" outlineLevel="1" x14ac:dyDescent="0.2">
      <c r="A63" s="110"/>
      <c r="B63" s="115"/>
      <c r="C63" s="200"/>
      <c r="D63" s="200"/>
      <c r="E63" s="200"/>
      <c r="F63" s="200"/>
      <c r="G63" s="200"/>
    </row>
    <row r="64" spans="1:10" x14ac:dyDescent="0.2">
      <c r="A64" s="110"/>
      <c r="B64" s="115"/>
      <c r="C64" s="200"/>
      <c r="D64" s="200"/>
      <c r="E64" s="200"/>
      <c r="F64" s="200"/>
      <c r="G64" s="200"/>
    </row>
    <row r="65" spans="1:8" x14ac:dyDescent="0.2">
      <c r="A65" s="89" t="s">
        <v>335</v>
      </c>
      <c r="B65" s="89"/>
      <c r="C65" s="89"/>
      <c r="D65" s="89"/>
      <c r="E65" s="89"/>
      <c r="F65" s="89"/>
      <c r="G65" s="89"/>
      <c r="H65" s="89"/>
    </row>
    <row r="66" spans="1:8" outlineLevel="2" x14ac:dyDescent="0.2"/>
    <row r="67" spans="1:8" outlineLevel="2" x14ac:dyDescent="0.2">
      <c r="A67" s="90" t="s">
        <v>336</v>
      </c>
      <c r="B67" s="188">
        <f>$B$3</f>
        <v>0</v>
      </c>
      <c r="C67" s="188">
        <f>$C$3</f>
        <v>1</v>
      </c>
      <c r="D67" s="188">
        <f>$D$3</f>
        <v>2</v>
      </c>
      <c r="E67" s="188">
        <f>$E$3</f>
        <v>3</v>
      </c>
      <c r="F67" s="188">
        <f>$F$3</f>
        <v>4</v>
      </c>
      <c r="G67" s="188">
        <f>$G$3</f>
        <v>5</v>
      </c>
    </row>
    <row r="68" spans="1:8" outlineLevel="2" x14ac:dyDescent="0.2">
      <c r="A68" s="90"/>
    </row>
    <row r="69" spans="1:8" outlineLevel="2" x14ac:dyDescent="0.2">
      <c r="A69" s="110" t="s">
        <v>337</v>
      </c>
      <c r="B69" s="200"/>
      <c r="C69" s="200">
        <f>IF(C103&lt;0,-C103,0)</f>
        <v>769377713.69713449</v>
      </c>
      <c r="D69" s="200">
        <f ca="1">IF(D103&lt;0,-D103,0)</f>
        <v>69008.586310461746</v>
      </c>
      <c r="E69" s="200">
        <f ca="1">IF(E103&lt;0,-E103,0)</f>
        <v>119187.51208502986</v>
      </c>
      <c r="F69" s="200">
        <f ca="1">IF(F103&lt;0,-F103,0)</f>
        <v>170602.75122023467</v>
      </c>
      <c r="G69" s="200">
        <f ca="1">IF(G103&lt;0,-G103,0)</f>
        <v>189184.01701053197</v>
      </c>
    </row>
    <row r="70" spans="1:8" outlineLevel="2" x14ac:dyDescent="0.2">
      <c r="A70" s="110" t="s">
        <v>338</v>
      </c>
      <c r="B70" s="115">
        <v>8400</v>
      </c>
      <c r="C70" s="200">
        <f>C48*C18</f>
        <v>15658352.639999999</v>
      </c>
      <c r="D70" s="200">
        <f>D48*D18</f>
        <v>70465986.815774187</v>
      </c>
      <c r="E70" s="200">
        <f>E48*E18</f>
        <v>216098425.74584565</v>
      </c>
      <c r="F70" s="200">
        <f>F48*F18</f>
        <v>445311507.61090761</v>
      </c>
      <c r="G70" s="200">
        <f>G48*G18</f>
        <v>489842658.37199837</v>
      </c>
    </row>
    <row r="71" spans="1:8" outlineLevel="2" x14ac:dyDescent="0.2">
      <c r="A71" s="110" t="s">
        <v>339</v>
      </c>
      <c r="B71" s="123">
        <v>98400</v>
      </c>
      <c r="C71" s="200">
        <f>C48*C19</f>
        <v>0</v>
      </c>
      <c r="D71" s="200">
        <f>D48*D19</f>
        <v>0</v>
      </c>
      <c r="E71" s="200">
        <f>E48*E19</f>
        <v>0</v>
      </c>
      <c r="F71" s="200">
        <f>F48*F19</f>
        <v>0</v>
      </c>
      <c r="G71" s="200">
        <f>G48*G19</f>
        <v>0</v>
      </c>
    </row>
    <row r="72" spans="1:8" outlineLevel="2" x14ac:dyDescent="0.2">
      <c r="A72" s="110" t="s">
        <v>340</v>
      </c>
      <c r="B72" s="123">
        <v>101200</v>
      </c>
      <c r="C72" s="200">
        <f>C48*C20</f>
        <v>31316705.279999997</v>
      </c>
      <c r="D72" s="200">
        <f>D48*D20</f>
        <v>140931973.63154837</v>
      </c>
      <c r="E72" s="200">
        <f>E48*E20</f>
        <v>432196851.49169129</v>
      </c>
      <c r="F72" s="200">
        <f>F48*F20</f>
        <v>890623015.22181523</v>
      </c>
      <c r="G72" s="200">
        <f>G48*G20</f>
        <v>979685316.74399674</v>
      </c>
    </row>
    <row r="73" spans="1:8" outlineLevel="2" x14ac:dyDescent="0.2">
      <c r="A73" s="110" t="s">
        <v>341</v>
      </c>
      <c r="B73" s="123"/>
      <c r="C73" s="200">
        <f>C48*C21</f>
        <v>0</v>
      </c>
      <c r="D73" s="200">
        <f>D48*D21</f>
        <v>0</v>
      </c>
      <c r="E73" s="200">
        <f>E48*E21</f>
        <v>0</v>
      </c>
      <c r="F73" s="200">
        <f>F48*F21</f>
        <v>0</v>
      </c>
      <c r="G73" s="200">
        <f>G48*G21</f>
        <v>0</v>
      </c>
    </row>
    <row r="74" spans="1:8" outlineLevel="2" x14ac:dyDescent="0.2">
      <c r="A74" s="110" t="s">
        <v>342</v>
      </c>
      <c r="B74" s="124">
        <v>38906</v>
      </c>
      <c r="C74" s="200">
        <f>C48*C22</f>
        <v>62633410.559999995</v>
      </c>
      <c r="D74" s="200">
        <f>D48*D22</f>
        <v>211397960.44732258</v>
      </c>
      <c r="E74" s="200">
        <f>E48*E22</f>
        <v>432196851.49169129</v>
      </c>
      <c r="F74" s="200">
        <f>F48*F22</f>
        <v>445311507.61090761</v>
      </c>
      <c r="G74" s="200">
        <f>G48*G22</f>
        <v>489842658.37199837</v>
      </c>
    </row>
    <row r="75" spans="1:8" outlineLevel="2" x14ac:dyDescent="0.2">
      <c r="A75" s="110" t="s">
        <v>343</v>
      </c>
      <c r="B75" s="124"/>
      <c r="C75" s="200">
        <f>C48*C23</f>
        <v>0</v>
      </c>
      <c r="D75" s="200">
        <f>D48*D23</f>
        <v>0</v>
      </c>
      <c r="E75" s="200">
        <f>E48*E23</f>
        <v>0</v>
      </c>
      <c r="F75" s="200">
        <f>F48*F23</f>
        <v>0</v>
      </c>
      <c r="G75" s="200">
        <f>G48*G23</f>
        <v>0</v>
      </c>
    </row>
    <row r="76" spans="1:8" outlineLevel="2" x14ac:dyDescent="0.2">
      <c r="A76" s="110" t="s">
        <v>344</v>
      </c>
      <c r="B76" s="125">
        <v>209400</v>
      </c>
      <c r="C76" s="200">
        <f t="shared" ref="C76:G79" si="6">C24</f>
        <v>221200</v>
      </c>
      <c r="D76" s="200">
        <f t="shared" si="6"/>
        <v>225733.11744614402</v>
      </c>
      <c r="E76" s="200">
        <f t="shared" si="6"/>
        <v>246049.09801629698</v>
      </c>
      <c r="F76" s="200">
        <f t="shared" si="6"/>
        <v>268193.51683776372</v>
      </c>
      <c r="G76" s="200">
        <f t="shared" si="6"/>
        <v>292330.93335316249</v>
      </c>
    </row>
    <row r="77" spans="1:8" outlineLevel="2" x14ac:dyDescent="0.2">
      <c r="A77" s="110" t="s">
        <v>345</v>
      </c>
      <c r="B77" s="125"/>
      <c r="C77" s="200">
        <f t="shared" si="6"/>
        <v>0</v>
      </c>
      <c r="D77" s="200">
        <f t="shared" si="6"/>
        <v>0</v>
      </c>
      <c r="E77" s="200">
        <f t="shared" si="6"/>
        <v>0</v>
      </c>
      <c r="F77" s="200">
        <f t="shared" si="6"/>
        <v>0</v>
      </c>
      <c r="G77" s="200">
        <f t="shared" si="6"/>
        <v>0</v>
      </c>
    </row>
    <row r="78" spans="1:8" outlineLevel="2" x14ac:dyDescent="0.2">
      <c r="A78" s="110" t="s">
        <v>286</v>
      </c>
      <c r="B78" s="124">
        <v>0</v>
      </c>
      <c r="C78" s="200">
        <f t="shared" si="6"/>
        <v>5000</v>
      </c>
      <c r="D78" s="200">
        <f t="shared" si="6"/>
        <v>5000</v>
      </c>
      <c r="E78" s="200">
        <f t="shared" si="6"/>
        <v>5000</v>
      </c>
      <c r="F78" s="200">
        <f t="shared" si="6"/>
        <v>5000</v>
      </c>
      <c r="G78" s="200">
        <f t="shared" si="6"/>
        <v>5000</v>
      </c>
    </row>
    <row r="79" spans="1:8" outlineLevel="2" x14ac:dyDescent="0.2">
      <c r="A79" s="110" t="s">
        <v>346</v>
      </c>
      <c r="B79" s="124"/>
      <c r="C79" s="200">
        <f t="shared" si="6"/>
        <v>0</v>
      </c>
      <c r="D79" s="200">
        <f t="shared" si="6"/>
        <v>0</v>
      </c>
      <c r="E79" s="200">
        <f t="shared" si="6"/>
        <v>0</v>
      </c>
      <c r="F79" s="200">
        <f t="shared" si="6"/>
        <v>0</v>
      </c>
      <c r="G79" s="200">
        <f t="shared" si="6"/>
        <v>0</v>
      </c>
    </row>
    <row r="80" spans="1:8" ht="17" outlineLevel="2" thickBot="1" x14ac:dyDescent="0.25">
      <c r="A80" s="121" t="s">
        <v>347</v>
      </c>
      <c r="B80" s="122">
        <v>456306</v>
      </c>
      <c r="C80" s="122">
        <f>SUM(C69:C79)</f>
        <v>879212382.17713439</v>
      </c>
      <c r="D80" s="122">
        <f t="shared" ref="D80:G80" ca="1" si="7">SUM(D69:D79)</f>
        <v>574349.06055660569</v>
      </c>
      <c r="E80" s="122">
        <f t="shared" ca="1" si="7"/>
        <v>654029.10952532687</v>
      </c>
      <c r="F80" s="122">
        <f t="shared" ca="1" si="7"/>
        <v>732844.18413799838</v>
      </c>
      <c r="G80" s="122">
        <f t="shared" ca="1" si="7"/>
        <v>801577.1788908944</v>
      </c>
    </row>
    <row r="81" spans="1:7" ht="17" outlineLevel="2" thickTop="1" x14ac:dyDescent="0.2">
      <c r="B81" s="200"/>
      <c r="C81" s="200"/>
      <c r="D81" s="200"/>
      <c r="E81" s="200"/>
      <c r="F81" s="200"/>
      <c r="G81" s="200"/>
    </row>
    <row r="82" spans="1:7" outlineLevel="2" x14ac:dyDescent="0.2">
      <c r="A82" s="110" t="s">
        <v>348</v>
      </c>
      <c r="B82" s="200"/>
      <c r="C82" s="200">
        <f>IF(C103&gt;0,C103,0)</f>
        <v>0</v>
      </c>
      <c r="D82" s="200">
        <f ca="1">IF(D103&gt;0,D103,0)</f>
        <v>0</v>
      </c>
      <c r="E82" s="200">
        <f ca="1">IF(E103&gt;0,E103,0)</f>
        <v>0</v>
      </c>
      <c r="F82" s="200">
        <f ca="1">IF(F103&gt;0,F103,0)</f>
        <v>0</v>
      </c>
      <c r="G82" s="200">
        <f ca="1">IF(G103&gt;0,G103,0)</f>
        <v>0</v>
      </c>
    </row>
    <row r="83" spans="1:7" outlineLevel="2" x14ac:dyDescent="0.2">
      <c r="A83" s="110" t="s">
        <v>349</v>
      </c>
      <c r="B83" s="125">
        <v>40750</v>
      </c>
      <c r="C83" s="200">
        <f>C48*C28</f>
        <v>125266821.11999999</v>
      </c>
      <c r="D83" s="200">
        <f>D48*D28</f>
        <v>563727894.5261935</v>
      </c>
      <c r="E83" s="200">
        <f>E48*E28</f>
        <v>1728787405.9667652</v>
      </c>
      <c r="F83" s="200">
        <f>F48*F28</f>
        <v>3562492060.8872609</v>
      </c>
      <c r="G83" s="200">
        <f>G48*G28</f>
        <v>3918741266.975987</v>
      </c>
    </row>
    <row r="84" spans="1:7" outlineLevel="2" x14ac:dyDescent="0.2">
      <c r="A84" s="110" t="s">
        <v>350</v>
      </c>
      <c r="B84" s="125">
        <v>23556</v>
      </c>
      <c r="C84" s="200">
        <f>C48*C29</f>
        <v>46975057.919999994</v>
      </c>
      <c r="D84" s="200">
        <f>D48*D29</f>
        <v>211397960.44732258</v>
      </c>
      <c r="E84" s="200">
        <f>E48*E29</f>
        <v>648295277.23753691</v>
      </c>
      <c r="F84" s="200">
        <f>F48*F29</f>
        <v>1335934522.8327227</v>
      </c>
      <c r="G84" s="200">
        <f>G48*G29</f>
        <v>1469527975.1159949</v>
      </c>
    </row>
    <row r="85" spans="1:7" outlineLevel="2" x14ac:dyDescent="0.2">
      <c r="A85" s="110" t="s">
        <v>351</v>
      </c>
      <c r="B85" s="125">
        <v>7900</v>
      </c>
      <c r="C85" s="200">
        <f>C48*C30</f>
        <v>15658352.639999999</v>
      </c>
      <c r="D85" s="200">
        <f>D48*D30</f>
        <v>70465986.815774187</v>
      </c>
      <c r="E85" s="200">
        <f>E48*E30</f>
        <v>216098425.74584565</v>
      </c>
      <c r="F85" s="200">
        <f>F48*F30</f>
        <v>445311507.61090761</v>
      </c>
      <c r="G85" s="200">
        <f>G48*G30</f>
        <v>489842658.37199837</v>
      </c>
    </row>
    <row r="86" spans="1:7" outlineLevel="2" x14ac:dyDescent="0.2">
      <c r="A86" s="110" t="s">
        <v>352</v>
      </c>
      <c r="B86" s="125">
        <v>16800</v>
      </c>
      <c r="C86" s="200">
        <f>C48*C31</f>
        <v>31316705.279999997</v>
      </c>
      <c r="D86" s="200">
        <f>D48*D31</f>
        <v>140931973.63154837</v>
      </c>
      <c r="E86" s="200">
        <f>E48*E31</f>
        <v>432196851.49169129</v>
      </c>
      <c r="F86" s="200">
        <f>F48*F31</f>
        <v>890623015.22181523</v>
      </c>
      <c r="G86" s="200">
        <f>G48*G31</f>
        <v>979685316.74399674</v>
      </c>
    </row>
    <row r="87" spans="1:7" outlineLevel="2" x14ac:dyDescent="0.2">
      <c r="A87" s="110" t="s">
        <v>353</v>
      </c>
      <c r="B87" s="123"/>
      <c r="C87" s="200">
        <f>C48*C32</f>
        <v>0</v>
      </c>
      <c r="D87" s="200">
        <f>D48*D32</f>
        <v>0</v>
      </c>
      <c r="E87" s="200">
        <f>E48*E32</f>
        <v>0</v>
      </c>
      <c r="F87" s="200">
        <f>F48*F32</f>
        <v>0</v>
      </c>
      <c r="G87" s="200">
        <f>G48*G32</f>
        <v>0</v>
      </c>
    </row>
    <row r="88" spans="1:7" outlineLevel="2" x14ac:dyDescent="0.2">
      <c r="A88" s="110" t="s">
        <v>354</v>
      </c>
      <c r="B88" s="126">
        <v>8260</v>
      </c>
      <c r="C88" s="200">
        <f>C48*C33</f>
        <v>15658352.639999999</v>
      </c>
      <c r="D88" s="200">
        <f>D48*D33</f>
        <v>70465986.815774187</v>
      </c>
      <c r="E88" s="200">
        <f>E48*E33</f>
        <v>216098425.74584565</v>
      </c>
      <c r="F88" s="200">
        <f>F48*F33</f>
        <v>445311507.61090761</v>
      </c>
      <c r="G88" s="200">
        <f>G48*G33</f>
        <v>489842658.37199837</v>
      </c>
    </row>
    <row r="89" spans="1:7" outlineLevel="2" x14ac:dyDescent="0.2">
      <c r="A89" s="110" t="s">
        <v>355</v>
      </c>
      <c r="B89" s="126"/>
      <c r="C89" s="200">
        <f>C48*C34</f>
        <v>0</v>
      </c>
      <c r="D89" s="200">
        <f>D48*D34</f>
        <v>0</v>
      </c>
      <c r="E89" s="200">
        <f>E48*E34</f>
        <v>0</v>
      </c>
      <c r="F89" s="200">
        <f>F48*F34</f>
        <v>0</v>
      </c>
      <c r="G89" s="200">
        <f>G48*G34</f>
        <v>0</v>
      </c>
    </row>
    <row r="90" spans="1:7" outlineLevel="2" x14ac:dyDescent="0.2">
      <c r="A90" s="110" t="s">
        <v>305</v>
      </c>
      <c r="B90" s="115">
        <v>115840</v>
      </c>
      <c r="C90" s="200">
        <f t="shared" ref="C90:G93" si="8">C35</f>
        <v>115840</v>
      </c>
      <c r="D90" s="200">
        <f t="shared" si="8"/>
        <v>115840</v>
      </c>
      <c r="E90" s="200">
        <f t="shared" si="8"/>
        <v>115840</v>
      </c>
      <c r="F90" s="200">
        <f t="shared" si="8"/>
        <v>115840</v>
      </c>
      <c r="G90" s="200">
        <f t="shared" si="8"/>
        <v>115840</v>
      </c>
    </row>
    <row r="91" spans="1:7" outlineLevel="2" x14ac:dyDescent="0.2">
      <c r="A91" s="190" t="s">
        <v>486</v>
      </c>
      <c r="B91" s="125"/>
      <c r="C91" s="200">
        <f t="shared" si="8"/>
        <v>0</v>
      </c>
      <c r="D91" s="200">
        <f t="shared" si="8"/>
        <v>0</v>
      </c>
      <c r="E91" s="200">
        <f t="shared" si="8"/>
        <v>0</v>
      </c>
      <c r="F91" s="200">
        <f t="shared" si="8"/>
        <v>0</v>
      </c>
      <c r="G91" s="200">
        <f t="shared" si="8"/>
        <v>0</v>
      </c>
    </row>
    <row r="92" spans="1:7" outlineLevel="2" x14ac:dyDescent="0.2">
      <c r="A92" s="110" t="s">
        <v>306</v>
      </c>
      <c r="B92" s="126">
        <v>0</v>
      </c>
      <c r="C92" s="200">
        <f t="shared" si="8"/>
        <v>3000</v>
      </c>
      <c r="D92" s="200">
        <f t="shared" si="8"/>
        <v>3000</v>
      </c>
      <c r="E92" s="200">
        <f t="shared" si="8"/>
        <v>3000</v>
      </c>
      <c r="F92" s="200">
        <f t="shared" si="8"/>
        <v>3000</v>
      </c>
      <c r="G92" s="200">
        <f t="shared" si="8"/>
        <v>3000</v>
      </c>
    </row>
    <row r="93" spans="1:7" outlineLevel="2" x14ac:dyDescent="0.2">
      <c r="A93" s="190" t="s">
        <v>487</v>
      </c>
      <c r="B93" s="126"/>
      <c r="C93" s="200">
        <f t="shared" si="8"/>
        <v>0</v>
      </c>
      <c r="D93" s="200">
        <f t="shared" si="8"/>
        <v>0</v>
      </c>
      <c r="E93" s="200">
        <f t="shared" si="8"/>
        <v>0</v>
      </c>
      <c r="F93" s="200">
        <f t="shared" si="8"/>
        <v>0</v>
      </c>
      <c r="G93" s="200">
        <f t="shared" si="8"/>
        <v>0</v>
      </c>
    </row>
    <row r="94" spans="1:7" outlineLevel="2" x14ac:dyDescent="0.2">
      <c r="A94" s="110" t="s">
        <v>356</v>
      </c>
      <c r="B94" s="115">
        <v>243200</v>
      </c>
      <c r="C94" s="200">
        <f>B94+C62</f>
        <v>644218252.57713461</v>
      </c>
      <c r="D94" s="200">
        <f t="shared" ref="D94:G94" ca="1" si="9">C94+D62</f>
        <v>313470.77255660563</v>
      </c>
      <c r="E94" s="200">
        <f t="shared" ca="1" si="9"/>
        <v>377526.60984532686</v>
      </c>
      <c r="F94" s="200">
        <f t="shared" ca="1" si="9"/>
        <v>440575.43448999838</v>
      </c>
      <c r="G94" s="200">
        <f t="shared" ca="1" si="9"/>
        <v>493699.84177457436</v>
      </c>
    </row>
    <row r="95" spans="1:7" ht="17" outlineLevel="2" thickBot="1" x14ac:dyDescent="0.25">
      <c r="A95" s="121" t="s">
        <v>357</v>
      </c>
      <c r="B95" s="122">
        <v>456306</v>
      </c>
      <c r="C95" s="122">
        <f>C80</f>
        <v>879212382.17713439</v>
      </c>
      <c r="D95" s="122">
        <f ca="1">D80</f>
        <v>574349.06055660569</v>
      </c>
      <c r="E95" s="122">
        <f ca="1">E80</f>
        <v>654029.10952532687</v>
      </c>
      <c r="F95" s="122">
        <f ca="1">F80</f>
        <v>732844.18413799838</v>
      </c>
      <c r="G95" s="122">
        <f ca="1">G80</f>
        <v>801577.1788908944</v>
      </c>
    </row>
    <row r="96" spans="1:7" ht="17" outlineLevel="2" thickTop="1" x14ac:dyDescent="0.2"/>
    <row r="97" spans="1:8" outlineLevel="2" x14ac:dyDescent="0.2">
      <c r="A97" s="190" t="s">
        <v>358</v>
      </c>
      <c r="B97" s="115">
        <v>232667</v>
      </c>
      <c r="C97" s="200">
        <f>C24/(1-C39)</f>
        <v>245777.77777777778</v>
      </c>
      <c r="D97" s="200">
        <f>D24/(1-D39)</f>
        <v>250814.57494016003</v>
      </c>
      <c r="E97" s="200">
        <f>E24/(1-E39)</f>
        <v>273387.88668477442</v>
      </c>
      <c r="F97" s="200">
        <f>F24/(1-F39)</f>
        <v>297992.79648640414</v>
      </c>
      <c r="G97" s="200">
        <f>G24/(1-G39)</f>
        <v>324812.14817018056</v>
      </c>
    </row>
    <row r="98" spans="1:8" outlineLevel="2" x14ac:dyDescent="0.2">
      <c r="A98" s="190" t="s">
        <v>344</v>
      </c>
      <c r="B98" s="127">
        <v>209400</v>
      </c>
      <c r="C98" s="197">
        <f>C24</f>
        <v>221200</v>
      </c>
      <c r="D98" s="197">
        <f>D24</f>
        <v>225733.11744614402</v>
      </c>
      <c r="E98" s="197">
        <f>E24</f>
        <v>246049.09801629698</v>
      </c>
      <c r="F98" s="197">
        <f>F24</f>
        <v>268193.51683776372</v>
      </c>
      <c r="G98" s="197">
        <f>G24</f>
        <v>292330.93335316249</v>
      </c>
    </row>
    <row r="99" spans="1:8" outlineLevel="2" x14ac:dyDescent="0.2">
      <c r="A99" s="203" t="s">
        <v>359</v>
      </c>
      <c r="B99" s="204">
        <f t="shared" ref="B99:G99" si="10">B97-B98</f>
        <v>23267</v>
      </c>
      <c r="C99" s="204">
        <f t="shared" si="10"/>
        <v>24577.777777777781</v>
      </c>
      <c r="D99" s="204">
        <f t="shared" si="10"/>
        <v>25081.457494016009</v>
      </c>
      <c r="E99" s="204">
        <f t="shared" si="10"/>
        <v>27338.788668477442</v>
      </c>
      <c r="F99" s="204">
        <f t="shared" si="10"/>
        <v>29799.279648640426</v>
      </c>
      <c r="G99" s="204">
        <f t="shared" si="10"/>
        <v>32481.214817018074</v>
      </c>
    </row>
    <row r="100" spans="1:8" outlineLevel="2" x14ac:dyDescent="0.2"/>
    <row r="101" spans="1:8" outlineLevel="2" x14ac:dyDescent="0.2">
      <c r="A101" s="190" t="s">
        <v>360</v>
      </c>
      <c r="C101" s="197">
        <f>SUM(C70:C79)</f>
        <v>109834668.47999999</v>
      </c>
      <c r="D101" s="197">
        <f t="shared" ref="D101:G101" si="11">SUM(D70:D79)</f>
        <v>423026654.01209122</v>
      </c>
      <c r="E101" s="197">
        <f t="shared" si="11"/>
        <v>1080743177.8272445</v>
      </c>
      <c r="F101" s="197">
        <f t="shared" si="11"/>
        <v>1781519223.9604683</v>
      </c>
      <c r="G101" s="197">
        <f t="shared" si="11"/>
        <v>1959667964.4213467</v>
      </c>
    </row>
    <row r="102" spans="1:8" outlineLevel="2" x14ac:dyDescent="0.2">
      <c r="A102" s="190" t="s">
        <v>361</v>
      </c>
      <c r="C102" s="197">
        <f>SUM(C83:C94)</f>
        <v>879212382.17713451</v>
      </c>
      <c r="D102" s="197">
        <f ca="1">SUM(D83:D94)</f>
        <v>574349.06055660569</v>
      </c>
      <c r="E102" s="197">
        <f ca="1">SUM(E83:E94)</f>
        <v>654029.10952532687</v>
      </c>
      <c r="F102" s="197">
        <f ca="1">SUM(F83:F94)</f>
        <v>732844.18413799838</v>
      </c>
      <c r="G102" s="197">
        <f ca="1">SUM(G83:G94)</f>
        <v>801577.1788908944</v>
      </c>
    </row>
    <row r="103" spans="1:8" ht="17" outlineLevel="2" thickBot="1" x14ac:dyDescent="0.25">
      <c r="A103" s="205" t="s">
        <v>362</v>
      </c>
      <c r="B103" s="205"/>
      <c r="C103" s="206">
        <f>C101-C102</f>
        <v>-769377713.69713449</v>
      </c>
      <c r="D103" s="206">
        <f ca="1">D101-D102</f>
        <v>-69008.586310461746</v>
      </c>
      <c r="E103" s="206">
        <f ca="1">E101-E102</f>
        <v>-119187.51208502986</v>
      </c>
      <c r="F103" s="206">
        <f ca="1">F101-F102</f>
        <v>-170602.75122023467</v>
      </c>
      <c r="G103" s="206">
        <f ca="1">G101-G102</f>
        <v>-189184.01701053197</v>
      </c>
    </row>
    <row r="104" spans="1:8" ht="17" outlineLevel="2" thickTop="1" x14ac:dyDescent="0.2"/>
    <row r="106" spans="1:8" x14ac:dyDescent="0.2">
      <c r="A106" s="89" t="s">
        <v>363</v>
      </c>
      <c r="B106" s="89"/>
      <c r="C106" s="89"/>
      <c r="D106" s="89"/>
      <c r="E106" s="89"/>
      <c r="F106" s="89"/>
      <c r="G106" s="89"/>
      <c r="H106" s="89"/>
    </row>
    <row r="107" spans="1:8" outlineLevel="1" x14ac:dyDescent="0.2"/>
    <row r="108" spans="1:8" outlineLevel="1" x14ac:dyDescent="0.2">
      <c r="A108" s="128" t="s">
        <v>364</v>
      </c>
      <c r="B108" s="129"/>
      <c r="C108" s="129"/>
      <c r="D108" s="129"/>
      <c r="E108" s="129"/>
      <c r="F108" s="129"/>
      <c r="G108" s="129"/>
      <c r="H108" s="129"/>
    </row>
    <row r="109" spans="1:8" hidden="1" outlineLevel="2" x14ac:dyDescent="0.2">
      <c r="A109" s="130"/>
    </row>
    <row r="110" spans="1:8" hidden="1" outlineLevel="2" x14ac:dyDescent="0.2">
      <c r="A110" s="190" t="s">
        <v>365</v>
      </c>
    </row>
    <row r="111" spans="1:8" hidden="1" outlineLevel="2" x14ac:dyDescent="0.2">
      <c r="A111" s="190" t="s">
        <v>366</v>
      </c>
    </row>
    <row r="112" spans="1:8" hidden="1" outlineLevel="2" x14ac:dyDescent="0.2">
      <c r="A112" s="131" t="s">
        <v>367</v>
      </c>
      <c r="D112" s="131"/>
      <c r="E112" s="131"/>
      <c r="F112" s="131"/>
      <c r="G112" s="131"/>
      <c r="H112" s="131"/>
    </row>
    <row r="113" spans="1:8" hidden="1" outlineLevel="2" x14ac:dyDescent="0.2">
      <c r="A113" s="131" t="s">
        <v>368</v>
      </c>
      <c r="D113" s="131"/>
      <c r="E113" s="131"/>
      <c r="F113" s="131"/>
      <c r="G113" s="131"/>
      <c r="H113" s="131"/>
    </row>
    <row r="114" spans="1:8" hidden="1" outlineLevel="2" x14ac:dyDescent="0.2">
      <c r="A114" s="131" t="s">
        <v>369</v>
      </c>
      <c r="D114" s="131"/>
      <c r="E114" s="131"/>
      <c r="F114" s="131"/>
      <c r="G114" s="131"/>
      <c r="H114" s="131"/>
    </row>
    <row r="115" spans="1:8" hidden="1" outlineLevel="2" x14ac:dyDescent="0.2">
      <c r="A115" s="131" t="s">
        <v>370</v>
      </c>
      <c r="D115" s="131"/>
      <c r="E115" s="131"/>
      <c r="F115" s="131"/>
      <c r="G115" s="131"/>
      <c r="H115" s="131"/>
    </row>
    <row r="116" spans="1:8" hidden="1" outlineLevel="2" x14ac:dyDescent="0.2">
      <c r="A116" s="131" t="s">
        <v>371</v>
      </c>
      <c r="D116" s="131"/>
      <c r="E116" s="131"/>
      <c r="F116" s="131"/>
      <c r="G116" s="131"/>
      <c r="H116" s="131"/>
    </row>
    <row r="117" spans="1:8" hidden="1" outlineLevel="2" x14ac:dyDescent="0.2">
      <c r="A117" s="131"/>
      <c r="D117" s="131"/>
      <c r="E117" s="131"/>
      <c r="F117" s="131"/>
      <c r="G117" s="131"/>
      <c r="H117" s="131"/>
    </row>
    <row r="118" spans="1:8" outlineLevel="1" collapsed="1" x14ac:dyDescent="0.2">
      <c r="A118" s="131"/>
      <c r="D118" s="131"/>
      <c r="E118" s="131"/>
      <c r="F118" s="131"/>
      <c r="G118" s="131"/>
      <c r="H118" s="131"/>
    </row>
    <row r="119" spans="1:8" outlineLevel="1" x14ac:dyDescent="0.2">
      <c r="A119" s="128" t="str">
        <f>A110</f>
        <v>1- P&amp;G OP-NOP-FIN</v>
      </c>
      <c r="B119" s="129"/>
      <c r="C119" s="129"/>
      <c r="D119" s="129"/>
      <c r="E119" s="129"/>
      <c r="F119" s="129"/>
      <c r="G119" s="129"/>
      <c r="H119" s="129"/>
    </row>
    <row r="120" spans="1:8" outlineLevel="2" x14ac:dyDescent="0.2">
      <c r="C120" s="92">
        <f>$C$3</f>
        <v>1</v>
      </c>
      <c r="D120" s="92">
        <f>$D$3</f>
        <v>2</v>
      </c>
      <c r="E120" s="92">
        <f>$E$3</f>
        <v>3</v>
      </c>
      <c r="F120" s="92">
        <f>$F$3</f>
        <v>4</v>
      </c>
      <c r="G120" s="92">
        <f>$G$3</f>
        <v>5</v>
      </c>
    </row>
    <row r="121" spans="1:8" outlineLevel="2" x14ac:dyDescent="0.2"/>
    <row r="122" spans="1:8" outlineLevel="2" x14ac:dyDescent="0.2">
      <c r="A122" s="110" t="str">
        <f>A48</f>
        <v>VENTAS</v>
      </c>
      <c r="C122" s="207">
        <f t="shared" ref="C122:G126" si="12">C48</f>
        <v>1565835263.9999998</v>
      </c>
      <c r="D122" s="207">
        <f t="shared" si="12"/>
        <v>7046598681.5774193</v>
      </c>
      <c r="E122" s="207">
        <f t="shared" si="12"/>
        <v>21609842574.584564</v>
      </c>
      <c r="F122" s="207">
        <f t="shared" si="12"/>
        <v>44531150761.090759</v>
      </c>
      <c r="G122" s="207">
        <f t="shared" si="12"/>
        <v>48984265837.199837</v>
      </c>
    </row>
    <row r="123" spans="1:8" outlineLevel="2" x14ac:dyDescent="0.2">
      <c r="A123" s="110" t="str">
        <f>A49</f>
        <v>CMV</v>
      </c>
      <c r="C123" s="207">
        <f t="shared" si="12"/>
        <v>1093585330.1700001</v>
      </c>
      <c r="D123" s="207">
        <f t="shared" si="12"/>
        <v>4131909441.0428257</v>
      </c>
      <c r="E123" s="207">
        <f t="shared" si="12"/>
        <v>14516188075.703253</v>
      </c>
      <c r="F123" s="207">
        <f t="shared" si="12"/>
        <v>30027024250.764725</v>
      </c>
      <c r="G123" s="207">
        <f t="shared" si="12"/>
        <v>34020618476.116436</v>
      </c>
    </row>
    <row r="124" spans="1:8" outlineLevel="2" x14ac:dyDescent="0.2">
      <c r="A124" s="116" t="str">
        <f>A50</f>
        <v>UTILIDAD BRUTA</v>
      </c>
      <c r="C124" s="132">
        <f t="shared" si="12"/>
        <v>472249933.82999969</v>
      </c>
      <c r="D124" s="132">
        <f t="shared" si="12"/>
        <v>2914689240.5345936</v>
      </c>
      <c r="E124" s="132">
        <f t="shared" si="12"/>
        <v>7093654498.8813114</v>
      </c>
      <c r="F124" s="132">
        <f t="shared" si="12"/>
        <v>14504126510.326035</v>
      </c>
      <c r="G124" s="132">
        <f t="shared" si="12"/>
        <v>14963647361.083401</v>
      </c>
    </row>
    <row r="125" spans="1:8" outlineLevel="2" x14ac:dyDescent="0.2">
      <c r="A125" s="110" t="str">
        <f>A51</f>
        <v>G.ADMINISTRACIÓN</v>
      </c>
      <c r="C125" s="207">
        <f t="shared" si="12"/>
        <v>30000000.000000004</v>
      </c>
      <c r="D125" s="207">
        <f t="shared" si="12"/>
        <v>51238241.442640543</v>
      </c>
      <c r="E125" s="207">
        <f t="shared" si="12"/>
        <v>119469081.88816041</v>
      </c>
      <c r="F125" s="207">
        <f t="shared" si="12"/>
        <v>139889197.79945409</v>
      </c>
      <c r="G125" s="207">
        <f t="shared" si="12"/>
        <v>158494461.10678148</v>
      </c>
    </row>
    <row r="126" spans="1:8" outlineLevel="2" x14ac:dyDescent="0.2">
      <c r="A126" s="110" t="str">
        <f>A52</f>
        <v>G.VENTAS</v>
      </c>
      <c r="C126" s="207">
        <f t="shared" si="12"/>
        <v>449767723.00499994</v>
      </c>
      <c r="D126" s="207">
        <f t="shared" si="12"/>
        <v>885649441.35719454</v>
      </c>
      <c r="E126" s="207">
        <f t="shared" si="12"/>
        <v>1693559574.8961022</v>
      </c>
      <c r="F126" s="207">
        <f t="shared" si="12"/>
        <v>2433462035.374217</v>
      </c>
      <c r="G126" s="207">
        <f t="shared" si="12"/>
        <v>2757112486.0789881</v>
      </c>
    </row>
    <row r="127" spans="1:8" outlineLevel="2" x14ac:dyDescent="0.2">
      <c r="A127" s="110" t="e">
        <f>#REF!</f>
        <v>#REF!</v>
      </c>
      <c r="C127" s="207" t="e">
        <f>#REF!</f>
        <v>#REF!</v>
      </c>
      <c r="D127" s="207" t="e">
        <f>#REF!</f>
        <v>#REF!</v>
      </c>
      <c r="E127" s="207" t="e">
        <f>#REF!</f>
        <v>#REF!</v>
      </c>
      <c r="F127" s="207" t="e">
        <f>#REF!</f>
        <v>#REF!</v>
      </c>
      <c r="G127" s="207" t="e">
        <f>#REF!</f>
        <v>#REF!</v>
      </c>
    </row>
    <row r="128" spans="1:8" outlineLevel="2" x14ac:dyDescent="0.2">
      <c r="A128" s="116" t="str">
        <f t="shared" ref="A128" si="13">A53</f>
        <v>UTILIDAD OPERACIONAL</v>
      </c>
      <c r="C128" s="132">
        <f t="shared" ref="C128:G128" si="14">C53</f>
        <v>-7517789.1750002503</v>
      </c>
      <c r="D128" s="132">
        <f t="shared" si="14"/>
        <v>1977801557.7347589</v>
      </c>
      <c r="E128" s="132">
        <f t="shared" si="14"/>
        <v>5280625842.0970488</v>
      </c>
      <c r="F128" s="132">
        <f t="shared" si="14"/>
        <v>11930775277.152363</v>
      </c>
      <c r="G128" s="132">
        <f t="shared" si="14"/>
        <v>12048040413.897633</v>
      </c>
    </row>
    <row r="129" spans="1:8" outlineLevel="2" x14ac:dyDescent="0.2">
      <c r="A129" s="190" t="s">
        <v>372</v>
      </c>
      <c r="C129" s="197">
        <f>C128*C13</f>
        <v>-2931937.7782500978</v>
      </c>
      <c r="D129" s="208">
        <f>D128*D13</f>
        <v>771342607.51655602</v>
      </c>
      <c r="E129" s="208">
        <f>E128*E13</f>
        <v>2059444078.4178491</v>
      </c>
      <c r="F129" s="208">
        <f>F128*F13</f>
        <v>4653002358.0894213</v>
      </c>
      <c r="G129" s="208">
        <f>G128*G13</f>
        <v>4698735761.4200773</v>
      </c>
    </row>
    <row r="130" spans="1:8" outlineLevel="2" x14ac:dyDescent="0.2">
      <c r="A130" s="133" t="s">
        <v>373</v>
      </c>
      <c r="C130" s="134">
        <f>C128-C129</f>
        <v>-4585851.3967501521</v>
      </c>
      <c r="D130" s="135">
        <f t="shared" ref="D130:G130" si="15">D128-D129</f>
        <v>1206458950.2182028</v>
      </c>
      <c r="E130" s="135">
        <f t="shared" si="15"/>
        <v>3221181763.6791997</v>
      </c>
      <c r="F130" s="135">
        <f t="shared" si="15"/>
        <v>7277772919.0629416</v>
      </c>
      <c r="G130" s="135">
        <f t="shared" si="15"/>
        <v>7349304652.4775553</v>
      </c>
    </row>
    <row r="131" spans="1:8" outlineLevel="2" x14ac:dyDescent="0.2">
      <c r="A131" s="190" t="str">
        <f>A54</f>
        <v>OTROS INGRESOS</v>
      </c>
      <c r="C131" s="208">
        <f>C54*(1-C$13)</f>
        <v>648560903.97388482</v>
      </c>
      <c r="D131" s="208">
        <f>D54*(1-D13)</f>
        <v>0</v>
      </c>
      <c r="E131" s="208">
        <f>E54*(1-E13)</f>
        <v>0</v>
      </c>
      <c r="F131" s="208">
        <f>F54*(1-F13)</f>
        <v>0</v>
      </c>
      <c r="G131" s="208">
        <f>G54*(1-G13)</f>
        <v>0</v>
      </c>
    </row>
    <row r="132" spans="1:8" outlineLevel="2" x14ac:dyDescent="0.2">
      <c r="A132" s="190" t="str">
        <f>A55</f>
        <v>OTROS EGRESOS</v>
      </c>
      <c r="C132" s="208">
        <f>C55*(1-C$13)</f>
        <v>0</v>
      </c>
      <c r="D132" s="208">
        <f>D55*(1-D13)</f>
        <v>0</v>
      </c>
      <c r="E132" s="208">
        <f>E55*(1-E13)</f>
        <v>0</v>
      </c>
      <c r="F132" s="208">
        <f>F55*(1-F13)</f>
        <v>0</v>
      </c>
      <c r="G132" s="208">
        <f>G55*(1-G13)</f>
        <v>0</v>
      </c>
    </row>
    <row r="133" spans="1:8" outlineLevel="2" x14ac:dyDescent="0.2">
      <c r="A133" s="110" t="str">
        <f>A56&amp;"di"</f>
        <v>GASTO INTERES (INGR) S/PAS.FIN.INI.di</v>
      </c>
      <c r="C133" s="209">
        <f>C56*(1-C$13)</f>
        <v>0</v>
      </c>
      <c r="D133" s="209">
        <f>D56*(1-D13)</f>
        <v>0</v>
      </c>
      <c r="E133" s="209">
        <f>E56*(1-E13)</f>
        <v>0</v>
      </c>
      <c r="F133" s="209">
        <f>F56*(1-F13)</f>
        <v>0</v>
      </c>
      <c r="G133" s="209">
        <f>G56*(1-G13)</f>
        <v>0</v>
      </c>
    </row>
    <row r="134" spans="1:8" outlineLevel="2" x14ac:dyDescent="0.2">
      <c r="A134" s="110" t="str">
        <f>A57&amp;"di"</f>
        <v>GASTO INTERES (INGR) S/PAS.FIN.REQ.di</v>
      </c>
      <c r="C134" s="209">
        <f>C57*(1-C$13)</f>
        <v>0</v>
      </c>
      <c r="D134" s="209">
        <f ca="1">D57*(1-D13)</f>
        <v>-2517.4332286056447</v>
      </c>
      <c r="E134" s="209">
        <f ca="1">E57*(1-E13)</f>
        <v>-4405.1704466627034</v>
      </c>
      <c r="F134" s="209">
        <f ca="1">F57*(1-F13)</f>
        <v>-6305.4776850998742</v>
      </c>
      <c r="G134" s="209">
        <f ca="1">G57*(1-G13)</f>
        <v>-6992.241268709261</v>
      </c>
    </row>
    <row r="135" spans="1:8" ht="17" outlineLevel="2" thickBot="1" x14ac:dyDescent="0.25">
      <c r="A135" s="121" t="str">
        <f>A60</f>
        <v>UTILIDAD NETA</v>
      </c>
      <c r="C135" s="136">
        <f>C58*(1-C$13)</f>
        <v>643975052.57713473</v>
      </c>
      <c r="D135" s="136">
        <f t="shared" ref="D135:G135" ca="1" si="16">D130-D131-D132-D133-D134</f>
        <v>65006.892556605657</v>
      </c>
      <c r="E135" s="136">
        <f t="shared" ca="1" si="16"/>
        <v>107308.61189978267</v>
      </c>
      <c r="F135" s="136">
        <f t="shared" ca="1" si="16"/>
        <v>128632.93909879585</v>
      </c>
      <c r="G135" s="136">
        <f t="shared" ca="1" si="16"/>
        <v>140537.07420963791</v>
      </c>
    </row>
    <row r="136" spans="1:8" ht="17" outlineLevel="2" thickTop="1" x14ac:dyDescent="0.2">
      <c r="A136" s="210"/>
      <c r="C136" s="211"/>
      <c r="D136" s="211"/>
      <c r="E136" s="211"/>
      <c r="F136" s="211"/>
      <c r="G136" s="211"/>
    </row>
    <row r="137" spans="1:8" outlineLevel="2" x14ac:dyDescent="0.2">
      <c r="A137" s="137" t="s">
        <v>374</v>
      </c>
      <c r="C137" s="212">
        <f>C60-C135</f>
        <v>0</v>
      </c>
      <c r="D137" s="212">
        <f ca="1">D60-D135</f>
        <v>0</v>
      </c>
      <c r="E137" s="212">
        <f ca="1">E60-E135</f>
        <v>0</v>
      </c>
      <c r="F137" s="212">
        <f ca="1">F60-F135</f>
        <v>0</v>
      </c>
      <c r="G137" s="212">
        <f ca="1">G60-G135</f>
        <v>0</v>
      </c>
    </row>
    <row r="138" spans="1:8" outlineLevel="2" x14ac:dyDescent="0.2"/>
    <row r="139" spans="1:8" outlineLevel="1" x14ac:dyDescent="0.2"/>
    <row r="140" spans="1:8" outlineLevel="1" x14ac:dyDescent="0.2">
      <c r="A140" s="138" t="str">
        <f>A111</f>
        <v>2- VARIACIONES DE LOS BALANCES</v>
      </c>
      <c r="B140" s="129"/>
      <c r="C140" s="129"/>
      <c r="D140" s="129"/>
      <c r="E140" s="129"/>
      <c r="F140" s="129"/>
      <c r="G140" s="129"/>
      <c r="H140" s="129"/>
    </row>
    <row r="141" spans="1:8" outlineLevel="2" x14ac:dyDescent="0.2">
      <c r="C141" s="92">
        <f>$C$3</f>
        <v>1</v>
      </c>
      <c r="D141" s="92">
        <f>$D$3</f>
        <v>2</v>
      </c>
      <c r="E141" s="92">
        <f>$E$3</f>
        <v>3</v>
      </c>
      <c r="F141" s="92">
        <f>$F$3</f>
        <v>4</v>
      </c>
      <c r="G141" s="92">
        <f>$G$3</f>
        <v>5</v>
      </c>
    </row>
    <row r="142" spans="1:8" outlineLevel="2" x14ac:dyDescent="0.2"/>
    <row r="143" spans="1:8" outlineLevel="2" x14ac:dyDescent="0.2">
      <c r="A143" s="110" t="str">
        <f>A69</f>
        <v>EXCESO DE CAJA</v>
      </c>
      <c r="C143" s="207">
        <f>C69-B69</f>
        <v>769377713.69713449</v>
      </c>
      <c r="D143" s="207">
        <f t="shared" ref="D143:G154" ca="1" si="17">D69-C69</f>
        <v>58288.586310461687</v>
      </c>
      <c r="E143" s="207">
        <f t="shared" ca="1" si="17"/>
        <v>50178.92577456811</v>
      </c>
      <c r="F143" s="207">
        <f t="shared" ca="1" si="17"/>
        <v>51415.239135204814</v>
      </c>
      <c r="G143" s="207">
        <f t="shared" ca="1" si="17"/>
        <v>18581.265790297301</v>
      </c>
    </row>
    <row r="144" spans="1:8" outlineLevel="2" x14ac:dyDescent="0.2">
      <c r="A144" s="110" t="str">
        <f>A70</f>
        <v>CAJA</v>
      </c>
      <c r="C144" s="207">
        <f t="shared" ref="C144:G159" si="18">C70-B70</f>
        <v>15649952.639999999</v>
      </c>
      <c r="D144" s="207">
        <f t="shared" si="17"/>
        <v>54807634.175774187</v>
      </c>
      <c r="E144" s="207">
        <f t="shared" si="17"/>
        <v>145632438.93007147</v>
      </c>
      <c r="F144" s="207">
        <f t="shared" si="17"/>
        <v>229213081.86506197</v>
      </c>
      <c r="G144" s="207">
        <f t="shared" si="17"/>
        <v>44531150.761090755</v>
      </c>
    </row>
    <row r="145" spans="1:7" outlineLevel="2" x14ac:dyDescent="0.2">
      <c r="A145" s="110" t="str">
        <f>A71</f>
        <v>INVENTARIOS</v>
      </c>
      <c r="C145" s="207">
        <f t="shared" si="18"/>
        <v>-98400</v>
      </c>
      <c r="D145" s="207">
        <f t="shared" si="17"/>
        <v>0</v>
      </c>
      <c r="E145" s="207">
        <f t="shared" si="17"/>
        <v>0</v>
      </c>
      <c r="F145" s="207">
        <f t="shared" si="17"/>
        <v>0</v>
      </c>
      <c r="G145" s="207">
        <f t="shared" si="17"/>
        <v>0</v>
      </c>
    </row>
    <row r="146" spans="1:7" outlineLevel="2" x14ac:dyDescent="0.2">
      <c r="A146" s="110" t="str">
        <f>A72</f>
        <v>CUENTAS POR COBRAR</v>
      </c>
      <c r="C146" s="207">
        <f t="shared" si="18"/>
        <v>31215505.279999997</v>
      </c>
      <c r="D146" s="207">
        <f t="shared" si="17"/>
        <v>109615268.35154837</v>
      </c>
      <c r="E146" s="207">
        <f t="shared" si="17"/>
        <v>291264877.86014295</v>
      </c>
      <c r="F146" s="207">
        <f t="shared" si="17"/>
        <v>458426163.73012394</v>
      </c>
      <c r="G146" s="207">
        <f t="shared" si="17"/>
        <v>89062301.522181511</v>
      </c>
    </row>
    <row r="147" spans="1:7" outlineLevel="2" x14ac:dyDescent="0.2">
      <c r="A147" s="110" t="str">
        <f t="shared" ref="A147:A154" si="19">A73</f>
        <v>ACTIVO CORRIENTE OPERATIVO</v>
      </c>
      <c r="C147" s="207">
        <f t="shared" si="18"/>
        <v>0</v>
      </c>
      <c r="D147" s="207">
        <f t="shared" si="17"/>
        <v>0</v>
      </c>
      <c r="E147" s="207">
        <f t="shared" si="17"/>
        <v>0</v>
      </c>
      <c r="F147" s="207">
        <f t="shared" si="17"/>
        <v>0</v>
      </c>
      <c r="G147" s="207">
        <f t="shared" si="17"/>
        <v>0</v>
      </c>
    </row>
    <row r="148" spans="1:7" outlineLevel="2" x14ac:dyDescent="0.2">
      <c r="A148" s="110" t="str">
        <f t="shared" si="19"/>
        <v>OTROS ACTIVOS CORRIENTES</v>
      </c>
      <c r="C148" s="207">
        <f t="shared" si="18"/>
        <v>62594504.559999995</v>
      </c>
      <c r="D148" s="207">
        <f t="shared" si="17"/>
        <v>148764549.88732257</v>
      </c>
      <c r="E148" s="207">
        <f t="shared" si="17"/>
        <v>220798891.04436871</v>
      </c>
      <c r="F148" s="207">
        <f t="shared" si="17"/>
        <v>13114656.119216323</v>
      </c>
      <c r="G148" s="207">
        <f t="shared" si="17"/>
        <v>44531150.761090755</v>
      </c>
    </row>
    <row r="149" spans="1:7" outlineLevel="2" x14ac:dyDescent="0.2">
      <c r="A149" s="110" t="str">
        <f t="shared" si="19"/>
        <v xml:space="preserve">ACTIVO CORRIENTE NO OPERATIVO </v>
      </c>
      <c r="C149" s="207">
        <f t="shared" si="18"/>
        <v>0</v>
      </c>
      <c r="D149" s="207">
        <f t="shared" si="17"/>
        <v>0</v>
      </c>
      <c r="E149" s="207">
        <f t="shared" si="17"/>
        <v>0</v>
      </c>
      <c r="F149" s="207">
        <f t="shared" si="17"/>
        <v>0</v>
      </c>
      <c r="G149" s="207">
        <f t="shared" si="17"/>
        <v>0</v>
      </c>
    </row>
    <row r="150" spans="1:7" outlineLevel="2" x14ac:dyDescent="0.2">
      <c r="A150" s="110" t="str">
        <f t="shared" si="19"/>
        <v>ACTIVOS FIJOS NETO</v>
      </c>
      <c r="C150" s="207">
        <f t="shared" si="18"/>
        <v>11800</v>
      </c>
      <c r="D150" s="207">
        <f t="shared" si="17"/>
        <v>4533.1174461440241</v>
      </c>
      <c r="E150" s="207">
        <f t="shared" si="17"/>
        <v>20315.980570152955</v>
      </c>
      <c r="F150" s="207">
        <f t="shared" si="17"/>
        <v>22144.418821466737</v>
      </c>
      <c r="G150" s="207">
        <f t="shared" si="17"/>
        <v>24137.416515398771</v>
      </c>
    </row>
    <row r="151" spans="1:7" outlineLevel="2" x14ac:dyDescent="0.2">
      <c r="A151" s="110" t="str">
        <f t="shared" si="19"/>
        <v xml:space="preserve">ACTIVO DE LPL OPERATIVO </v>
      </c>
      <c r="C151" s="207">
        <f t="shared" si="18"/>
        <v>0</v>
      </c>
      <c r="D151" s="207">
        <f t="shared" si="17"/>
        <v>0</v>
      </c>
      <c r="E151" s="207">
        <f t="shared" si="17"/>
        <v>0</v>
      </c>
      <c r="F151" s="207">
        <f t="shared" si="17"/>
        <v>0</v>
      </c>
      <c r="G151" s="207">
        <f t="shared" si="17"/>
        <v>0</v>
      </c>
    </row>
    <row r="152" spans="1:7" outlineLevel="2" x14ac:dyDescent="0.2">
      <c r="A152" s="110" t="str">
        <f t="shared" si="19"/>
        <v>OTROS ACTIVOS LPL</v>
      </c>
      <c r="C152" s="207">
        <f t="shared" si="18"/>
        <v>5000</v>
      </c>
      <c r="D152" s="207">
        <f t="shared" si="17"/>
        <v>0</v>
      </c>
      <c r="E152" s="207">
        <f t="shared" si="17"/>
        <v>0</v>
      </c>
      <c r="F152" s="207">
        <f t="shared" si="17"/>
        <v>0</v>
      </c>
      <c r="G152" s="207">
        <f t="shared" si="17"/>
        <v>0</v>
      </c>
    </row>
    <row r="153" spans="1:7" outlineLevel="2" x14ac:dyDescent="0.2">
      <c r="A153" s="110" t="str">
        <f t="shared" si="19"/>
        <v>ACTIVO DE LPL NO OPERATIVO</v>
      </c>
      <c r="C153" s="207">
        <f t="shared" si="18"/>
        <v>0</v>
      </c>
      <c r="D153" s="207">
        <f t="shared" si="17"/>
        <v>0</v>
      </c>
      <c r="E153" s="207">
        <f t="shared" si="17"/>
        <v>0</v>
      </c>
      <c r="F153" s="207">
        <f t="shared" si="17"/>
        <v>0</v>
      </c>
      <c r="G153" s="207">
        <f t="shared" si="17"/>
        <v>0</v>
      </c>
    </row>
    <row r="154" spans="1:7" ht="17" outlineLevel="2" thickBot="1" x14ac:dyDescent="0.25">
      <c r="A154" s="121" t="str">
        <f t="shared" si="19"/>
        <v>ACTIVOS TOTALES</v>
      </c>
      <c r="C154" s="139">
        <f t="shared" si="18"/>
        <v>878756076.17713439</v>
      </c>
      <c r="D154" s="139">
        <f t="shared" ca="1" si="17"/>
        <v>58425.280556605663</v>
      </c>
      <c r="E154" s="139">
        <f t="shared" ca="1" si="17"/>
        <v>79680.048968721181</v>
      </c>
      <c r="F154" s="139">
        <f t="shared" ca="1" si="17"/>
        <v>78815.074612671509</v>
      </c>
      <c r="G154" s="139">
        <f t="shared" ca="1" si="17"/>
        <v>68732.994752896018</v>
      </c>
    </row>
    <row r="155" spans="1:7" ht="17" outlineLevel="2" thickTop="1" x14ac:dyDescent="0.2">
      <c r="C155" s="200"/>
      <c r="D155" s="200"/>
      <c r="E155" s="200"/>
      <c r="F155" s="200"/>
      <c r="G155" s="200"/>
    </row>
    <row r="156" spans="1:7" outlineLevel="2" x14ac:dyDescent="0.2">
      <c r="A156" s="110" t="str">
        <f>A82</f>
        <v>PASIVOS FINANCIEROS REQUERIDOS</v>
      </c>
      <c r="C156" s="207">
        <f t="shared" si="18"/>
        <v>0</v>
      </c>
      <c r="D156" s="207">
        <f t="shared" ca="1" si="18"/>
        <v>0</v>
      </c>
      <c r="E156" s="207">
        <f t="shared" ca="1" si="18"/>
        <v>0</v>
      </c>
      <c r="F156" s="207">
        <f t="shared" ca="1" si="18"/>
        <v>0</v>
      </c>
      <c r="G156" s="207">
        <f t="shared" ca="1" si="18"/>
        <v>0</v>
      </c>
    </row>
    <row r="157" spans="1:7" outlineLevel="2" x14ac:dyDescent="0.2">
      <c r="A157" s="110" t="str">
        <f>A83</f>
        <v>PROVEEDORES</v>
      </c>
      <c r="C157" s="207">
        <f t="shared" si="18"/>
        <v>125226071.11999999</v>
      </c>
      <c r="D157" s="207">
        <f t="shared" si="18"/>
        <v>438461073.40619349</v>
      </c>
      <c r="E157" s="207">
        <f t="shared" si="18"/>
        <v>1165059511.4405718</v>
      </c>
      <c r="F157" s="207">
        <f t="shared" si="18"/>
        <v>1833704654.9204957</v>
      </c>
      <c r="G157" s="207">
        <f t="shared" si="18"/>
        <v>356249206.08872604</v>
      </c>
    </row>
    <row r="158" spans="1:7" outlineLevel="2" x14ac:dyDescent="0.2">
      <c r="A158" s="110" t="str">
        <f t="shared" ref="A158:A168" si="20">A84</f>
        <v>CUENTAS POR PAGAR</v>
      </c>
      <c r="C158" s="207">
        <f t="shared" si="18"/>
        <v>46951501.919999994</v>
      </c>
      <c r="D158" s="207">
        <f t="shared" si="18"/>
        <v>164422902.52732259</v>
      </c>
      <c r="E158" s="207">
        <f t="shared" si="18"/>
        <v>436897316.7902143</v>
      </c>
      <c r="F158" s="207">
        <f t="shared" si="18"/>
        <v>687639245.59518576</v>
      </c>
      <c r="G158" s="207">
        <f t="shared" si="18"/>
        <v>133593452.28327227</v>
      </c>
    </row>
    <row r="159" spans="1:7" outlineLevel="2" x14ac:dyDescent="0.2">
      <c r="A159" s="110" t="str">
        <f t="shared" si="20"/>
        <v>IMPUESTOS POR PAGAR</v>
      </c>
      <c r="C159" s="207">
        <f t="shared" si="18"/>
        <v>15650452.639999999</v>
      </c>
      <c r="D159" s="207">
        <f t="shared" si="18"/>
        <v>54807634.175774187</v>
      </c>
      <c r="E159" s="207">
        <f t="shared" si="18"/>
        <v>145632438.93007147</v>
      </c>
      <c r="F159" s="207">
        <f t="shared" si="18"/>
        <v>229213081.86506197</v>
      </c>
      <c r="G159" s="207">
        <f t="shared" si="18"/>
        <v>44531150.761090755</v>
      </c>
    </row>
    <row r="160" spans="1:7" outlineLevel="2" x14ac:dyDescent="0.2">
      <c r="A160" s="110" t="str">
        <f t="shared" si="20"/>
        <v>DEUDAS LABORALES</v>
      </c>
      <c r="C160" s="207">
        <f t="shared" ref="C160:G173" si="21">C86-B86</f>
        <v>31299905.279999997</v>
      </c>
      <c r="D160" s="207">
        <f t="shared" si="21"/>
        <v>109615268.35154837</v>
      </c>
      <c r="E160" s="207">
        <f t="shared" si="21"/>
        <v>291264877.86014295</v>
      </c>
      <c r="F160" s="207">
        <f t="shared" si="21"/>
        <v>458426163.73012394</v>
      </c>
      <c r="G160" s="207">
        <f t="shared" si="21"/>
        <v>89062301.522181511</v>
      </c>
    </row>
    <row r="161" spans="1:8" outlineLevel="2" x14ac:dyDescent="0.2">
      <c r="A161" s="110" t="str">
        <f t="shared" si="20"/>
        <v xml:space="preserve">PASIVO CORRIENTE OPERATIVO </v>
      </c>
      <c r="C161" s="207">
        <f t="shared" si="21"/>
        <v>0</v>
      </c>
      <c r="D161" s="207">
        <f t="shared" si="21"/>
        <v>0</v>
      </c>
      <c r="E161" s="207">
        <f t="shared" si="21"/>
        <v>0</v>
      </c>
      <c r="F161" s="207">
        <f t="shared" si="21"/>
        <v>0</v>
      </c>
      <c r="G161" s="207">
        <f t="shared" si="21"/>
        <v>0</v>
      </c>
    </row>
    <row r="162" spans="1:8" outlineLevel="2" x14ac:dyDescent="0.2">
      <c r="A162" s="110" t="str">
        <f t="shared" si="20"/>
        <v>ACREEDORES VARIOS</v>
      </c>
      <c r="C162" s="207">
        <f t="shared" si="21"/>
        <v>15650092.639999999</v>
      </c>
      <c r="D162" s="207">
        <f t="shared" si="21"/>
        <v>54807634.175774187</v>
      </c>
      <c r="E162" s="207">
        <f t="shared" si="21"/>
        <v>145632438.93007147</v>
      </c>
      <c r="F162" s="207">
        <f t="shared" si="21"/>
        <v>229213081.86506197</v>
      </c>
      <c r="G162" s="207">
        <f t="shared" si="21"/>
        <v>44531150.761090755</v>
      </c>
    </row>
    <row r="163" spans="1:8" outlineLevel="2" x14ac:dyDescent="0.2">
      <c r="A163" s="110" t="str">
        <f t="shared" si="20"/>
        <v>PASIVO CORRIENTE NO OPERATIVO</v>
      </c>
      <c r="C163" s="207">
        <f t="shared" si="21"/>
        <v>0</v>
      </c>
      <c r="D163" s="207">
        <f t="shared" si="21"/>
        <v>0</v>
      </c>
      <c r="E163" s="207">
        <f t="shared" si="21"/>
        <v>0</v>
      </c>
      <c r="F163" s="207">
        <f t="shared" si="21"/>
        <v>0</v>
      </c>
      <c r="G163" s="207">
        <f t="shared" si="21"/>
        <v>0</v>
      </c>
    </row>
    <row r="164" spans="1:8" outlineLevel="2" x14ac:dyDescent="0.2">
      <c r="A164" s="110" t="str">
        <f t="shared" si="20"/>
        <v>PASIVOS FINANCIEROS LPL INICIALES</v>
      </c>
      <c r="C164" s="207">
        <f t="shared" si="21"/>
        <v>0</v>
      </c>
      <c r="D164" s="207">
        <f t="shared" si="21"/>
        <v>0</v>
      </c>
      <c r="E164" s="207">
        <f t="shared" si="21"/>
        <v>0</v>
      </c>
      <c r="F164" s="207">
        <f t="shared" si="21"/>
        <v>0</v>
      </c>
      <c r="G164" s="207">
        <f t="shared" si="21"/>
        <v>0</v>
      </c>
    </row>
    <row r="165" spans="1:8" outlineLevel="2" x14ac:dyDescent="0.2">
      <c r="A165" s="110" t="str">
        <f t="shared" si="20"/>
        <v xml:space="preserve">PASIVO DE LPL OPERATIVO </v>
      </c>
      <c r="C165" s="207">
        <f t="shared" si="21"/>
        <v>0</v>
      </c>
      <c r="D165" s="207">
        <f t="shared" si="21"/>
        <v>0</v>
      </c>
      <c r="E165" s="207">
        <f t="shared" si="21"/>
        <v>0</v>
      </c>
      <c r="F165" s="207">
        <f t="shared" si="21"/>
        <v>0</v>
      </c>
      <c r="G165" s="207">
        <f t="shared" si="21"/>
        <v>0</v>
      </c>
    </row>
    <row r="166" spans="1:8" outlineLevel="2" x14ac:dyDescent="0.2">
      <c r="A166" s="110" t="str">
        <f t="shared" si="20"/>
        <v>OTROS PASIVOS LPL</v>
      </c>
      <c r="C166" s="207">
        <f t="shared" si="21"/>
        <v>3000</v>
      </c>
      <c r="D166" s="207">
        <f t="shared" si="21"/>
        <v>0</v>
      </c>
      <c r="E166" s="207">
        <f t="shared" si="21"/>
        <v>0</v>
      </c>
      <c r="F166" s="207">
        <f t="shared" si="21"/>
        <v>0</v>
      </c>
      <c r="G166" s="207">
        <f t="shared" si="21"/>
        <v>0</v>
      </c>
    </row>
    <row r="167" spans="1:8" outlineLevel="2" x14ac:dyDescent="0.2">
      <c r="A167" s="110" t="str">
        <f t="shared" si="20"/>
        <v xml:space="preserve">PASIVO DE LPL NO OPERATIVO </v>
      </c>
      <c r="C167" s="207">
        <f t="shared" si="21"/>
        <v>0</v>
      </c>
      <c r="D167" s="207">
        <f t="shared" si="21"/>
        <v>0</v>
      </c>
      <c r="E167" s="207">
        <f t="shared" si="21"/>
        <v>0</v>
      </c>
      <c r="F167" s="207">
        <f t="shared" si="21"/>
        <v>0</v>
      </c>
      <c r="G167" s="207">
        <f t="shared" si="21"/>
        <v>0</v>
      </c>
    </row>
    <row r="168" spans="1:8" outlineLevel="2" x14ac:dyDescent="0.2">
      <c r="A168" s="110" t="str">
        <f t="shared" si="20"/>
        <v>PATRIMONIO</v>
      </c>
      <c r="C168" s="207">
        <f t="shared" si="21"/>
        <v>643975052.57713461</v>
      </c>
      <c r="D168" s="207">
        <f t="shared" ca="1" si="21"/>
        <v>43206.892556605628</v>
      </c>
      <c r="E168" s="207">
        <f t="shared" ca="1" si="21"/>
        <v>64055.837288721232</v>
      </c>
      <c r="F168" s="207">
        <f t="shared" ca="1" si="21"/>
        <v>63048.82464467152</v>
      </c>
      <c r="G168" s="207">
        <f t="shared" ca="1" si="21"/>
        <v>53124.40728457598</v>
      </c>
    </row>
    <row r="169" spans="1:8" ht="17" outlineLevel="2" thickBot="1" x14ac:dyDescent="0.25">
      <c r="A169" s="121" t="str">
        <f>A95</f>
        <v>PASIVOS Y PATRIMONIO</v>
      </c>
      <c r="C169" s="139">
        <f t="shared" si="21"/>
        <v>878756076.17713439</v>
      </c>
      <c r="D169" s="139">
        <f t="shared" ca="1" si="21"/>
        <v>58425.280556605663</v>
      </c>
      <c r="E169" s="139">
        <f t="shared" ca="1" si="21"/>
        <v>79680.048968721181</v>
      </c>
      <c r="F169" s="139">
        <f t="shared" ca="1" si="21"/>
        <v>78815.074612671509</v>
      </c>
      <c r="G169" s="139">
        <f t="shared" ca="1" si="21"/>
        <v>68732.994752896018</v>
      </c>
    </row>
    <row r="170" spans="1:8" ht="17" outlineLevel="2" thickTop="1" x14ac:dyDescent="0.2"/>
    <row r="171" spans="1:8" outlineLevel="2" x14ac:dyDescent="0.2">
      <c r="A171" s="190" t="str">
        <f>A97</f>
        <v>ACTIVOS FIJOS BRUTO</v>
      </c>
      <c r="C171" s="207">
        <f t="shared" si="21"/>
        <v>13110.777777777781</v>
      </c>
      <c r="D171" s="207">
        <f t="shared" si="21"/>
        <v>5036.7971623822523</v>
      </c>
      <c r="E171" s="207">
        <f t="shared" si="21"/>
        <v>22573.311744614388</v>
      </c>
      <c r="F171" s="207">
        <f t="shared" si="21"/>
        <v>24604.909801629721</v>
      </c>
      <c r="G171" s="207">
        <f t="shared" si="21"/>
        <v>26819.351683776418</v>
      </c>
    </row>
    <row r="172" spans="1:8" outlineLevel="2" x14ac:dyDescent="0.2">
      <c r="A172" s="190" t="str">
        <f>A98</f>
        <v>ACTIVOS FIJOS NETO</v>
      </c>
      <c r="C172" s="208">
        <f t="shared" si="21"/>
        <v>11800</v>
      </c>
      <c r="D172" s="208">
        <f t="shared" si="21"/>
        <v>4533.1174461440241</v>
      </c>
      <c r="E172" s="208">
        <f t="shared" si="21"/>
        <v>20315.980570152955</v>
      </c>
      <c r="F172" s="208">
        <f t="shared" si="21"/>
        <v>22144.418821466737</v>
      </c>
      <c r="G172" s="208">
        <f t="shared" si="21"/>
        <v>24137.416515398771</v>
      </c>
    </row>
    <row r="173" spans="1:8" outlineLevel="2" x14ac:dyDescent="0.2">
      <c r="A173" s="203" t="str">
        <f>A99</f>
        <v>DEPRECIACIÓN ACUMULADA</v>
      </c>
      <c r="C173" s="213">
        <f t="shared" si="21"/>
        <v>1310.777777777781</v>
      </c>
      <c r="D173" s="213">
        <f t="shared" si="21"/>
        <v>503.67971623822814</v>
      </c>
      <c r="E173" s="213">
        <f t="shared" si="21"/>
        <v>2257.331174461433</v>
      </c>
      <c r="F173" s="213">
        <f t="shared" si="21"/>
        <v>2460.4909801629838</v>
      </c>
      <c r="G173" s="213">
        <f t="shared" si="21"/>
        <v>2681.9351683776476</v>
      </c>
    </row>
    <row r="174" spans="1:8" outlineLevel="2" x14ac:dyDescent="0.2"/>
    <row r="175" spans="1:8" outlineLevel="1" x14ac:dyDescent="0.2"/>
    <row r="176" spans="1:8" ht="15" customHeight="1" outlineLevel="1" x14ac:dyDescent="0.2">
      <c r="A176" s="413" t="str">
        <f>A112</f>
        <v>3- ABRIR VARIACIÓN DE ACTIVOS FIJOS NETOS Y VARIACIÓN DE PATRIMONIO EN UTILIDADES Y DIVIDENDOS</v>
      </c>
      <c r="B176" s="413"/>
      <c r="C176" s="413"/>
      <c r="D176" s="413"/>
      <c r="E176" s="413"/>
      <c r="F176" s="413"/>
      <c r="G176" s="413"/>
      <c r="H176" s="413"/>
    </row>
    <row r="177" spans="1:7" outlineLevel="2" x14ac:dyDescent="0.2">
      <c r="A177" s="140"/>
      <c r="B177" s="140"/>
      <c r="C177" s="92">
        <f>$C$3</f>
        <v>1</v>
      </c>
      <c r="D177" s="92">
        <f>$D$3</f>
        <v>2</v>
      </c>
      <c r="E177" s="92">
        <f>$E$3</f>
        <v>3</v>
      </c>
      <c r="F177" s="92">
        <f>$F$3</f>
        <v>4</v>
      </c>
      <c r="G177" s="92">
        <f>$G$3</f>
        <v>5</v>
      </c>
    </row>
    <row r="178" spans="1:7" outlineLevel="2" x14ac:dyDescent="0.2"/>
    <row r="179" spans="1:7" outlineLevel="2" x14ac:dyDescent="0.2">
      <c r="A179" s="200" t="str">
        <f t="shared" ref="A179:A185" si="22">A143</f>
        <v>EXCESO DE CAJA</v>
      </c>
      <c r="C179" s="208">
        <f>C143</f>
        <v>769377713.69713449</v>
      </c>
      <c r="D179" s="208">
        <f t="shared" ref="D179:G185" ca="1" si="23">D143</f>
        <v>58288.586310461687</v>
      </c>
      <c r="E179" s="208">
        <f t="shared" ca="1" si="23"/>
        <v>50178.92577456811</v>
      </c>
      <c r="F179" s="208">
        <f t="shared" ca="1" si="23"/>
        <v>51415.239135204814</v>
      </c>
      <c r="G179" s="208">
        <f t="shared" ca="1" si="23"/>
        <v>18581.265790297301</v>
      </c>
    </row>
    <row r="180" spans="1:7" outlineLevel="2" x14ac:dyDescent="0.2">
      <c r="A180" s="200" t="str">
        <f t="shared" si="22"/>
        <v>CAJA</v>
      </c>
      <c r="C180" s="208">
        <f>C144</f>
        <v>15649952.639999999</v>
      </c>
      <c r="D180" s="208">
        <f t="shared" si="23"/>
        <v>54807634.175774187</v>
      </c>
      <c r="E180" s="208">
        <f t="shared" si="23"/>
        <v>145632438.93007147</v>
      </c>
      <c r="F180" s="208">
        <f t="shared" si="23"/>
        <v>229213081.86506197</v>
      </c>
      <c r="G180" s="208">
        <f t="shared" si="23"/>
        <v>44531150.761090755</v>
      </c>
    </row>
    <row r="181" spans="1:7" outlineLevel="2" x14ac:dyDescent="0.2">
      <c r="A181" s="200" t="str">
        <f t="shared" si="22"/>
        <v>INVENTARIOS</v>
      </c>
      <c r="C181" s="208">
        <f>C145</f>
        <v>-98400</v>
      </c>
      <c r="D181" s="208">
        <f t="shared" si="23"/>
        <v>0</v>
      </c>
      <c r="E181" s="208">
        <f t="shared" si="23"/>
        <v>0</v>
      </c>
      <c r="F181" s="208">
        <f t="shared" si="23"/>
        <v>0</v>
      </c>
      <c r="G181" s="208">
        <f t="shared" si="23"/>
        <v>0</v>
      </c>
    </row>
    <row r="182" spans="1:7" outlineLevel="2" x14ac:dyDescent="0.2">
      <c r="A182" s="200" t="str">
        <f t="shared" si="22"/>
        <v>CUENTAS POR COBRAR</v>
      </c>
      <c r="C182" s="208">
        <f>C146</f>
        <v>31215505.279999997</v>
      </c>
      <c r="D182" s="208">
        <f t="shared" si="23"/>
        <v>109615268.35154837</v>
      </c>
      <c r="E182" s="208">
        <f t="shared" si="23"/>
        <v>291264877.86014295</v>
      </c>
      <c r="F182" s="208">
        <f t="shared" si="23"/>
        <v>458426163.73012394</v>
      </c>
      <c r="G182" s="208">
        <f t="shared" si="23"/>
        <v>89062301.522181511</v>
      </c>
    </row>
    <row r="183" spans="1:7" outlineLevel="2" x14ac:dyDescent="0.2">
      <c r="A183" s="200" t="str">
        <f t="shared" si="22"/>
        <v>ACTIVO CORRIENTE OPERATIVO</v>
      </c>
      <c r="C183" s="208">
        <f>C147</f>
        <v>0</v>
      </c>
      <c r="D183" s="208">
        <f t="shared" si="23"/>
        <v>0</v>
      </c>
      <c r="E183" s="208">
        <f t="shared" si="23"/>
        <v>0</v>
      </c>
      <c r="F183" s="208">
        <f t="shared" si="23"/>
        <v>0</v>
      </c>
      <c r="G183" s="208">
        <f t="shared" si="23"/>
        <v>0</v>
      </c>
    </row>
    <row r="184" spans="1:7" outlineLevel="2" x14ac:dyDescent="0.2">
      <c r="A184" s="200" t="str">
        <f t="shared" si="22"/>
        <v>OTROS ACTIVOS CORRIENTES</v>
      </c>
      <c r="C184" s="208">
        <f t="shared" ref="C184:C185" si="24">C148</f>
        <v>62594504.559999995</v>
      </c>
      <c r="D184" s="208">
        <f t="shared" si="23"/>
        <v>148764549.88732257</v>
      </c>
      <c r="E184" s="208">
        <f t="shared" si="23"/>
        <v>220798891.04436871</v>
      </c>
      <c r="F184" s="208">
        <f t="shared" si="23"/>
        <v>13114656.119216323</v>
      </c>
      <c r="G184" s="208">
        <f t="shared" si="23"/>
        <v>44531150.761090755</v>
      </c>
    </row>
    <row r="185" spans="1:7" outlineLevel="2" x14ac:dyDescent="0.2">
      <c r="A185" s="200" t="str">
        <f t="shared" si="22"/>
        <v xml:space="preserve">ACTIVO CORRIENTE NO OPERATIVO </v>
      </c>
      <c r="C185" s="208">
        <f t="shared" si="24"/>
        <v>0</v>
      </c>
      <c r="D185" s="208">
        <f t="shared" si="23"/>
        <v>0</v>
      </c>
      <c r="E185" s="208">
        <f t="shared" si="23"/>
        <v>0</v>
      </c>
      <c r="F185" s="208">
        <f t="shared" si="23"/>
        <v>0</v>
      </c>
      <c r="G185" s="208">
        <f t="shared" si="23"/>
        <v>0</v>
      </c>
    </row>
    <row r="186" spans="1:7" outlineLevel="2" x14ac:dyDescent="0.2">
      <c r="A186" s="214" t="str">
        <f>A171</f>
        <v>ACTIVOS FIJOS BRUTO</v>
      </c>
      <c r="C186" s="197">
        <f>C171</f>
        <v>13110.777777777781</v>
      </c>
      <c r="D186" s="208">
        <f t="shared" ref="D186:G186" si="25">D171</f>
        <v>5036.7971623822523</v>
      </c>
      <c r="E186" s="208">
        <f t="shared" si="25"/>
        <v>22573.311744614388</v>
      </c>
      <c r="F186" s="208">
        <f t="shared" si="25"/>
        <v>24604.909801629721</v>
      </c>
      <c r="G186" s="208">
        <f t="shared" si="25"/>
        <v>26819.351683776418</v>
      </c>
    </row>
    <row r="187" spans="1:7" outlineLevel="2" x14ac:dyDescent="0.2">
      <c r="A187" s="215" t="str">
        <f>A173</f>
        <v>DEPRECIACIÓN ACUMULADA</v>
      </c>
      <c r="C187" s="197">
        <f>-C173</f>
        <v>-1310.777777777781</v>
      </c>
      <c r="D187" s="208">
        <f t="shared" ref="D187:G187" si="26">-D173</f>
        <v>-503.67971623822814</v>
      </c>
      <c r="E187" s="208">
        <f t="shared" si="26"/>
        <v>-2257.331174461433</v>
      </c>
      <c r="F187" s="208">
        <f t="shared" si="26"/>
        <v>-2460.4909801629838</v>
      </c>
      <c r="G187" s="208">
        <f t="shared" si="26"/>
        <v>-2681.9351683776476</v>
      </c>
    </row>
    <row r="188" spans="1:7" outlineLevel="2" x14ac:dyDescent="0.2">
      <c r="A188" s="197" t="str">
        <f>A151</f>
        <v xml:space="preserve">ACTIVO DE LPL OPERATIVO </v>
      </c>
      <c r="C188" s="197">
        <f>C151</f>
        <v>0</v>
      </c>
      <c r="D188" s="208">
        <f t="shared" ref="D188:G190" si="27">D151</f>
        <v>0</v>
      </c>
      <c r="E188" s="208">
        <f t="shared" si="27"/>
        <v>0</v>
      </c>
      <c r="F188" s="208">
        <f t="shared" si="27"/>
        <v>0</v>
      </c>
      <c r="G188" s="208">
        <f t="shared" si="27"/>
        <v>0</v>
      </c>
    </row>
    <row r="189" spans="1:7" outlineLevel="2" x14ac:dyDescent="0.2">
      <c r="A189" s="199" t="str">
        <f>A152</f>
        <v>OTROS ACTIVOS LPL</v>
      </c>
      <c r="C189" s="208">
        <f>C152</f>
        <v>5000</v>
      </c>
      <c r="D189" s="208">
        <f t="shared" si="27"/>
        <v>0</v>
      </c>
      <c r="E189" s="208">
        <f t="shared" si="27"/>
        <v>0</v>
      </c>
      <c r="F189" s="208">
        <f t="shared" si="27"/>
        <v>0</v>
      </c>
      <c r="G189" s="208">
        <f t="shared" si="27"/>
        <v>0</v>
      </c>
    </row>
    <row r="190" spans="1:7" outlineLevel="2" x14ac:dyDescent="0.2">
      <c r="A190" s="199" t="str">
        <f>A153</f>
        <v>ACTIVO DE LPL NO OPERATIVO</v>
      </c>
      <c r="C190" s="208">
        <f>C153</f>
        <v>0</v>
      </c>
      <c r="D190" s="208">
        <f t="shared" si="27"/>
        <v>0</v>
      </c>
      <c r="E190" s="208">
        <f t="shared" si="27"/>
        <v>0</v>
      </c>
      <c r="F190" s="208">
        <f t="shared" si="27"/>
        <v>0</v>
      </c>
      <c r="G190" s="208">
        <f t="shared" si="27"/>
        <v>0</v>
      </c>
    </row>
    <row r="191" spans="1:7" ht="17" outlineLevel="2" thickBot="1" x14ac:dyDescent="0.25">
      <c r="A191" s="121" t="str">
        <f>A154</f>
        <v>ACTIVOS TOTALES</v>
      </c>
      <c r="C191" s="122">
        <f>SUM(C179:C190)</f>
        <v>878756076.17713439</v>
      </c>
      <c r="D191" s="139">
        <f t="shared" ref="D191:G191" ca="1" si="28">SUM(D179:D190)</f>
        <v>58425.280556605736</v>
      </c>
      <c r="E191" s="139">
        <f t="shared" ca="1" si="28"/>
        <v>79680.04896872105</v>
      </c>
      <c r="F191" s="139">
        <f t="shared" ca="1" si="28"/>
        <v>78815.074612671553</v>
      </c>
      <c r="G191" s="139">
        <f t="shared" ca="1" si="28"/>
        <v>68732.994752896077</v>
      </c>
    </row>
    <row r="192" spans="1:7" ht="17" outlineLevel="2" thickTop="1" x14ac:dyDescent="0.2"/>
    <row r="193" spans="1:7" outlineLevel="2" x14ac:dyDescent="0.2">
      <c r="A193" s="200" t="str">
        <f>A156</f>
        <v>PASIVOS FINANCIEROS REQUERIDOS</v>
      </c>
      <c r="C193" s="207">
        <f>C156</f>
        <v>0</v>
      </c>
      <c r="D193" s="207">
        <f t="shared" ref="D193:G204" ca="1" si="29">D156</f>
        <v>0</v>
      </c>
      <c r="E193" s="207">
        <f t="shared" ca="1" si="29"/>
        <v>0</v>
      </c>
      <c r="F193" s="207">
        <f t="shared" ca="1" si="29"/>
        <v>0</v>
      </c>
      <c r="G193" s="207">
        <f t="shared" ca="1" si="29"/>
        <v>0</v>
      </c>
    </row>
    <row r="194" spans="1:7" outlineLevel="2" x14ac:dyDescent="0.2">
      <c r="A194" s="200" t="str">
        <f>A157</f>
        <v>PROVEEDORES</v>
      </c>
      <c r="C194" s="207">
        <f t="shared" ref="C194:C204" si="30">C157</f>
        <v>125226071.11999999</v>
      </c>
      <c r="D194" s="207">
        <f t="shared" si="29"/>
        <v>438461073.40619349</v>
      </c>
      <c r="E194" s="207">
        <f t="shared" si="29"/>
        <v>1165059511.4405718</v>
      </c>
      <c r="F194" s="207">
        <f t="shared" si="29"/>
        <v>1833704654.9204957</v>
      </c>
      <c r="G194" s="207">
        <f t="shared" si="29"/>
        <v>356249206.08872604</v>
      </c>
    </row>
    <row r="195" spans="1:7" outlineLevel="2" x14ac:dyDescent="0.2">
      <c r="A195" s="200" t="str">
        <f>A158</f>
        <v>CUENTAS POR PAGAR</v>
      </c>
      <c r="C195" s="207">
        <f t="shared" si="30"/>
        <v>46951501.919999994</v>
      </c>
      <c r="D195" s="207">
        <f t="shared" si="29"/>
        <v>164422902.52732259</v>
      </c>
      <c r="E195" s="207">
        <f t="shared" si="29"/>
        <v>436897316.7902143</v>
      </c>
      <c r="F195" s="207">
        <f t="shared" si="29"/>
        <v>687639245.59518576</v>
      </c>
      <c r="G195" s="207">
        <f t="shared" si="29"/>
        <v>133593452.28327227</v>
      </c>
    </row>
    <row r="196" spans="1:7" outlineLevel="2" x14ac:dyDescent="0.2">
      <c r="A196" s="200" t="str">
        <f>A159</f>
        <v>IMPUESTOS POR PAGAR</v>
      </c>
      <c r="C196" s="207">
        <f t="shared" si="30"/>
        <v>15650452.639999999</v>
      </c>
      <c r="D196" s="207">
        <f t="shared" si="29"/>
        <v>54807634.175774187</v>
      </c>
      <c r="E196" s="207">
        <f t="shared" si="29"/>
        <v>145632438.93007147</v>
      </c>
      <c r="F196" s="207">
        <f t="shared" si="29"/>
        <v>229213081.86506197</v>
      </c>
      <c r="G196" s="207">
        <f t="shared" si="29"/>
        <v>44531150.761090755</v>
      </c>
    </row>
    <row r="197" spans="1:7" outlineLevel="2" x14ac:dyDescent="0.2">
      <c r="A197" s="200" t="str">
        <f>A160</f>
        <v>DEUDAS LABORALES</v>
      </c>
      <c r="C197" s="207">
        <f t="shared" si="30"/>
        <v>31299905.279999997</v>
      </c>
      <c r="D197" s="207">
        <f t="shared" si="29"/>
        <v>109615268.35154837</v>
      </c>
      <c r="E197" s="207">
        <f t="shared" si="29"/>
        <v>291264877.86014295</v>
      </c>
      <c r="F197" s="207">
        <f t="shared" si="29"/>
        <v>458426163.73012394</v>
      </c>
      <c r="G197" s="207">
        <f t="shared" si="29"/>
        <v>89062301.522181511</v>
      </c>
    </row>
    <row r="198" spans="1:7" outlineLevel="2" x14ac:dyDescent="0.2">
      <c r="A198" s="200" t="str">
        <f t="shared" ref="A198:A204" si="31">A161</f>
        <v xml:space="preserve">PASIVO CORRIENTE OPERATIVO </v>
      </c>
      <c r="C198" s="207">
        <f t="shared" si="30"/>
        <v>0</v>
      </c>
      <c r="D198" s="207">
        <f t="shared" si="29"/>
        <v>0</v>
      </c>
      <c r="E198" s="207">
        <f t="shared" si="29"/>
        <v>0</v>
      </c>
      <c r="F198" s="207">
        <f t="shared" si="29"/>
        <v>0</v>
      </c>
      <c r="G198" s="207">
        <f t="shared" si="29"/>
        <v>0</v>
      </c>
    </row>
    <row r="199" spans="1:7" outlineLevel="2" x14ac:dyDescent="0.2">
      <c r="A199" s="200" t="str">
        <f t="shared" si="31"/>
        <v>ACREEDORES VARIOS</v>
      </c>
      <c r="C199" s="207">
        <f t="shared" si="30"/>
        <v>15650092.639999999</v>
      </c>
      <c r="D199" s="207">
        <f t="shared" si="29"/>
        <v>54807634.175774187</v>
      </c>
      <c r="E199" s="207">
        <f t="shared" si="29"/>
        <v>145632438.93007147</v>
      </c>
      <c r="F199" s="207">
        <f t="shared" si="29"/>
        <v>229213081.86506197</v>
      </c>
      <c r="G199" s="207">
        <f t="shared" si="29"/>
        <v>44531150.761090755</v>
      </c>
    </row>
    <row r="200" spans="1:7" outlineLevel="2" x14ac:dyDescent="0.2">
      <c r="A200" s="200" t="str">
        <f t="shared" si="31"/>
        <v>PASIVO CORRIENTE NO OPERATIVO</v>
      </c>
      <c r="C200" s="207">
        <f t="shared" si="30"/>
        <v>0</v>
      </c>
      <c r="D200" s="207">
        <f t="shared" si="29"/>
        <v>0</v>
      </c>
      <c r="E200" s="207">
        <f t="shared" si="29"/>
        <v>0</v>
      </c>
      <c r="F200" s="207">
        <f t="shared" si="29"/>
        <v>0</v>
      </c>
      <c r="G200" s="207">
        <f t="shared" si="29"/>
        <v>0</v>
      </c>
    </row>
    <row r="201" spans="1:7" outlineLevel="2" x14ac:dyDescent="0.2">
      <c r="A201" s="200" t="str">
        <f t="shared" si="31"/>
        <v>PASIVOS FINANCIEROS LPL INICIALES</v>
      </c>
      <c r="C201" s="207">
        <f t="shared" si="30"/>
        <v>0</v>
      </c>
      <c r="D201" s="207">
        <f t="shared" si="29"/>
        <v>0</v>
      </c>
      <c r="E201" s="207">
        <f t="shared" si="29"/>
        <v>0</v>
      </c>
      <c r="F201" s="207">
        <f t="shared" si="29"/>
        <v>0</v>
      </c>
      <c r="G201" s="207">
        <f t="shared" si="29"/>
        <v>0</v>
      </c>
    </row>
    <row r="202" spans="1:7" outlineLevel="2" x14ac:dyDescent="0.2">
      <c r="A202" s="200" t="str">
        <f t="shared" si="31"/>
        <v xml:space="preserve">PASIVO DE LPL OPERATIVO </v>
      </c>
      <c r="C202" s="207">
        <f t="shared" si="30"/>
        <v>0</v>
      </c>
      <c r="D202" s="207">
        <f t="shared" si="29"/>
        <v>0</v>
      </c>
      <c r="E202" s="207">
        <f t="shared" si="29"/>
        <v>0</v>
      </c>
      <c r="F202" s="207">
        <f t="shared" si="29"/>
        <v>0</v>
      </c>
      <c r="G202" s="207">
        <f t="shared" si="29"/>
        <v>0</v>
      </c>
    </row>
    <row r="203" spans="1:7" outlineLevel="2" x14ac:dyDescent="0.2">
      <c r="A203" s="200" t="str">
        <f t="shared" si="31"/>
        <v>OTROS PASIVOS LPL</v>
      </c>
      <c r="C203" s="207">
        <f t="shared" si="30"/>
        <v>3000</v>
      </c>
      <c r="D203" s="208">
        <f t="shared" si="29"/>
        <v>0</v>
      </c>
      <c r="E203" s="208">
        <f t="shared" si="29"/>
        <v>0</v>
      </c>
      <c r="F203" s="208">
        <f t="shared" si="29"/>
        <v>0</v>
      </c>
      <c r="G203" s="208">
        <f t="shared" si="29"/>
        <v>0</v>
      </c>
    </row>
    <row r="204" spans="1:7" outlineLevel="2" x14ac:dyDescent="0.2">
      <c r="A204" s="200" t="str">
        <f t="shared" si="31"/>
        <v xml:space="preserve">PASIVO DE LPL NO OPERATIVO </v>
      </c>
      <c r="C204" s="207">
        <f t="shared" si="30"/>
        <v>0</v>
      </c>
      <c r="D204" s="208">
        <f t="shared" si="29"/>
        <v>0</v>
      </c>
      <c r="E204" s="208">
        <f t="shared" si="29"/>
        <v>0</v>
      </c>
      <c r="F204" s="208">
        <f t="shared" si="29"/>
        <v>0</v>
      </c>
      <c r="G204" s="208">
        <f t="shared" si="29"/>
        <v>0</v>
      </c>
    </row>
    <row r="205" spans="1:7" outlineLevel="2" x14ac:dyDescent="0.2">
      <c r="A205" s="214" t="str">
        <f>A60</f>
        <v>UTILIDAD NETA</v>
      </c>
      <c r="C205" s="197">
        <f>C60</f>
        <v>643975052.57713461</v>
      </c>
      <c r="D205" s="208">
        <f t="shared" ref="D205:G205" ca="1" si="32">D60</f>
        <v>65006.892556605657</v>
      </c>
      <c r="E205" s="208">
        <f t="shared" ca="1" si="32"/>
        <v>107308.61189978267</v>
      </c>
      <c r="F205" s="208">
        <f t="shared" ca="1" si="32"/>
        <v>128632.93909879585</v>
      </c>
      <c r="G205" s="208">
        <f t="shared" ca="1" si="32"/>
        <v>140537.07420963791</v>
      </c>
    </row>
    <row r="206" spans="1:7" outlineLevel="2" x14ac:dyDescent="0.2">
      <c r="A206" s="214" t="str">
        <f>A61</f>
        <v>DIVIDENDOS</v>
      </c>
      <c r="C206" s="197">
        <f>-C61</f>
        <v>0</v>
      </c>
      <c r="D206" s="208">
        <f t="shared" ref="D206:G206" si="33">-D61</f>
        <v>0</v>
      </c>
      <c r="E206" s="208">
        <f t="shared" si="33"/>
        <v>0</v>
      </c>
      <c r="F206" s="208">
        <f t="shared" si="33"/>
        <v>0</v>
      </c>
      <c r="G206" s="208">
        <f t="shared" si="33"/>
        <v>0</v>
      </c>
    </row>
    <row r="207" spans="1:7" ht="17" outlineLevel="2" thickBot="1" x14ac:dyDescent="0.25">
      <c r="A207" s="121" t="str">
        <f>A169</f>
        <v>PASIVOS Y PATRIMONIO</v>
      </c>
      <c r="C207" s="141">
        <f>SUM(C193:C206)</f>
        <v>878756076.17713451</v>
      </c>
      <c r="D207" s="136">
        <f t="shared" ref="D207:G207" ca="1" si="34">SUM(D193:D206)</f>
        <v>58425.280556605649</v>
      </c>
      <c r="E207" s="136">
        <f t="shared" ca="1" si="34"/>
        <v>79680.04896872121</v>
      </c>
      <c r="F207" s="136">
        <f t="shared" ca="1" si="34"/>
        <v>78815.074612671568</v>
      </c>
      <c r="G207" s="136">
        <f t="shared" ca="1" si="34"/>
        <v>68732.994752896004</v>
      </c>
    </row>
    <row r="208" spans="1:7" ht="17" outlineLevel="2" thickTop="1" x14ac:dyDescent="0.2">
      <c r="A208" s="210"/>
      <c r="C208" s="211"/>
      <c r="D208" s="211"/>
      <c r="E208" s="211"/>
      <c r="F208" s="211"/>
      <c r="G208" s="211"/>
    </row>
    <row r="209" spans="1:8" outlineLevel="2" x14ac:dyDescent="0.2">
      <c r="A209" s="137" t="s">
        <v>374</v>
      </c>
      <c r="C209" s="142">
        <f t="shared" ref="C209:G209" si="35">C191-C207</f>
        <v>0</v>
      </c>
      <c r="D209" s="142">
        <f t="shared" ca="1" si="35"/>
        <v>8.7311491370201111E-11</v>
      </c>
      <c r="E209" s="142">
        <f t="shared" ca="1" si="35"/>
        <v>-1.6007106751203537E-10</v>
      </c>
      <c r="F209" s="142">
        <f t="shared" ca="1" si="35"/>
        <v>0</v>
      </c>
      <c r="G209" s="142">
        <f t="shared" ca="1" si="35"/>
        <v>0</v>
      </c>
    </row>
    <row r="210" spans="1:8" outlineLevel="2" x14ac:dyDescent="0.2"/>
    <row r="211" spans="1:8" outlineLevel="1" x14ac:dyDescent="0.2"/>
    <row r="212" spans="1:8" outlineLevel="1" x14ac:dyDescent="0.2">
      <c r="A212" s="414" t="str">
        <f>A113</f>
        <v>4- ABRIR UTILIDAD NETA EN TODOS SUS RUBROS</v>
      </c>
      <c r="B212" s="414"/>
      <c r="C212" s="129"/>
      <c r="D212" s="129"/>
      <c r="E212" s="129"/>
      <c r="F212" s="129"/>
      <c r="G212" s="129"/>
      <c r="H212" s="129"/>
    </row>
    <row r="213" spans="1:8" outlineLevel="2" x14ac:dyDescent="0.2">
      <c r="C213" s="92">
        <f>$C$3</f>
        <v>1</v>
      </c>
      <c r="D213" s="92">
        <f>$D$3</f>
        <v>2</v>
      </c>
      <c r="E213" s="92">
        <f>$E$3</f>
        <v>3</v>
      </c>
      <c r="F213" s="92">
        <f>$F$3</f>
        <v>4</v>
      </c>
      <c r="G213" s="92">
        <f>$G$3</f>
        <v>5</v>
      </c>
    </row>
    <row r="214" spans="1:8" outlineLevel="2" x14ac:dyDescent="0.2"/>
    <row r="215" spans="1:8" outlineLevel="2" x14ac:dyDescent="0.2">
      <c r="A215" s="200" t="str">
        <f>A179</f>
        <v>EXCESO DE CAJA</v>
      </c>
      <c r="C215" s="208">
        <f>C179</f>
        <v>769377713.69713449</v>
      </c>
      <c r="D215" s="208">
        <f t="shared" ref="D215:G227" ca="1" si="36">D179</f>
        <v>58288.586310461687</v>
      </c>
      <c r="E215" s="208">
        <f t="shared" ca="1" si="36"/>
        <v>50178.92577456811</v>
      </c>
      <c r="F215" s="208">
        <f t="shared" ca="1" si="36"/>
        <v>51415.239135204814</v>
      </c>
      <c r="G215" s="208">
        <f t="shared" ca="1" si="36"/>
        <v>18581.265790297301</v>
      </c>
    </row>
    <row r="216" spans="1:8" outlineLevel="2" x14ac:dyDescent="0.2">
      <c r="A216" s="200" t="str">
        <f t="shared" ref="A216:A220" si="37">A180</f>
        <v>CAJA</v>
      </c>
      <c r="C216" s="208">
        <f t="shared" ref="C216:C227" si="38">C180</f>
        <v>15649952.639999999</v>
      </c>
      <c r="D216" s="208">
        <f t="shared" si="36"/>
        <v>54807634.175774187</v>
      </c>
      <c r="E216" s="208">
        <f t="shared" si="36"/>
        <v>145632438.93007147</v>
      </c>
      <c r="F216" s="208">
        <f t="shared" si="36"/>
        <v>229213081.86506197</v>
      </c>
      <c r="G216" s="208">
        <f t="shared" si="36"/>
        <v>44531150.761090755</v>
      </c>
    </row>
    <row r="217" spans="1:8" outlineLevel="2" x14ac:dyDescent="0.2">
      <c r="A217" s="200" t="str">
        <f t="shared" si="37"/>
        <v>INVENTARIOS</v>
      </c>
      <c r="C217" s="208">
        <f t="shared" si="38"/>
        <v>-98400</v>
      </c>
      <c r="D217" s="208">
        <f t="shared" si="36"/>
        <v>0</v>
      </c>
      <c r="E217" s="208">
        <f t="shared" si="36"/>
        <v>0</v>
      </c>
      <c r="F217" s="208">
        <f t="shared" si="36"/>
        <v>0</v>
      </c>
      <c r="G217" s="208">
        <f t="shared" si="36"/>
        <v>0</v>
      </c>
    </row>
    <row r="218" spans="1:8" outlineLevel="2" x14ac:dyDescent="0.2">
      <c r="A218" s="200" t="str">
        <f t="shared" si="37"/>
        <v>CUENTAS POR COBRAR</v>
      </c>
      <c r="C218" s="208">
        <f t="shared" si="38"/>
        <v>31215505.279999997</v>
      </c>
      <c r="D218" s="208">
        <f t="shared" si="36"/>
        <v>109615268.35154837</v>
      </c>
      <c r="E218" s="208">
        <f t="shared" si="36"/>
        <v>291264877.86014295</v>
      </c>
      <c r="F218" s="208">
        <f t="shared" si="36"/>
        <v>458426163.73012394</v>
      </c>
      <c r="G218" s="208">
        <f t="shared" si="36"/>
        <v>89062301.522181511</v>
      </c>
    </row>
    <row r="219" spans="1:8" outlineLevel="2" x14ac:dyDescent="0.2">
      <c r="A219" s="200" t="str">
        <f>A183</f>
        <v>ACTIVO CORRIENTE OPERATIVO</v>
      </c>
      <c r="C219" s="208">
        <f t="shared" si="38"/>
        <v>0</v>
      </c>
      <c r="D219" s="208">
        <f t="shared" si="36"/>
        <v>0</v>
      </c>
      <c r="E219" s="208">
        <f t="shared" si="36"/>
        <v>0</v>
      </c>
      <c r="F219" s="208">
        <f t="shared" si="36"/>
        <v>0</v>
      </c>
      <c r="G219" s="208">
        <f t="shared" si="36"/>
        <v>0</v>
      </c>
    </row>
    <row r="220" spans="1:8" outlineLevel="2" x14ac:dyDescent="0.2">
      <c r="A220" s="200" t="str">
        <f t="shared" si="37"/>
        <v>OTROS ACTIVOS CORRIENTES</v>
      </c>
      <c r="C220" s="208">
        <f t="shared" si="38"/>
        <v>62594504.559999995</v>
      </c>
      <c r="D220" s="208">
        <f t="shared" si="36"/>
        <v>148764549.88732257</v>
      </c>
      <c r="E220" s="208">
        <f t="shared" si="36"/>
        <v>220798891.04436871</v>
      </c>
      <c r="F220" s="208">
        <f t="shared" si="36"/>
        <v>13114656.119216323</v>
      </c>
      <c r="G220" s="208">
        <f t="shared" si="36"/>
        <v>44531150.761090755</v>
      </c>
    </row>
    <row r="221" spans="1:8" outlineLevel="2" x14ac:dyDescent="0.2">
      <c r="A221" s="200" t="str">
        <f>A185</f>
        <v xml:space="preserve">ACTIVO CORRIENTE NO OPERATIVO </v>
      </c>
      <c r="C221" s="208">
        <f t="shared" si="38"/>
        <v>0</v>
      </c>
      <c r="D221" s="208">
        <f t="shared" si="36"/>
        <v>0</v>
      </c>
      <c r="E221" s="208">
        <f t="shared" si="36"/>
        <v>0</v>
      </c>
      <c r="F221" s="208">
        <f t="shared" si="36"/>
        <v>0</v>
      </c>
      <c r="G221" s="208">
        <f t="shared" si="36"/>
        <v>0</v>
      </c>
    </row>
    <row r="222" spans="1:8" outlineLevel="2" x14ac:dyDescent="0.2">
      <c r="A222" s="200" t="str">
        <f>A186</f>
        <v>ACTIVOS FIJOS BRUTO</v>
      </c>
      <c r="C222" s="208">
        <f t="shared" si="38"/>
        <v>13110.777777777781</v>
      </c>
      <c r="D222" s="208">
        <f t="shared" si="36"/>
        <v>5036.7971623822523</v>
      </c>
      <c r="E222" s="208">
        <f t="shared" si="36"/>
        <v>22573.311744614388</v>
      </c>
      <c r="F222" s="208">
        <f t="shared" si="36"/>
        <v>24604.909801629721</v>
      </c>
      <c r="G222" s="208">
        <f t="shared" si="36"/>
        <v>26819.351683776418</v>
      </c>
    </row>
    <row r="223" spans="1:8" outlineLevel="2" x14ac:dyDescent="0.2">
      <c r="A223" s="200" t="str">
        <f t="shared" ref="A223" si="39">A187</f>
        <v>DEPRECIACIÓN ACUMULADA</v>
      </c>
      <c r="C223" s="208">
        <f t="shared" si="38"/>
        <v>-1310.777777777781</v>
      </c>
      <c r="D223" s="208">
        <f t="shared" si="36"/>
        <v>-503.67971623822814</v>
      </c>
      <c r="E223" s="208">
        <f t="shared" si="36"/>
        <v>-2257.331174461433</v>
      </c>
      <c r="F223" s="208">
        <f t="shared" si="36"/>
        <v>-2460.4909801629838</v>
      </c>
      <c r="G223" s="208">
        <f t="shared" si="36"/>
        <v>-2681.9351683776476</v>
      </c>
    </row>
    <row r="224" spans="1:8" outlineLevel="2" x14ac:dyDescent="0.2">
      <c r="A224" s="200" t="str">
        <f>A188</f>
        <v xml:space="preserve">ACTIVO DE LPL OPERATIVO </v>
      </c>
      <c r="C224" s="208">
        <f t="shared" si="38"/>
        <v>0</v>
      </c>
      <c r="D224" s="208">
        <f t="shared" si="36"/>
        <v>0</v>
      </c>
      <c r="E224" s="208">
        <f t="shared" si="36"/>
        <v>0</v>
      </c>
      <c r="F224" s="208">
        <f t="shared" si="36"/>
        <v>0</v>
      </c>
      <c r="G224" s="208">
        <f t="shared" si="36"/>
        <v>0</v>
      </c>
    </row>
    <row r="225" spans="1:7" outlineLevel="2" x14ac:dyDescent="0.2">
      <c r="A225" s="200" t="str">
        <f t="shared" ref="A225" si="40">A189</f>
        <v>OTROS ACTIVOS LPL</v>
      </c>
      <c r="C225" s="208">
        <f t="shared" si="38"/>
        <v>5000</v>
      </c>
      <c r="D225" s="208">
        <f t="shared" si="36"/>
        <v>0</v>
      </c>
      <c r="E225" s="208">
        <f t="shared" si="36"/>
        <v>0</v>
      </c>
      <c r="F225" s="208">
        <f t="shared" si="36"/>
        <v>0</v>
      </c>
      <c r="G225" s="208">
        <f t="shared" si="36"/>
        <v>0</v>
      </c>
    </row>
    <row r="226" spans="1:7" outlineLevel="2" x14ac:dyDescent="0.2">
      <c r="A226" s="200" t="str">
        <f>A190</f>
        <v>ACTIVO DE LPL NO OPERATIVO</v>
      </c>
      <c r="C226" s="208">
        <f t="shared" si="38"/>
        <v>0</v>
      </c>
      <c r="D226" s="208">
        <f t="shared" si="36"/>
        <v>0</v>
      </c>
      <c r="E226" s="208">
        <f t="shared" si="36"/>
        <v>0</v>
      </c>
      <c r="F226" s="208">
        <f t="shared" si="36"/>
        <v>0</v>
      </c>
      <c r="G226" s="208">
        <f t="shared" si="36"/>
        <v>0</v>
      </c>
    </row>
    <row r="227" spans="1:7" ht="17" outlineLevel="2" thickBot="1" x14ac:dyDescent="0.25">
      <c r="A227" s="121" t="str">
        <f t="shared" ref="A227" si="41">A191</f>
        <v>ACTIVOS TOTALES</v>
      </c>
      <c r="C227" s="139">
        <f t="shared" si="38"/>
        <v>878756076.17713439</v>
      </c>
      <c r="D227" s="139">
        <f t="shared" ca="1" si="36"/>
        <v>58425.280556605736</v>
      </c>
      <c r="E227" s="139">
        <f t="shared" ca="1" si="36"/>
        <v>79680.04896872105</v>
      </c>
      <c r="F227" s="139">
        <f t="shared" ca="1" si="36"/>
        <v>78815.074612671553</v>
      </c>
      <c r="G227" s="139">
        <f t="shared" ca="1" si="36"/>
        <v>68732.994752896077</v>
      </c>
    </row>
    <row r="228" spans="1:7" ht="17" outlineLevel="2" thickTop="1" x14ac:dyDescent="0.2"/>
    <row r="229" spans="1:7" outlineLevel="2" x14ac:dyDescent="0.2">
      <c r="A229" s="200" t="str">
        <f>A193</f>
        <v>PASIVOS FINANCIEROS REQUERIDOS</v>
      </c>
      <c r="C229" s="207">
        <f>C193</f>
        <v>0</v>
      </c>
      <c r="D229" s="207">
        <f t="shared" ref="D229:G240" ca="1" si="42">D193</f>
        <v>0</v>
      </c>
      <c r="E229" s="207">
        <f t="shared" ca="1" si="42"/>
        <v>0</v>
      </c>
      <c r="F229" s="207">
        <f t="shared" ca="1" si="42"/>
        <v>0</v>
      </c>
      <c r="G229" s="207">
        <f t="shared" ca="1" si="42"/>
        <v>0</v>
      </c>
    </row>
    <row r="230" spans="1:7" outlineLevel="2" x14ac:dyDescent="0.2">
      <c r="A230" s="200" t="str">
        <f>A194</f>
        <v>PROVEEDORES</v>
      </c>
      <c r="C230" s="207">
        <f t="shared" ref="C230:C240" si="43">C194</f>
        <v>125226071.11999999</v>
      </c>
      <c r="D230" s="207">
        <f t="shared" si="42"/>
        <v>438461073.40619349</v>
      </c>
      <c r="E230" s="207">
        <f t="shared" si="42"/>
        <v>1165059511.4405718</v>
      </c>
      <c r="F230" s="207">
        <f t="shared" si="42"/>
        <v>1833704654.9204957</v>
      </c>
      <c r="G230" s="207">
        <f t="shared" si="42"/>
        <v>356249206.08872604</v>
      </c>
    </row>
    <row r="231" spans="1:7" outlineLevel="2" x14ac:dyDescent="0.2">
      <c r="A231" s="200" t="str">
        <f>A195</f>
        <v>CUENTAS POR PAGAR</v>
      </c>
      <c r="C231" s="207">
        <f t="shared" si="43"/>
        <v>46951501.919999994</v>
      </c>
      <c r="D231" s="207">
        <f t="shared" si="42"/>
        <v>164422902.52732259</v>
      </c>
      <c r="E231" s="207">
        <f t="shared" si="42"/>
        <v>436897316.7902143</v>
      </c>
      <c r="F231" s="207">
        <f t="shared" si="42"/>
        <v>687639245.59518576</v>
      </c>
      <c r="G231" s="207">
        <f t="shared" si="42"/>
        <v>133593452.28327227</v>
      </c>
    </row>
    <row r="232" spans="1:7" outlineLevel="2" x14ac:dyDescent="0.2">
      <c r="A232" s="200" t="str">
        <f>A196</f>
        <v>IMPUESTOS POR PAGAR</v>
      </c>
      <c r="C232" s="207">
        <f t="shared" si="43"/>
        <v>15650452.639999999</v>
      </c>
      <c r="D232" s="207">
        <f t="shared" si="42"/>
        <v>54807634.175774187</v>
      </c>
      <c r="E232" s="207">
        <f t="shared" si="42"/>
        <v>145632438.93007147</v>
      </c>
      <c r="F232" s="207">
        <f t="shared" si="42"/>
        <v>229213081.86506197</v>
      </c>
      <c r="G232" s="207">
        <f t="shared" si="42"/>
        <v>44531150.761090755</v>
      </c>
    </row>
    <row r="233" spans="1:7" outlineLevel="2" x14ac:dyDescent="0.2">
      <c r="A233" s="200" t="str">
        <f>A197</f>
        <v>DEUDAS LABORALES</v>
      </c>
      <c r="C233" s="207">
        <f t="shared" si="43"/>
        <v>31299905.279999997</v>
      </c>
      <c r="D233" s="207">
        <f t="shared" si="42"/>
        <v>109615268.35154837</v>
      </c>
      <c r="E233" s="207">
        <f t="shared" si="42"/>
        <v>291264877.86014295</v>
      </c>
      <c r="F233" s="207">
        <f t="shared" si="42"/>
        <v>458426163.73012394</v>
      </c>
      <c r="G233" s="207">
        <f t="shared" si="42"/>
        <v>89062301.522181511</v>
      </c>
    </row>
    <row r="234" spans="1:7" outlineLevel="2" x14ac:dyDescent="0.2">
      <c r="A234" s="200" t="str">
        <f t="shared" ref="A234:A239" si="44">A198</f>
        <v xml:space="preserve">PASIVO CORRIENTE OPERATIVO </v>
      </c>
      <c r="C234" s="207">
        <f t="shared" si="43"/>
        <v>0</v>
      </c>
      <c r="D234" s="207">
        <f t="shared" si="42"/>
        <v>0</v>
      </c>
      <c r="E234" s="207">
        <f t="shared" si="42"/>
        <v>0</v>
      </c>
      <c r="F234" s="207">
        <f t="shared" si="42"/>
        <v>0</v>
      </c>
      <c r="G234" s="207">
        <f t="shared" si="42"/>
        <v>0</v>
      </c>
    </row>
    <row r="235" spans="1:7" outlineLevel="2" x14ac:dyDescent="0.2">
      <c r="A235" s="200" t="str">
        <f t="shared" si="44"/>
        <v>ACREEDORES VARIOS</v>
      </c>
      <c r="C235" s="207">
        <f t="shared" si="43"/>
        <v>15650092.639999999</v>
      </c>
      <c r="D235" s="207">
        <f t="shared" si="42"/>
        <v>54807634.175774187</v>
      </c>
      <c r="E235" s="207">
        <f t="shared" si="42"/>
        <v>145632438.93007147</v>
      </c>
      <c r="F235" s="207">
        <f t="shared" si="42"/>
        <v>229213081.86506197</v>
      </c>
      <c r="G235" s="207">
        <f t="shared" si="42"/>
        <v>44531150.761090755</v>
      </c>
    </row>
    <row r="236" spans="1:7" outlineLevel="2" x14ac:dyDescent="0.2">
      <c r="A236" s="200" t="str">
        <f>A200</f>
        <v>PASIVO CORRIENTE NO OPERATIVO</v>
      </c>
      <c r="C236" s="207">
        <f t="shared" si="43"/>
        <v>0</v>
      </c>
      <c r="D236" s="207">
        <f t="shared" si="42"/>
        <v>0</v>
      </c>
      <c r="E236" s="207">
        <f t="shared" si="42"/>
        <v>0</v>
      </c>
      <c r="F236" s="207">
        <f t="shared" si="42"/>
        <v>0</v>
      </c>
      <c r="G236" s="207">
        <f t="shared" si="42"/>
        <v>0</v>
      </c>
    </row>
    <row r="237" spans="1:7" outlineLevel="2" x14ac:dyDescent="0.2">
      <c r="A237" s="200" t="str">
        <f t="shared" si="44"/>
        <v>PASIVOS FINANCIEROS LPL INICIALES</v>
      </c>
      <c r="C237" s="207">
        <f t="shared" si="43"/>
        <v>0</v>
      </c>
      <c r="D237" s="207">
        <f t="shared" si="42"/>
        <v>0</v>
      </c>
      <c r="E237" s="207">
        <f t="shared" si="42"/>
        <v>0</v>
      </c>
      <c r="F237" s="207">
        <f t="shared" si="42"/>
        <v>0</v>
      </c>
      <c r="G237" s="207">
        <f t="shared" si="42"/>
        <v>0</v>
      </c>
    </row>
    <row r="238" spans="1:7" outlineLevel="2" x14ac:dyDescent="0.2">
      <c r="A238" s="200" t="str">
        <f>A202</f>
        <v xml:space="preserve">PASIVO DE LPL OPERATIVO </v>
      </c>
      <c r="C238" s="207">
        <f t="shared" si="43"/>
        <v>0</v>
      </c>
      <c r="D238" s="207">
        <f t="shared" si="42"/>
        <v>0</v>
      </c>
      <c r="E238" s="207">
        <f t="shared" si="42"/>
        <v>0</v>
      </c>
      <c r="F238" s="207">
        <f t="shared" si="42"/>
        <v>0</v>
      </c>
      <c r="G238" s="207">
        <f t="shared" si="42"/>
        <v>0</v>
      </c>
    </row>
    <row r="239" spans="1:7" outlineLevel="2" x14ac:dyDescent="0.2">
      <c r="A239" s="200" t="str">
        <f t="shared" si="44"/>
        <v>OTROS PASIVOS LPL</v>
      </c>
      <c r="C239" s="207">
        <f t="shared" si="43"/>
        <v>3000</v>
      </c>
      <c r="D239" s="208">
        <f t="shared" si="42"/>
        <v>0</v>
      </c>
      <c r="E239" s="208">
        <f t="shared" si="42"/>
        <v>0</v>
      </c>
      <c r="F239" s="208">
        <f t="shared" si="42"/>
        <v>0</v>
      </c>
      <c r="G239" s="208">
        <f t="shared" si="42"/>
        <v>0</v>
      </c>
    </row>
    <row r="240" spans="1:7" outlineLevel="2" x14ac:dyDescent="0.2">
      <c r="A240" s="200" t="str">
        <f>A204</f>
        <v xml:space="preserve">PASIVO DE LPL NO OPERATIVO </v>
      </c>
      <c r="C240" s="207">
        <f t="shared" si="43"/>
        <v>0</v>
      </c>
      <c r="D240" s="208">
        <f t="shared" si="42"/>
        <v>0</v>
      </c>
      <c r="E240" s="208">
        <f t="shared" si="42"/>
        <v>0</v>
      </c>
      <c r="F240" s="208">
        <f t="shared" si="42"/>
        <v>0</v>
      </c>
      <c r="G240" s="208">
        <f t="shared" si="42"/>
        <v>0</v>
      </c>
    </row>
    <row r="241" spans="1:7" outlineLevel="2" x14ac:dyDescent="0.2">
      <c r="A241" s="110" t="str">
        <f t="shared" ref="A241:A251" si="45">A122</f>
        <v>VENTAS</v>
      </c>
      <c r="C241" s="216">
        <f t="shared" ref="C241:G253" si="46">C122</f>
        <v>1565835263.9999998</v>
      </c>
      <c r="D241" s="207">
        <f t="shared" si="46"/>
        <v>7046598681.5774193</v>
      </c>
      <c r="E241" s="207">
        <f t="shared" si="46"/>
        <v>21609842574.584564</v>
      </c>
      <c r="F241" s="207">
        <f t="shared" si="46"/>
        <v>44531150761.090759</v>
      </c>
      <c r="G241" s="207">
        <f t="shared" si="46"/>
        <v>48984265837.199837</v>
      </c>
    </row>
    <row r="242" spans="1:7" outlineLevel="2" x14ac:dyDescent="0.2">
      <c r="A242" s="110" t="str">
        <f t="shared" si="45"/>
        <v>CMV</v>
      </c>
      <c r="C242" s="216">
        <f t="shared" si="46"/>
        <v>1093585330.1700001</v>
      </c>
      <c r="D242" s="207">
        <f t="shared" si="46"/>
        <v>4131909441.0428257</v>
      </c>
      <c r="E242" s="207">
        <f t="shared" si="46"/>
        <v>14516188075.703253</v>
      </c>
      <c r="F242" s="207">
        <f t="shared" si="46"/>
        <v>30027024250.764725</v>
      </c>
      <c r="G242" s="207">
        <f t="shared" si="46"/>
        <v>34020618476.116436</v>
      </c>
    </row>
    <row r="243" spans="1:7" outlineLevel="2" x14ac:dyDescent="0.2">
      <c r="A243" s="116" t="str">
        <f t="shared" si="45"/>
        <v>UTILIDAD BRUTA</v>
      </c>
      <c r="C243" s="143">
        <f t="shared" si="46"/>
        <v>472249933.82999969</v>
      </c>
      <c r="D243" s="132">
        <f t="shared" si="46"/>
        <v>2914689240.5345936</v>
      </c>
      <c r="E243" s="132">
        <f t="shared" si="46"/>
        <v>7093654498.8813114</v>
      </c>
      <c r="F243" s="132">
        <f t="shared" si="46"/>
        <v>14504126510.326035</v>
      </c>
      <c r="G243" s="132">
        <f t="shared" si="46"/>
        <v>14963647361.083401</v>
      </c>
    </row>
    <row r="244" spans="1:7" outlineLevel="2" x14ac:dyDescent="0.2">
      <c r="A244" s="110" t="str">
        <f t="shared" si="45"/>
        <v>G.ADMINISTRACIÓN</v>
      </c>
      <c r="C244" s="216">
        <f t="shared" si="46"/>
        <v>30000000.000000004</v>
      </c>
      <c r="D244" s="207">
        <f t="shared" si="46"/>
        <v>51238241.442640543</v>
      </c>
      <c r="E244" s="207">
        <f t="shared" si="46"/>
        <v>119469081.88816041</v>
      </c>
      <c r="F244" s="207">
        <f t="shared" si="46"/>
        <v>139889197.79945409</v>
      </c>
      <c r="G244" s="207">
        <f t="shared" si="46"/>
        <v>158494461.10678148</v>
      </c>
    </row>
    <row r="245" spans="1:7" outlineLevel="2" x14ac:dyDescent="0.2">
      <c r="A245" s="110" t="str">
        <f t="shared" si="45"/>
        <v>G.VENTAS</v>
      </c>
      <c r="C245" s="216">
        <f t="shared" si="46"/>
        <v>449767723.00499994</v>
      </c>
      <c r="D245" s="207">
        <f t="shared" si="46"/>
        <v>885649441.35719454</v>
      </c>
      <c r="E245" s="207">
        <f t="shared" si="46"/>
        <v>1693559574.8961022</v>
      </c>
      <c r="F245" s="207">
        <f t="shared" si="46"/>
        <v>2433462035.374217</v>
      </c>
      <c r="G245" s="207">
        <f t="shared" si="46"/>
        <v>2757112486.0789881</v>
      </c>
    </row>
    <row r="246" spans="1:7" outlineLevel="2" x14ac:dyDescent="0.2">
      <c r="A246" s="110" t="e">
        <f t="shared" si="45"/>
        <v>#REF!</v>
      </c>
      <c r="C246" s="216" t="e">
        <f t="shared" si="46"/>
        <v>#REF!</v>
      </c>
      <c r="D246" s="207" t="e">
        <f t="shared" si="46"/>
        <v>#REF!</v>
      </c>
      <c r="E246" s="207" t="e">
        <f t="shared" si="46"/>
        <v>#REF!</v>
      </c>
      <c r="F246" s="207" t="e">
        <f t="shared" si="46"/>
        <v>#REF!</v>
      </c>
      <c r="G246" s="207" t="e">
        <f t="shared" si="46"/>
        <v>#REF!</v>
      </c>
    </row>
    <row r="247" spans="1:7" outlineLevel="2" x14ac:dyDescent="0.2">
      <c r="A247" s="116" t="str">
        <f t="shared" si="45"/>
        <v>UTILIDAD OPERACIONAL</v>
      </c>
      <c r="C247" s="143">
        <f t="shared" si="46"/>
        <v>-7517789.1750002503</v>
      </c>
      <c r="D247" s="132">
        <f t="shared" si="46"/>
        <v>1977801557.7347589</v>
      </c>
      <c r="E247" s="132">
        <f t="shared" si="46"/>
        <v>5280625842.0970488</v>
      </c>
      <c r="F247" s="132">
        <f t="shared" si="46"/>
        <v>11930775277.152363</v>
      </c>
      <c r="G247" s="132">
        <f t="shared" si="46"/>
        <v>12048040413.897633</v>
      </c>
    </row>
    <row r="248" spans="1:7" outlineLevel="2" x14ac:dyDescent="0.2">
      <c r="A248" s="190" t="str">
        <f t="shared" si="45"/>
        <v>IRO</v>
      </c>
      <c r="C248" s="217">
        <f t="shared" si="46"/>
        <v>-2931937.7782500978</v>
      </c>
      <c r="D248" s="208">
        <f t="shared" si="46"/>
        <v>771342607.51655602</v>
      </c>
      <c r="E248" s="208">
        <f t="shared" si="46"/>
        <v>2059444078.4178491</v>
      </c>
      <c r="F248" s="208">
        <f t="shared" si="46"/>
        <v>4653002358.0894213</v>
      </c>
      <c r="G248" s="208">
        <f t="shared" si="46"/>
        <v>4698735761.4200773</v>
      </c>
    </row>
    <row r="249" spans="1:7" outlineLevel="2" x14ac:dyDescent="0.2">
      <c r="A249" s="133" t="str">
        <f t="shared" si="45"/>
        <v>UODI</v>
      </c>
      <c r="C249" s="144">
        <f t="shared" si="46"/>
        <v>-4585851.3967501521</v>
      </c>
      <c r="D249" s="135">
        <f t="shared" si="46"/>
        <v>1206458950.2182028</v>
      </c>
      <c r="E249" s="135">
        <f t="shared" si="46"/>
        <v>3221181763.6791997</v>
      </c>
      <c r="F249" s="135">
        <f t="shared" si="46"/>
        <v>7277772919.0629416</v>
      </c>
      <c r="G249" s="135">
        <f t="shared" si="46"/>
        <v>7349304652.4775553</v>
      </c>
    </row>
    <row r="250" spans="1:7" outlineLevel="2" x14ac:dyDescent="0.2">
      <c r="A250" s="110" t="str">
        <f t="shared" si="45"/>
        <v>OTROS INGRESOS</v>
      </c>
      <c r="C250" s="218">
        <f t="shared" si="46"/>
        <v>648560903.97388482</v>
      </c>
      <c r="D250" s="145">
        <f t="shared" si="46"/>
        <v>0</v>
      </c>
      <c r="E250" s="145">
        <f t="shared" si="46"/>
        <v>0</v>
      </c>
      <c r="F250" s="145">
        <f t="shared" si="46"/>
        <v>0</v>
      </c>
      <c r="G250" s="145">
        <f t="shared" si="46"/>
        <v>0</v>
      </c>
    </row>
    <row r="251" spans="1:7" outlineLevel="2" x14ac:dyDescent="0.2">
      <c r="A251" s="110" t="str">
        <f t="shared" si="45"/>
        <v>OTROS EGRESOS</v>
      </c>
      <c r="C251" s="218">
        <f t="shared" si="46"/>
        <v>0</v>
      </c>
      <c r="D251" s="145">
        <f t="shared" si="46"/>
        <v>0</v>
      </c>
      <c r="E251" s="145">
        <f t="shared" si="46"/>
        <v>0</v>
      </c>
      <c r="F251" s="145">
        <f t="shared" si="46"/>
        <v>0</v>
      </c>
      <c r="G251" s="145">
        <f t="shared" si="46"/>
        <v>0</v>
      </c>
    </row>
    <row r="252" spans="1:7" outlineLevel="2" x14ac:dyDescent="0.2">
      <c r="A252" s="110" t="str">
        <f>A133</f>
        <v>GASTO INTERES (INGR) S/PAS.FIN.INI.di</v>
      </c>
      <c r="C252" s="218">
        <f>C133</f>
        <v>0</v>
      </c>
      <c r="D252" s="209">
        <f t="shared" si="46"/>
        <v>0</v>
      </c>
      <c r="E252" s="209">
        <f t="shared" si="46"/>
        <v>0</v>
      </c>
      <c r="F252" s="209">
        <f t="shared" si="46"/>
        <v>0</v>
      </c>
      <c r="G252" s="209">
        <f t="shared" si="46"/>
        <v>0</v>
      </c>
    </row>
    <row r="253" spans="1:7" outlineLevel="2" x14ac:dyDescent="0.2">
      <c r="A253" s="110" t="str">
        <f>A134</f>
        <v>GASTO INTERES (INGR) S/PAS.FIN.REQ.di</v>
      </c>
      <c r="C253" s="218">
        <f>C134</f>
        <v>0</v>
      </c>
      <c r="D253" s="209">
        <f t="shared" ca="1" si="46"/>
        <v>-2517.4332286056447</v>
      </c>
      <c r="E253" s="209">
        <f t="shared" ca="1" si="46"/>
        <v>-4405.1704466627034</v>
      </c>
      <c r="F253" s="209">
        <f t="shared" ca="1" si="46"/>
        <v>-6305.4776850998742</v>
      </c>
      <c r="G253" s="209">
        <f t="shared" ca="1" si="46"/>
        <v>-6992.241268709261</v>
      </c>
    </row>
    <row r="254" spans="1:7" outlineLevel="2" x14ac:dyDescent="0.2">
      <c r="A254" s="214" t="str">
        <f>A206</f>
        <v>DIVIDENDOS</v>
      </c>
      <c r="C254" s="197">
        <f>C206</f>
        <v>0</v>
      </c>
      <c r="D254" s="208">
        <f t="shared" ref="D254:G254" si="47">D206</f>
        <v>0</v>
      </c>
      <c r="E254" s="208">
        <f t="shared" si="47"/>
        <v>0</v>
      </c>
      <c r="F254" s="208">
        <f t="shared" si="47"/>
        <v>0</v>
      </c>
      <c r="G254" s="208">
        <f t="shared" si="47"/>
        <v>0</v>
      </c>
    </row>
    <row r="255" spans="1:7" ht="17" outlineLevel="2" thickBot="1" x14ac:dyDescent="0.25">
      <c r="A255" s="121" t="str">
        <f>A207</f>
        <v>PASIVOS Y PATRIMONIO</v>
      </c>
      <c r="C255" s="146">
        <f>SUM(C229:C240)+C249-C250-C251-C252-C253+C254</f>
        <v>-418365731.77063501</v>
      </c>
      <c r="D255" s="146">
        <f t="shared" ref="D255:G255" ca="1" si="48">SUM(D229:D240)+D249-D250-D251-D252-D253+D254</f>
        <v>58425.280556605649</v>
      </c>
      <c r="E255" s="146">
        <f t="shared" ca="1" si="48"/>
        <v>79680.04896872121</v>
      </c>
      <c r="F255" s="146">
        <f t="shared" ca="1" si="48"/>
        <v>78815.074612671568</v>
      </c>
      <c r="G255" s="146">
        <f t="shared" ca="1" si="48"/>
        <v>68732.994752896004</v>
      </c>
    </row>
    <row r="256" spans="1:7" ht="17" outlineLevel="2" thickTop="1" x14ac:dyDescent="0.2">
      <c r="A256" s="210"/>
      <c r="C256" s="211"/>
      <c r="D256" s="211"/>
      <c r="E256" s="211"/>
      <c r="F256" s="211"/>
      <c r="G256" s="211"/>
    </row>
    <row r="257" spans="1:9" outlineLevel="2" x14ac:dyDescent="0.2">
      <c r="A257" s="137" t="s">
        <v>374</v>
      </c>
      <c r="C257" s="147">
        <f>C227-C255</f>
        <v>1297121807.9477694</v>
      </c>
      <c r="D257" s="147">
        <f ca="1">D227-D255</f>
        <v>8.7311491370201111E-11</v>
      </c>
      <c r="E257" s="147">
        <f ca="1">E227-E255</f>
        <v>-1.6007106751203537E-10</v>
      </c>
      <c r="F257" s="147">
        <f ca="1">F227-F255</f>
        <v>0</v>
      </c>
      <c r="G257" s="147">
        <f ca="1">G227-G255</f>
        <v>0</v>
      </c>
    </row>
    <row r="258" spans="1:9" outlineLevel="2" x14ac:dyDescent="0.2"/>
    <row r="259" spans="1:9" outlineLevel="1" x14ac:dyDescent="0.2"/>
    <row r="260" spans="1:9" ht="15" customHeight="1" outlineLevel="1" x14ac:dyDescent="0.2">
      <c r="A260" s="407" t="str">
        <f>A114</f>
        <v>5- AISLAR CAJA Y QUITAR SUBTOTALES - LUEGO DISTINGUIR PARTIDAS OP-NOP-FIN</v>
      </c>
      <c r="B260" s="407"/>
      <c r="C260" s="407"/>
      <c r="D260" s="407"/>
      <c r="E260" s="407"/>
      <c r="F260" s="407"/>
      <c r="G260" s="407"/>
      <c r="H260" s="407"/>
    </row>
    <row r="261" spans="1:9" outlineLevel="2" x14ac:dyDescent="0.2">
      <c r="A261" s="148"/>
      <c r="B261" s="148"/>
      <c r="C261" s="92">
        <f>$C$3</f>
        <v>1</v>
      </c>
      <c r="D261" s="92">
        <f>$D$3</f>
        <v>2</v>
      </c>
      <c r="E261" s="92">
        <f>$E$3</f>
        <v>3</v>
      </c>
      <c r="F261" s="92">
        <f>$F$3</f>
        <v>4</v>
      </c>
      <c r="G261" s="92">
        <f>$G$3</f>
        <v>5</v>
      </c>
    </row>
    <row r="262" spans="1:9" outlineLevel="2" x14ac:dyDescent="0.2">
      <c r="B262" s="197"/>
    </row>
    <row r="263" spans="1:9" outlineLevel="2" x14ac:dyDescent="0.2">
      <c r="A263" s="197" t="str">
        <f>A215</f>
        <v>EXCESO DE CAJA</v>
      </c>
      <c r="C263" s="208">
        <f t="shared" ref="C263:G264" si="49">C215</f>
        <v>769377713.69713449</v>
      </c>
      <c r="D263" s="208">
        <f t="shared" ca="1" si="49"/>
        <v>58288.586310461687</v>
      </c>
      <c r="E263" s="208">
        <f t="shared" ca="1" si="49"/>
        <v>50178.92577456811</v>
      </c>
      <c r="F263" s="208">
        <f t="shared" ca="1" si="49"/>
        <v>51415.239135204814</v>
      </c>
      <c r="G263" s="208">
        <f t="shared" ca="1" si="49"/>
        <v>18581.265790297301</v>
      </c>
    </row>
    <row r="264" spans="1:9" outlineLevel="2" x14ac:dyDescent="0.2">
      <c r="A264" s="197" t="str">
        <f>A216</f>
        <v>CAJA</v>
      </c>
      <c r="C264" s="208">
        <f t="shared" si="49"/>
        <v>15649952.639999999</v>
      </c>
      <c r="D264" s="208">
        <f t="shared" si="49"/>
        <v>54807634.175774187</v>
      </c>
      <c r="E264" s="208">
        <f t="shared" si="49"/>
        <v>145632438.93007147</v>
      </c>
      <c r="F264" s="208">
        <f t="shared" si="49"/>
        <v>229213081.86506197</v>
      </c>
      <c r="G264" s="208">
        <f t="shared" si="49"/>
        <v>44531150.761090755</v>
      </c>
    </row>
    <row r="265" spans="1:9" ht="17" outlineLevel="2" thickBot="1" x14ac:dyDescent="0.25">
      <c r="A265" s="141" t="s">
        <v>375</v>
      </c>
      <c r="C265" s="141">
        <f>SUM(C263:C264)</f>
        <v>785027666.33713448</v>
      </c>
      <c r="D265" s="136">
        <f t="shared" ref="D265:G265" ca="1" si="50">SUM(D263:D264)</f>
        <v>59303.145510461691</v>
      </c>
      <c r="E265" s="136">
        <f t="shared" ca="1" si="50"/>
        <v>51220.539886568105</v>
      </c>
      <c r="F265" s="136">
        <f t="shared" ca="1" si="50"/>
        <v>52466.322466404818</v>
      </c>
      <c r="G265" s="136">
        <f t="shared" ca="1" si="50"/>
        <v>19621.838288185303</v>
      </c>
    </row>
    <row r="266" spans="1:9" ht="17" outlineLevel="2" thickTop="1" x14ac:dyDescent="0.2">
      <c r="D266" s="219"/>
      <c r="E266" s="219"/>
      <c r="F266" s="219"/>
      <c r="G266" s="219"/>
    </row>
    <row r="267" spans="1:9" outlineLevel="2" x14ac:dyDescent="0.2">
      <c r="A267" s="197" t="str">
        <f>A217</f>
        <v>INVENTARIOS</v>
      </c>
      <c r="C267" s="208">
        <f>-C217</f>
        <v>98400</v>
      </c>
      <c r="D267" s="208">
        <f t="shared" ref="D267:G276" si="51">-D217</f>
        <v>0</v>
      </c>
      <c r="E267" s="208">
        <f t="shared" si="51"/>
        <v>0</v>
      </c>
      <c r="F267" s="208">
        <f t="shared" si="51"/>
        <v>0</v>
      </c>
      <c r="G267" s="208">
        <f t="shared" si="51"/>
        <v>0</v>
      </c>
      <c r="H267" s="220" t="s">
        <v>376</v>
      </c>
      <c r="I267" s="197"/>
    </row>
    <row r="268" spans="1:9" outlineLevel="2" x14ac:dyDescent="0.2">
      <c r="A268" s="197" t="str">
        <f>A218</f>
        <v>CUENTAS POR COBRAR</v>
      </c>
      <c r="C268" s="208">
        <f t="shared" ref="C268:C276" si="52">-C218</f>
        <v>-31215505.279999997</v>
      </c>
      <c r="D268" s="208">
        <f t="shared" si="51"/>
        <v>-109615268.35154837</v>
      </c>
      <c r="E268" s="208">
        <f t="shared" si="51"/>
        <v>-291264877.86014295</v>
      </c>
      <c r="F268" s="208">
        <f t="shared" si="51"/>
        <v>-458426163.73012394</v>
      </c>
      <c r="G268" s="208">
        <f t="shared" si="51"/>
        <v>-89062301.522181511</v>
      </c>
      <c r="H268" s="220" t="s">
        <v>376</v>
      </c>
      <c r="I268" s="197"/>
    </row>
    <row r="269" spans="1:9" outlineLevel="2" x14ac:dyDescent="0.2">
      <c r="A269" s="197" t="str">
        <f t="shared" ref="A269:A270" si="53">A219</f>
        <v>ACTIVO CORRIENTE OPERATIVO</v>
      </c>
      <c r="C269" s="208">
        <f t="shared" si="52"/>
        <v>0</v>
      </c>
      <c r="D269" s="208">
        <f t="shared" si="51"/>
        <v>0</v>
      </c>
      <c r="E269" s="208">
        <f t="shared" si="51"/>
        <v>0</v>
      </c>
      <c r="F269" s="208">
        <f t="shared" si="51"/>
        <v>0</v>
      </c>
      <c r="G269" s="208">
        <f t="shared" si="51"/>
        <v>0</v>
      </c>
      <c r="H269" s="220" t="s">
        <v>376</v>
      </c>
      <c r="I269" s="197"/>
    </row>
    <row r="270" spans="1:9" outlineLevel="2" x14ac:dyDescent="0.2">
      <c r="A270" s="197" t="str">
        <f t="shared" si="53"/>
        <v>OTROS ACTIVOS CORRIENTES</v>
      </c>
      <c r="C270" s="208">
        <f t="shared" si="52"/>
        <v>-62594504.559999995</v>
      </c>
      <c r="D270" s="208">
        <f t="shared" si="51"/>
        <v>-148764549.88732257</v>
      </c>
      <c r="E270" s="208">
        <f t="shared" si="51"/>
        <v>-220798891.04436871</v>
      </c>
      <c r="F270" s="208">
        <f t="shared" si="51"/>
        <v>-13114656.119216323</v>
      </c>
      <c r="G270" s="208">
        <f t="shared" si="51"/>
        <v>-44531150.761090755</v>
      </c>
      <c r="H270" s="221" t="s">
        <v>377</v>
      </c>
      <c r="I270" s="197"/>
    </row>
    <row r="271" spans="1:9" outlineLevel="2" x14ac:dyDescent="0.2">
      <c r="A271" s="197" t="str">
        <f>A221</f>
        <v xml:space="preserve">ACTIVO CORRIENTE NO OPERATIVO </v>
      </c>
      <c r="C271" s="208">
        <f t="shared" si="52"/>
        <v>0</v>
      </c>
      <c r="D271" s="208">
        <f t="shared" si="51"/>
        <v>0</v>
      </c>
      <c r="E271" s="208">
        <f t="shared" si="51"/>
        <v>0</v>
      </c>
      <c r="F271" s="208">
        <f t="shared" si="51"/>
        <v>0</v>
      </c>
      <c r="G271" s="208">
        <f t="shared" si="51"/>
        <v>0</v>
      </c>
      <c r="H271" s="221" t="s">
        <v>377</v>
      </c>
      <c r="I271" s="197"/>
    </row>
    <row r="272" spans="1:9" outlineLevel="2" x14ac:dyDescent="0.2">
      <c r="A272" s="197" t="str">
        <f>A222</f>
        <v>ACTIVOS FIJOS BRUTO</v>
      </c>
      <c r="C272" s="208">
        <f t="shared" si="52"/>
        <v>-13110.777777777781</v>
      </c>
      <c r="D272" s="208">
        <f t="shared" si="51"/>
        <v>-5036.7971623822523</v>
      </c>
      <c r="E272" s="208">
        <f t="shared" si="51"/>
        <v>-22573.311744614388</v>
      </c>
      <c r="F272" s="208">
        <f t="shared" si="51"/>
        <v>-24604.909801629721</v>
      </c>
      <c r="G272" s="208">
        <f t="shared" si="51"/>
        <v>-26819.351683776418</v>
      </c>
      <c r="H272" s="220" t="s">
        <v>376</v>
      </c>
      <c r="I272" s="197"/>
    </row>
    <row r="273" spans="1:9" outlineLevel="2" x14ac:dyDescent="0.2">
      <c r="A273" s="197" t="str">
        <f>A223</f>
        <v>DEPRECIACIÓN ACUMULADA</v>
      </c>
      <c r="C273" s="208">
        <f t="shared" si="52"/>
        <v>1310.777777777781</v>
      </c>
      <c r="D273" s="208">
        <f t="shared" si="51"/>
        <v>503.67971623822814</v>
      </c>
      <c r="E273" s="208">
        <f t="shared" si="51"/>
        <v>2257.331174461433</v>
      </c>
      <c r="F273" s="208">
        <f t="shared" si="51"/>
        <v>2460.4909801629838</v>
      </c>
      <c r="G273" s="208">
        <f t="shared" si="51"/>
        <v>2681.9351683776476</v>
      </c>
      <c r="H273" s="220" t="s">
        <v>376</v>
      </c>
      <c r="I273" s="197"/>
    </row>
    <row r="274" spans="1:9" outlineLevel="2" x14ac:dyDescent="0.2">
      <c r="A274" s="197" t="str">
        <f t="shared" ref="A274:A275" si="54">A224</f>
        <v xml:space="preserve">ACTIVO DE LPL OPERATIVO </v>
      </c>
      <c r="C274" s="208">
        <f t="shared" si="52"/>
        <v>0</v>
      </c>
      <c r="D274" s="208">
        <f t="shared" si="51"/>
        <v>0</v>
      </c>
      <c r="E274" s="208">
        <f t="shared" si="51"/>
        <v>0</v>
      </c>
      <c r="F274" s="208">
        <f t="shared" si="51"/>
        <v>0</v>
      </c>
      <c r="G274" s="208">
        <f t="shared" si="51"/>
        <v>0</v>
      </c>
      <c r="H274" s="220" t="s">
        <v>376</v>
      </c>
      <c r="I274" s="197"/>
    </row>
    <row r="275" spans="1:9" outlineLevel="2" x14ac:dyDescent="0.2">
      <c r="A275" s="197" t="str">
        <f t="shared" si="54"/>
        <v>OTROS ACTIVOS LPL</v>
      </c>
      <c r="C275" s="208">
        <f t="shared" si="52"/>
        <v>-5000</v>
      </c>
      <c r="D275" s="208">
        <f t="shared" si="51"/>
        <v>0</v>
      </c>
      <c r="E275" s="208">
        <f t="shared" si="51"/>
        <v>0</v>
      </c>
      <c r="F275" s="208">
        <f t="shared" si="51"/>
        <v>0</v>
      </c>
      <c r="G275" s="208">
        <f t="shared" si="51"/>
        <v>0</v>
      </c>
      <c r="H275" s="221" t="s">
        <v>377</v>
      </c>
      <c r="I275" s="197"/>
    </row>
    <row r="276" spans="1:9" outlineLevel="2" x14ac:dyDescent="0.2">
      <c r="A276" s="197" t="str">
        <f>A226</f>
        <v>ACTIVO DE LPL NO OPERATIVO</v>
      </c>
      <c r="C276" s="208">
        <f t="shared" si="52"/>
        <v>0</v>
      </c>
      <c r="D276" s="208">
        <f t="shared" si="51"/>
        <v>0</v>
      </c>
      <c r="E276" s="208">
        <f t="shared" si="51"/>
        <v>0</v>
      </c>
      <c r="F276" s="208">
        <f t="shared" si="51"/>
        <v>0</v>
      </c>
      <c r="G276" s="208">
        <f t="shared" si="51"/>
        <v>0</v>
      </c>
      <c r="H276" s="221" t="s">
        <v>377</v>
      </c>
      <c r="I276" s="197"/>
    </row>
    <row r="277" spans="1:9" outlineLevel="2" x14ac:dyDescent="0.2">
      <c r="A277" s="197" t="str">
        <f>A229</f>
        <v>PASIVOS FINANCIEROS REQUERIDOS</v>
      </c>
      <c r="C277" s="217">
        <f>C229</f>
        <v>0</v>
      </c>
      <c r="D277" s="208">
        <f t="shared" ref="D277:G292" ca="1" si="55">D229</f>
        <v>0</v>
      </c>
      <c r="E277" s="208">
        <f t="shared" ca="1" si="55"/>
        <v>0</v>
      </c>
      <c r="F277" s="208">
        <f t="shared" ca="1" si="55"/>
        <v>0</v>
      </c>
      <c r="G277" s="208">
        <f t="shared" ca="1" si="55"/>
        <v>0</v>
      </c>
      <c r="H277" s="222" t="s">
        <v>378</v>
      </c>
      <c r="I277" s="200"/>
    </row>
    <row r="278" spans="1:9" outlineLevel="2" x14ac:dyDescent="0.2">
      <c r="A278" s="197" t="str">
        <f>A230</f>
        <v>PROVEEDORES</v>
      </c>
      <c r="C278" s="217">
        <f t="shared" ref="C278:G293" si="56">C230</f>
        <v>125226071.11999999</v>
      </c>
      <c r="D278" s="208">
        <f t="shared" si="55"/>
        <v>438461073.40619349</v>
      </c>
      <c r="E278" s="208">
        <f t="shared" si="55"/>
        <v>1165059511.4405718</v>
      </c>
      <c r="F278" s="208">
        <f t="shared" si="55"/>
        <v>1833704654.9204957</v>
      </c>
      <c r="G278" s="208">
        <f t="shared" si="55"/>
        <v>356249206.08872604</v>
      </c>
      <c r="H278" s="220" t="s">
        <v>376</v>
      </c>
      <c r="I278" s="200"/>
    </row>
    <row r="279" spans="1:9" outlineLevel="2" x14ac:dyDescent="0.2">
      <c r="A279" s="197" t="str">
        <f>A231</f>
        <v>CUENTAS POR PAGAR</v>
      </c>
      <c r="C279" s="217">
        <f t="shared" si="56"/>
        <v>46951501.919999994</v>
      </c>
      <c r="D279" s="208">
        <f t="shared" si="55"/>
        <v>164422902.52732259</v>
      </c>
      <c r="E279" s="208">
        <f t="shared" si="55"/>
        <v>436897316.7902143</v>
      </c>
      <c r="F279" s="208">
        <f t="shared" si="55"/>
        <v>687639245.59518576</v>
      </c>
      <c r="G279" s="208">
        <f t="shared" si="55"/>
        <v>133593452.28327227</v>
      </c>
      <c r="H279" s="220" t="s">
        <v>376</v>
      </c>
      <c r="I279" s="200"/>
    </row>
    <row r="280" spans="1:9" outlineLevel="2" x14ac:dyDescent="0.2">
      <c r="A280" s="197" t="str">
        <f>A232</f>
        <v>IMPUESTOS POR PAGAR</v>
      </c>
      <c r="C280" s="217">
        <f t="shared" si="56"/>
        <v>15650452.639999999</v>
      </c>
      <c r="D280" s="208">
        <f t="shared" si="55"/>
        <v>54807634.175774187</v>
      </c>
      <c r="E280" s="208">
        <f t="shared" si="55"/>
        <v>145632438.93007147</v>
      </c>
      <c r="F280" s="208">
        <f t="shared" si="55"/>
        <v>229213081.86506197</v>
      </c>
      <c r="G280" s="208">
        <f t="shared" si="55"/>
        <v>44531150.761090755</v>
      </c>
      <c r="H280" s="220" t="s">
        <v>376</v>
      </c>
      <c r="I280" s="200"/>
    </row>
    <row r="281" spans="1:9" outlineLevel="2" x14ac:dyDescent="0.2">
      <c r="A281" s="197" t="str">
        <f>A233</f>
        <v>DEUDAS LABORALES</v>
      </c>
      <c r="C281" s="217">
        <f t="shared" si="56"/>
        <v>31299905.279999997</v>
      </c>
      <c r="D281" s="208">
        <f t="shared" si="55"/>
        <v>109615268.35154837</v>
      </c>
      <c r="E281" s="208">
        <f t="shared" si="55"/>
        <v>291264877.86014295</v>
      </c>
      <c r="F281" s="208">
        <f t="shared" si="55"/>
        <v>458426163.73012394</v>
      </c>
      <c r="G281" s="208">
        <f t="shared" si="55"/>
        <v>89062301.522181511</v>
      </c>
      <c r="H281" s="220" t="s">
        <v>376</v>
      </c>
      <c r="I281" s="200"/>
    </row>
    <row r="282" spans="1:9" outlineLevel="2" x14ac:dyDescent="0.2">
      <c r="A282" s="197" t="str">
        <f t="shared" ref="A282:A299" si="57">A234</f>
        <v xml:space="preserve">PASIVO CORRIENTE OPERATIVO </v>
      </c>
      <c r="C282" s="217">
        <f t="shared" si="56"/>
        <v>0</v>
      </c>
      <c r="D282" s="208">
        <f t="shared" si="55"/>
        <v>0</v>
      </c>
      <c r="E282" s="208">
        <f t="shared" si="55"/>
        <v>0</v>
      </c>
      <c r="F282" s="208">
        <f t="shared" si="55"/>
        <v>0</v>
      </c>
      <c r="G282" s="208">
        <f t="shared" si="55"/>
        <v>0</v>
      </c>
      <c r="H282" s="220" t="s">
        <v>376</v>
      </c>
      <c r="I282" s="200"/>
    </row>
    <row r="283" spans="1:9" outlineLevel="2" x14ac:dyDescent="0.2">
      <c r="A283" s="197" t="str">
        <f t="shared" si="57"/>
        <v>ACREEDORES VARIOS</v>
      </c>
      <c r="C283" s="217">
        <f t="shared" si="56"/>
        <v>15650092.639999999</v>
      </c>
      <c r="D283" s="208">
        <f t="shared" si="55"/>
        <v>54807634.175774187</v>
      </c>
      <c r="E283" s="208">
        <f t="shared" si="55"/>
        <v>145632438.93007147</v>
      </c>
      <c r="F283" s="208">
        <f t="shared" si="55"/>
        <v>229213081.86506197</v>
      </c>
      <c r="G283" s="208">
        <f t="shared" si="55"/>
        <v>44531150.761090755</v>
      </c>
      <c r="H283" s="221" t="s">
        <v>377</v>
      </c>
      <c r="I283" s="200"/>
    </row>
    <row r="284" spans="1:9" outlineLevel="2" x14ac:dyDescent="0.2">
      <c r="A284" s="197" t="str">
        <f>A236</f>
        <v>PASIVO CORRIENTE NO OPERATIVO</v>
      </c>
      <c r="C284" s="217">
        <f t="shared" si="56"/>
        <v>0</v>
      </c>
      <c r="D284" s="208">
        <f t="shared" si="55"/>
        <v>0</v>
      </c>
      <c r="E284" s="208">
        <f t="shared" si="55"/>
        <v>0</v>
      </c>
      <c r="F284" s="208">
        <f t="shared" si="55"/>
        <v>0</v>
      </c>
      <c r="G284" s="208">
        <f t="shared" si="55"/>
        <v>0</v>
      </c>
      <c r="H284" s="221" t="s">
        <v>377</v>
      </c>
      <c r="I284" s="200"/>
    </row>
    <row r="285" spans="1:9" outlineLevel="2" x14ac:dyDescent="0.2">
      <c r="A285" s="197" t="str">
        <f t="shared" si="57"/>
        <v>PASIVOS FINANCIEROS LPL INICIALES</v>
      </c>
      <c r="C285" s="217">
        <f t="shared" si="56"/>
        <v>0</v>
      </c>
      <c r="D285" s="208">
        <f t="shared" si="55"/>
        <v>0</v>
      </c>
      <c r="E285" s="208">
        <f t="shared" si="55"/>
        <v>0</v>
      </c>
      <c r="F285" s="208">
        <f t="shared" si="55"/>
        <v>0</v>
      </c>
      <c r="G285" s="208">
        <f t="shared" si="55"/>
        <v>0</v>
      </c>
      <c r="H285" s="222" t="s">
        <v>378</v>
      </c>
      <c r="I285" s="200"/>
    </row>
    <row r="286" spans="1:9" outlineLevel="2" x14ac:dyDescent="0.2">
      <c r="A286" s="197" t="str">
        <f>A238</f>
        <v xml:space="preserve">PASIVO DE LPL OPERATIVO </v>
      </c>
      <c r="C286" s="217">
        <f t="shared" si="56"/>
        <v>0</v>
      </c>
      <c r="D286" s="208">
        <f t="shared" si="55"/>
        <v>0</v>
      </c>
      <c r="E286" s="208">
        <f t="shared" si="55"/>
        <v>0</v>
      </c>
      <c r="F286" s="208">
        <f t="shared" si="55"/>
        <v>0</v>
      </c>
      <c r="G286" s="208">
        <f t="shared" si="55"/>
        <v>0</v>
      </c>
      <c r="H286" s="220" t="s">
        <v>376</v>
      </c>
      <c r="I286" s="200"/>
    </row>
    <row r="287" spans="1:9" outlineLevel="2" x14ac:dyDescent="0.2">
      <c r="A287" s="197" t="str">
        <f t="shared" si="57"/>
        <v>OTROS PASIVOS LPL</v>
      </c>
      <c r="C287" s="217">
        <f t="shared" si="56"/>
        <v>3000</v>
      </c>
      <c r="D287" s="208">
        <f t="shared" si="55"/>
        <v>0</v>
      </c>
      <c r="E287" s="208">
        <f t="shared" si="55"/>
        <v>0</v>
      </c>
      <c r="F287" s="208">
        <f t="shared" si="55"/>
        <v>0</v>
      </c>
      <c r="G287" s="208">
        <f t="shared" si="55"/>
        <v>0</v>
      </c>
      <c r="H287" s="221" t="s">
        <v>377</v>
      </c>
      <c r="I287" s="200"/>
    </row>
    <row r="288" spans="1:9" outlineLevel="2" x14ac:dyDescent="0.2">
      <c r="A288" s="197" t="str">
        <f t="shared" si="57"/>
        <v xml:space="preserve">PASIVO DE LPL NO OPERATIVO </v>
      </c>
      <c r="C288" s="217">
        <f t="shared" si="56"/>
        <v>0</v>
      </c>
      <c r="D288" s="208">
        <f t="shared" si="55"/>
        <v>0</v>
      </c>
      <c r="E288" s="208">
        <f t="shared" si="55"/>
        <v>0</v>
      </c>
      <c r="F288" s="208">
        <f t="shared" si="55"/>
        <v>0</v>
      </c>
      <c r="G288" s="208">
        <f t="shared" si="55"/>
        <v>0</v>
      </c>
      <c r="H288" s="221" t="s">
        <v>377</v>
      </c>
      <c r="I288" s="200"/>
    </row>
    <row r="289" spans="1:9" outlineLevel="2" x14ac:dyDescent="0.2">
      <c r="A289" s="197" t="str">
        <f t="shared" si="57"/>
        <v>VENTAS</v>
      </c>
      <c r="C289" s="217">
        <f t="shared" si="56"/>
        <v>1565835263.9999998</v>
      </c>
      <c r="D289" s="208">
        <f t="shared" si="55"/>
        <v>7046598681.5774193</v>
      </c>
      <c r="E289" s="208">
        <f t="shared" si="55"/>
        <v>21609842574.584564</v>
      </c>
      <c r="F289" s="208">
        <f t="shared" si="55"/>
        <v>44531150761.090759</v>
      </c>
      <c r="G289" s="208">
        <f t="shared" si="55"/>
        <v>48984265837.199837</v>
      </c>
      <c r="H289" s="223" t="s">
        <v>376</v>
      </c>
      <c r="I289" s="200"/>
    </row>
    <row r="290" spans="1:9" outlineLevel="2" x14ac:dyDescent="0.2">
      <c r="A290" s="197" t="str">
        <f t="shared" si="57"/>
        <v>CMV</v>
      </c>
      <c r="C290" s="217">
        <f t="shared" si="56"/>
        <v>1093585330.1700001</v>
      </c>
      <c r="D290" s="208">
        <f t="shared" si="55"/>
        <v>4131909441.0428257</v>
      </c>
      <c r="E290" s="208">
        <f t="shared" si="55"/>
        <v>14516188075.703253</v>
      </c>
      <c r="F290" s="208">
        <f t="shared" si="55"/>
        <v>30027024250.764725</v>
      </c>
      <c r="G290" s="208">
        <f t="shared" si="55"/>
        <v>34020618476.116436</v>
      </c>
      <c r="H290" s="223" t="s">
        <v>376</v>
      </c>
      <c r="I290" s="200"/>
    </row>
    <row r="291" spans="1:9" outlineLevel="2" x14ac:dyDescent="0.2">
      <c r="A291" s="134" t="str">
        <f t="shared" si="57"/>
        <v>UTILIDAD BRUTA</v>
      </c>
      <c r="C291" s="144">
        <f t="shared" si="56"/>
        <v>472249933.82999969</v>
      </c>
      <c r="D291" s="135">
        <f t="shared" si="55"/>
        <v>2914689240.5345936</v>
      </c>
      <c r="E291" s="135">
        <f t="shared" si="55"/>
        <v>7093654498.8813114</v>
      </c>
      <c r="F291" s="135">
        <f t="shared" si="55"/>
        <v>14504126510.326035</v>
      </c>
      <c r="G291" s="135">
        <f t="shared" si="55"/>
        <v>14963647361.083401</v>
      </c>
      <c r="H291" s="223" t="s">
        <v>376</v>
      </c>
      <c r="I291" s="118"/>
    </row>
    <row r="292" spans="1:9" outlineLevel="2" x14ac:dyDescent="0.2">
      <c r="A292" s="197" t="str">
        <f t="shared" si="57"/>
        <v>G.ADMINISTRACIÓN</v>
      </c>
      <c r="C292" s="217">
        <f t="shared" si="56"/>
        <v>30000000.000000004</v>
      </c>
      <c r="D292" s="208">
        <f t="shared" si="55"/>
        <v>51238241.442640543</v>
      </c>
      <c r="E292" s="208">
        <f t="shared" si="55"/>
        <v>119469081.88816041</v>
      </c>
      <c r="F292" s="208">
        <f t="shared" si="55"/>
        <v>139889197.79945409</v>
      </c>
      <c r="G292" s="208">
        <f t="shared" si="55"/>
        <v>158494461.10678148</v>
      </c>
      <c r="H292" s="223" t="s">
        <v>376</v>
      </c>
      <c r="I292" s="200"/>
    </row>
    <row r="293" spans="1:9" outlineLevel="2" x14ac:dyDescent="0.2">
      <c r="A293" s="197" t="str">
        <f t="shared" si="57"/>
        <v>G.VENTAS</v>
      </c>
      <c r="C293" s="217">
        <f t="shared" si="56"/>
        <v>449767723.00499994</v>
      </c>
      <c r="D293" s="208">
        <f t="shared" si="56"/>
        <v>885649441.35719454</v>
      </c>
      <c r="E293" s="208">
        <f t="shared" si="56"/>
        <v>1693559574.8961022</v>
      </c>
      <c r="F293" s="208">
        <f t="shared" si="56"/>
        <v>2433462035.374217</v>
      </c>
      <c r="G293" s="208">
        <f t="shared" si="56"/>
        <v>2757112486.0789881</v>
      </c>
      <c r="H293" s="223" t="s">
        <v>376</v>
      </c>
      <c r="I293" s="200"/>
    </row>
    <row r="294" spans="1:9" outlineLevel="2" x14ac:dyDescent="0.2">
      <c r="A294" s="197" t="e">
        <f t="shared" si="57"/>
        <v>#REF!</v>
      </c>
      <c r="C294" s="217" t="e">
        <f t="shared" ref="C294:G302" si="58">C246</f>
        <v>#REF!</v>
      </c>
      <c r="D294" s="208" t="e">
        <f t="shared" si="58"/>
        <v>#REF!</v>
      </c>
      <c r="E294" s="208" t="e">
        <f t="shared" si="58"/>
        <v>#REF!</v>
      </c>
      <c r="F294" s="208" t="e">
        <f t="shared" si="58"/>
        <v>#REF!</v>
      </c>
      <c r="G294" s="208" t="e">
        <f t="shared" si="58"/>
        <v>#REF!</v>
      </c>
      <c r="H294" s="223" t="s">
        <v>376</v>
      </c>
      <c r="I294" s="200"/>
    </row>
    <row r="295" spans="1:9" outlineLevel="2" x14ac:dyDescent="0.2">
      <c r="A295" s="134" t="str">
        <f t="shared" si="57"/>
        <v>UTILIDAD OPERACIONAL</v>
      </c>
      <c r="C295" s="144">
        <f t="shared" si="58"/>
        <v>-7517789.1750002503</v>
      </c>
      <c r="D295" s="135">
        <f t="shared" si="58"/>
        <v>1977801557.7347589</v>
      </c>
      <c r="E295" s="135">
        <f t="shared" si="58"/>
        <v>5280625842.0970488</v>
      </c>
      <c r="F295" s="135">
        <f t="shared" si="58"/>
        <v>11930775277.152363</v>
      </c>
      <c r="G295" s="135">
        <f t="shared" si="58"/>
        <v>12048040413.897633</v>
      </c>
      <c r="H295" s="223" t="s">
        <v>376</v>
      </c>
      <c r="I295" s="118"/>
    </row>
    <row r="296" spans="1:9" outlineLevel="2" x14ac:dyDescent="0.2">
      <c r="A296" s="197" t="str">
        <f t="shared" si="57"/>
        <v>IRO</v>
      </c>
      <c r="C296" s="217">
        <f t="shared" si="58"/>
        <v>-2931937.7782500978</v>
      </c>
      <c r="D296" s="208">
        <f t="shared" si="58"/>
        <v>771342607.51655602</v>
      </c>
      <c r="E296" s="208">
        <f t="shared" si="58"/>
        <v>2059444078.4178491</v>
      </c>
      <c r="F296" s="208">
        <f t="shared" si="58"/>
        <v>4653002358.0894213</v>
      </c>
      <c r="G296" s="208">
        <f t="shared" si="58"/>
        <v>4698735761.4200773</v>
      </c>
      <c r="H296" s="223" t="s">
        <v>376</v>
      </c>
      <c r="I296" s="197"/>
    </row>
    <row r="297" spans="1:9" outlineLevel="2" x14ac:dyDescent="0.2">
      <c r="A297" s="134" t="str">
        <f t="shared" si="57"/>
        <v>UODI</v>
      </c>
      <c r="C297" s="144">
        <f t="shared" si="58"/>
        <v>-4585851.3967501521</v>
      </c>
      <c r="D297" s="135">
        <f t="shared" si="58"/>
        <v>1206458950.2182028</v>
      </c>
      <c r="E297" s="135">
        <f t="shared" si="58"/>
        <v>3221181763.6791997</v>
      </c>
      <c r="F297" s="135">
        <f t="shared" si="58"/>
        <v>7277772919.0629416</v>
      </c>
      <c r="G297" s="135">
        <f t="shared" si="58"/>
        <v>7349304652.4775553</v>
      </c>
      <c r="H297" s="223" t="s">
        <v>376</v>
      </c>
      <c r="I297" s="149"/>
    </row>
    <row r="298" spans="1:9" outlineLevel="2" x14ac:dyDescent="0.2">
      <c r="A298" s="197" t="str">
        <f t="shared" si="57"/>
        <v>OTROS INGRESOS</v>
      </c>
      <c r="C298" s="217">
        <f t="shared" si="58"/>
        <v>648560903.97388482</v>
      </c>
      <c r="D298" s="145">
        <f t="shared" si="58"/>
        <v>0</v>
      </c>
      <c r="E298" s="145">
        <f t="shared" si="58"/>
        <v>0</v>
      </c>
      <c r="F298" s="145">
        <f t="shared" si="58"/>
        <v>0</v>
      </c>
      <c r="G298" s="145">
        <f t="shared" si="58"/>
        <v>0</v>
      </c>
      <c r="H298" s="221" t="s">
        <v>377</v>
      </c>
      <c r="I298" s="224"/>
    </row>
    <row r="299" spans="1:9" outlineLevel="2" x14ac:dyDescent="0.2">
      <c r="A299" s="197" t="str">
        <f t="shared" si="57"/>
        <v>OTROS EGRESOS</v>
      </c>
      <c r="C299" s="217">
        <f t="shared" si="58"/>
        <v>0</v>
      </c>
      <c r="D299" s="145">
        <f t="shared" si="58"/>
        <v>0</v>
      </c>
      <c r="E299" s="145">
        <f t="shared" si="58"/>
        <v>0</v>
      </c>
      <c r="F299" s="145">
        <f t="shared" si="58"/>
        <v>0</v>
      </c>
      <c r="G299" s="145">
        <f t="shared" si="58"/>
        <v>0</v>
      </c>
      <c r="H299" s="221" t="s">
        <v>377</v>
      </c>
      <c r="I299" s="224"/>
    </row>
    <row r="300" spans="1:9" outlineLevel="2" x14ac:dyDescent="0.2">
      <c r="A300" s="197" t="str">
        <f>A252</f>
        <v>GASTO INTERES (INGR) S/PAS.FIN.INI.di</v>
      </c>
      <c r="C300" s="217">
        <f t="shared" si="58"/>
        <v>0</v>
      </c>
      <c r="D300" s="208">
        <f t="shared" si="58"/>
        <v>0</v>
      </c>
      <c r="E300" s="208">
        <f t="shared" si="58"/>
        <v>0</v>
      </c>
      <c r="F300" s="208">
        <f t="shared" si="58"/>
        <v>0</v>
      </c>
      <c r="G300" s="208">
        <f t="shared" si="58"/>
        <v>0</v>
      </c>
      <c r="H300" s="222" t="s">
        <v>378</v>
      </c>
      <c r="I300" s="224"/>
    </row>
    <row r="301" spans="1:9" outlineLevel="2" x14ac:dyDescent="0.2">
      <c r="A301" s="197" t="str">
        <f>A253</f>
        <v>GASTO INTERES (INGR) S/PAS.FIN.REQ.di</v>
      </c>
      <c r="C301" s="217">
        <f t="shared" si="58"/>
        <v>0</v>
      </c>
      <c r="D301" s="208">
        <f t="shared" ca="1" si="58"/>
        <v>-2517.4332286056447</v>
      </c>
      <c r="E301" s="208">
        <f t="shared" ca="1" si="58"/>
        <v>-4405.1704466627034</v>
      </c>
      <c r="F301" s="208">
        <f t="shared" ca="1" si="58"/>
        <v>-6305.4776850998742</v>
      </c>
      <c r="G301" s="208">
        <f t="shared" ca="1" si="58"/>
        <v>-6992.241268709261</v>
      </c>
      <c r="H301" s="221" t="s">
        <v>377</v>
      </c>
      <c r="I301" s="224"/>
    </row>
    <row r="302" spans="1:9" outlineLevel="2" x14ac:dyDescent="0.2">
      <c r="A302" s="197" t="str">
        <f>A254</f>
        <v>DIVIDENDOS</v>
      </c>
      <c r="C302" s="217">
        <f t="shared" si="58"/>
        <v>0</v>
      </c>
      <c r="D302" s="208">
        <f t="shared" si="58"/>
        <v>0</v>
      </c>
      <c r="E302" s="208">
        <f t="shared" si="58"/>
        <v>0</v>
      </c>
      <c r="F302" s="208">
        <f t="shared" si="58"/>
        <v>0</v>
      </c>
      <c r="G302" s="208">
        <f t="shared" si="58"/>
        <v>0</v>
      </c>
      <c r="H302" s="222" t="s">
        <v>378</v>
      </c>
      <c r="I302" s="197"/>
    </row>
    <row r="303" spans="1:9" outlineLevel="2" x14ac:dyDescent="0.2">
      <c r="A303" s="210"/>
      <c r="C303" s="211"/>
      <c r="D303" s="211"/>
      <c r="E303" s="211"/>
      <c r="F303" s="211"/>
      <c r="G303" s="211"/>
    </row>
    <row r="304" spans="1:9" outlineLevel="2" x14ac:dyDescent="0.2">
      <c r="A304" s="137" t="s">
        <v>374</v>
      </c>
      <c r="C304" s="150">
        <f>SUM(C267:C288)+C297-C298-C299-C300-C301+C302-C265</f>
        <v>-1297121807.9477694</v>
      </c>
      <c r="D304" s="150">
        <f t="shared" ref="D304:G304" ca="1" si="59">SUM(D267:D288)+D297-D298-D299-D300-D301+D302-D265</f>
        <v>-8.7311491370201111E-11</v>
      </c>
      <c r="E304" s="150">
        <f t="shared" ca="1" si="59"/>
        <v>1.6007106751203537E-10</v>
      </c>
      <c r="F304" s="150">
        <f t="shared" ca="1" si="59"/>
        <v>0</v>
      </c>
      <c r="G304" s="150">
        <f t="shared" ca="1" si="59"/>
        <v>-8.7311491370201111E-11</v>
      </c>
    </row>
    <row r="305" spans="1:8" outlineLevel="2" x14ac:dyDescent="0.2"/>
    <row r="306" spans="1:8" outlineLevel="1" x14ac:dyDescent="0.2"/>
    <row r="307" spans="1:8" ht="15" customHeight="1" outlineLevel="1" x14ac:dyDescent="0.2">
      <c r="A307" s="407" t="str">
        <f>A115</f>
        <v>6- AGRUPAR LAS PARTIDAS POR FAMILIAS: OP-NOP-FIN</v>
      </c>
      <c r="B307" s="407"/>
      <c r="C307" s="128"/>
      <c r="D307" s="128"/>
      <c r="E307" s="128"/>
      <c r="F307" s="128"/>
      <c r="G307" s="151"/>
      <c r="H307" s="129"/>
    </row>
    <row r="308" spans="1:8" outlineLevel="2" x14ac:dyDescent="0.2">
      <c r="A308" s="148"/>
      <c r="B308" s="148"/>
      <c r="C308" s="92">
        <f>$C$3</f>
        <v>1</v>
      </c>
      <c r="D308" s="92">
        <f>$D$3</f>
        <v>2</v>
      </c>
      <c r="E308" s="92">
        <f>$E$3</f>
        <v>3</v>
      </c>
      <c r="F308" s="92">
        <f>$F$3</f>
        <v>4</v>
      </c>
      <c r="G308" s="92">
        <f>$G$3</f>
        <v>5</v>
      </c>
      <c r="H308" s="152"/>
    </row>
    <row r="309" spans="1:8" outlineLevel="2" x14ac:dyDescent="0.2">
      <c r="H309" s="191"/>
    </row>
    <row r="310" spans="1:8" outlineLevel="2" x14ac:dyDescent="0.2">
      <c r="A310" s="197" t="str">
        <f>A263</f>
        <v>EXCESO DE CAJA</v>
      </c>
      <c r="C310" s="208">
        <f t="shared" ref="C310:G312" si="60">C263</f>
        <v>769377713.69713449</v>
      </c>
      <c r="D310" s="208">
        <f t="shared" ca="1" si="60"/>
        <v>58288.586310461687</v>
      </c>
      <c r="E310" s="208">
        <f t="shared" ca="1" si="60"/>
        <v>50178.92577456811</v>
      </c>
      <c r="F310" s="208">
        <f t="shared" ca="1" si="60"/>
        <v>51415.239135204814</v>
      </c>
      <c r="G310" s="208">
        <f t="shared" ca="1" si="60"/>
        <v>18581.265790297301</v>
      </c>
      <c r="H310" s="225"/>
    </row>
    <row r="311" spans="1:8" outlineLevel="2" x14ac:dyDescent="0.2">
      <c r="A311" s="197" t="str">
        <f>A264</f>
        <v>CAJA</v>
      </c>
      <c r="C311" s="208">
        <f t="shared" si="60"/>
        <v>15649952.639999999</v>
      </c>
      <c r="D311" s="208">
        <f t="shared" si="60"/>
        <v>54807634.175774187</v>
      </c>
      <c r="E311" s="208">
        <f t="shared" si="60"/>
        <v>145632438.93007147</v>
      </c>
      <c r="F311" s="208">
        <f t="shared" si="60"/>
        <v>229213081.86506197</v>
      </c>
      <c r="G311" s="208">
        <f t="shared" si="60"/>
        <v>44531150.761090755</v>
      </c>
      <c r="H311" s="225"/>
    </row>
    <row r="312" spans="1:8" ht="17" outlineLevel="2" thickBot="1" x14ac:dyDescent="0.25">
      <c r="A312" s="141" t="str">
        <f>A265</f>
        <v>TOTAL CAJA</v>
      </c>
      <c r="C312" s="136">
        <f t="shared" si="60"/>
        <v>785027666.33713448</v>
      </c>
      <c r="D312" s="136">
        <f t="shared" ca="1" si="60"/>
        <v>59303.145510461691</v>
      </c>
      <c r="E312" s="136">
        <f t="shared" ca="1" si="60"/>
        <v>51220.539886568105</v>
      </c>
      <c r="F312" s="136">
        <f t="shared" ca="1" si="60"/>
        <v>52466.322466404818</v>
      </c>
      <c r="G312" s="136">
        <f t="shared" ca="1" si="60"/>
        <v>19621.838288185303</v>
      </c>
      <c r="H312" s="153"/>
    </row>
    <row r="313" spans="1:8" ht="17" outlineLevel="2" thickTop="1" x14ac:dyDescent="0.2">
      <c r="H313" s="191"/>
    </row>
    <row r="314" spans="1:8" outlineLevel="2" x14ac:dyDescent="0.2">
      <c r="A314" s="197" t="str">
        <f t="shared" ref="A314:A322" si="61">A289</f>
        <v>VENTAS</v>
      </c>
      <c r="C314" s="208">
        <f t="shared" ref="C314:H322" si="62">C289</f>
        <v>1565835263.9999998</v>
      </c>
      <c r="D314" s="208">
        <f t="shared" si="62"/>
        <v>7046598681.5774193</v>
      </c>
      <c r="E314" s="208">
        <f t="shared" si="62"/>
        <v>21609842574.584564</v>
      </c>
      <c r="F314" s="208">
        <f t="shared" si="62"/>
        <v>44531150761.090759</v>
      </c>
      <c r="G314" s="208">
        <f t="shared" si="62"/>
        <v>48984265837.199837</v>
      </c>
      <c r="H314" s="226" t="str">
        <f t="shared" si="62"/>
        <v>OP</v>
      </c>
    </row>
    <row r="315" spans="1:8" outlineLevel="2" x14ac:dyDescent="0.2">
      <c r="A315" s="197" t="str">
        <f t="shared" si="61"/>
        <v>CMV</v>
      </c>
      <c r="C315" s="208">
        <f t="shared" si="62"/>
        <v>1093585330.1700001</v>
      </c>
      <c r="D315" s="208">
        <f t="shared" si="62"/>
        <v>4131909441.0428257</v>
      </c>
      <c r="E315" s="208">
        <f t="shared" si="62"/>
        <v>14516188075.703253</v>
      </c>
      <c r="F315" s="208">
        <f t="shared" si="62"/>
        <v>30027024250.764725</v>
      </c>
      <c r="G315" s="208">
        <f t="shared" si="62"/>
        <v>34020618476.116436</v>
      </c>
      <c r="H315" s="226" t="str">
        <f t="shared" si="62"/>
        <v>OP</v>
      </c>
    </row>
    <row r="316" spans="1:8" outlineLevel="2" x14ac:dyDescent="0.2">
      <c r="A316" s="134" t="str">
        <f t="shared" si="61"/>
        <v>UTILIDAD BRUTA</v>
      </c>
      <c r="C316" s="135">
        <f t="shared" si="62"/>
        <v>472249933.82999969</v>
      </c>
      <c r="D316" s="135">
        <f t="shared" si="62"/>
        <v>2914689240.5345936</v>
      </c>
      <c r="E316" s="135">
        <f t="shared" si="62"/>
        <v>7093654498.8813114</v>
      </c>
      <c r="F316" s="135">
        <f t="shared" si="62"/>
        <v>14504126510.326035</v>
      </c>
      <c r="G316" s="135">
        <f t="shared" si="62"/>
        <v>14963647361.083401</v>
      </c>
      <c r="H316" s="226" t="str">
        <f t="shared" si="62"/>
        <v>OP</v>
      </c>
    </row>
    <row r="317" spans="1:8" outlineLevel="2" x14ac:dyDescent="0.2">
      <c r="A317" s="197" t="str">
        <f t="shared" si="61"/>
        <v>G.ADMINISTRACIÓN</v>
      </c>
      <c r="C317" s="208">
        <f t="shared" si="62"/>
        <v>30000000.000000004</v>
      </c>
      <c r="D317" s="208">
        <f t="shared" si="62"/>
        <v>51238241.442640543</v>
      </c>
      <c r="E317" s="208">
        <f t="shared" si="62"/>
        <v>119469081.88816041</v>
      </c>
      <c r="F317" s="208">
        <f t="shared" si="62"/>
        <v>139889197.79945409</v>
      </c>
      <c r="G317" s="208">
        <f t="shared" si="62"/>
        <v>158494461.10678148</v>
      </c>
      <c r="H317" s="226" t="str">
        <f t="shared" si="62"/>
        <v>OP</v>
      </c>
    </row>
    <row r="318" spans="1:8" outlineLevel="2" x14ac:dyDescent="0.2">
      <c r="A318" s="197" t="str">
        <f t="shared" si="61"/>
        <v>G.VENTAS</v>
      </c>
      <c r="C318" s="208">
        <f t="shared" si="62"/>
        <v>449767723.00499994</v>
      </c>
      <c r="D318" s="208">
        <f t="shared" si="62"/>
        <v>885649441.35719454</v>
      </c>
      <c r="E318" s="208">
        <f t="shared" si="62"/>
        <v>1693559574.8961022</v>
      </c>
      <c r="F318" s="208">
        <f t="shared" si="62"/>
        <v>2433462035.374217</v>
      </c>
      <c r="G318" s="208">
        <f t="shared" si="62"/>
        <v>2757112486.0789881</v>
      </c>
      <c r="H318" s="226" t="str">
        <f t="shared" si="62"/>
        <v>OP</v>
      </c>
    </row>
    <row r="319" spans="1:8" outlineLevel="2" x14ac:dyDescent="0.2">
      <c r="A319" s="197" t="e">
        <f t="shared" si="61"/>
        <v>#REF!</v>
      </c>
      <c r="C319" s="208" t="e">
        <f t="shared" si="62"/>
        <v>#REF!</v>
      </c>
      <c r="D319" s="208" t="e">
        <f t="shared" si="62"/>
        <v>#REF!</v>
      </c>
      <c r="E319" s="208" t="e">
        <f t="shared" si="62"/>
        <v>#REF!</v>
      </c>
      <c r="F319" s="208" t="e">
        <f t="shared" si="62"/>
        <v>#REF!</v>
      </c>
      <c r="G319" s="208" t="e">
        <f t="shared" si="62"/>
        <v>#REF!</v>
      </c>
      <c r="H319" s="226" t="str">
        <f t="shared" si="62"/>
        <v>OP</v>
      </c>
    </row>
    <row r="320" spans="1:8" outlineLevel="2" x14ac:dyDescent="0.2">
      <c r="A320" s="134" t="str">
        <f t="shared" si="61"/>
        <v>UTILIDAD OPERACIONAL</v>
      </c>
      <c r="C320" s="135">
        <f t="shared" si="62"/>
        <v>-7517789.1750002503</v>
      </c>
      <c r="D320" s="135">
        <f t="shared" si="62"/>
        <v>1977801557.7347589</v>
      </c>
      <c r="E320" s="135">
        <f t="shared" si="62"/>
        <v>5280625842.0970488</v>
      </c>
      <c r="F320" s="135">
        <f t="shared" si="62"/>
        <v>11930775277.152363</v>
      </c>
      <c r="G320" s="135">
        <f t="shared" si="62"/>
        <v>12048040413.897633</v>
      </c>
      <c r="H320" s="226" t="str">
        <f t="shared" si="62"/>
        <v>OP</v>
      </c>
    </row>
    <row r="321" spans="1:8" outlineLevel="2" x14ac:dyDescent="0.2">
      <c r="A321" s="197" t="str">
        <f t="shared" si="61"/>
        <v>IRO</v>
      </c>
      <c r="C321" s="208">
        <f t="shared" si="62"/>
        <v>-2931937.7782500978</v>
      </c>
      <c r="D321" s="208">
        <f t="shared" si="62"/>
        <v>771342607.51655602</v>
      </c>
      <c r="E321" s="208">
        <f t="shared" si="62"/>
        <v>2059444078.4178491</v>
      </c>
      <c r="F321" s="208">
        <f t="shared" si="62"/>
        <v>4653002358.0894213</v>
      </c>
      <c r="G321" s="208">
        <f t="shared" si="62"/>
        <v>4698735761.4200773</v>
      </c>
      <c r="H321" s="226" t="str">
        <f t="shared" si="62"/>
        <v>OP</v>
      </c>
    </row>
    <row r="322" spans="1:8" outlineLevel="2" x14ac:dyDescent="0.2">
      <c r="A322" s="134" t="str">
        <f t="shared" si="61"/>
        <v>UODI</v>
      </c>
      <c r="C322" s="135">
        <f t="shared" si="62"/>
        <v>-4585851.3967501521</v>
      </c>
      <c r="D322" s="135">
        <f t="shared" si="62"/>
        <v>1206458950.2182028</v>
      </c>
      <c r="E322" s="135">
        <f t="shared" si="62"/>
        <v>3221181763.6791997</v>
      </c>
      <c r="F322" s="135">
        <f t="shared" si="62"/>
        <v>7277772919.0629416</v>
      </c>
      <c r="G322" s="135">
        <f t="shared" si="62"/>
        <v>7349304652.4775553</v>
      </c>
      <c r="H322" s="226" t="str">
        <f t="shared" si="62"/>
        <v>OP</v>
      </c>
    </row>
    <row r="323" spans="1:8" outlineLevel="2" x14ac:dyDescent="0.2">
      <c r="A323" s="197" t="str">
        <f>A267</f>
        <v>INVENTARIOS</v>
      </c>
      <c r="C323" s="217">
        <f>C267</f>
        <v>98400</v>
      </c>
      <c r="D323" s="208">
        <f t="shared" ref="D323:H325" si="63">D267</f>
        <v>0</v>
      </c>
      <c r="E323" s="208">
        <f t="shared" si="63"/>
        <v>0</v>
      </c>
      <c r="F323" s="208">
        <f t="shared" si="63"/>
        <v>0</v>
      </c>
      <c r="G323" s="208">
        <f t="shared" si="63"/>
        <v>0</v>
      </c>
      <c r="H323" s="226" t="str">
        <f t="shared" si="63"/>
        <v>OP</v>
      </c>
    </row>
    <row r="324" spans="1:8" outlineLevel="2" x14ac:dyDescent="0.2">
      <c r="A324" s="197" t="str">
        <f>A268</f>
        <v>CUENTAS POR COBRAR</v>
      </c>
      <c r="C324" s="217">
        <f>C268</f>
        <v>-31215505.279999997</v>
      </c>
      <c r="D324" s="208">
        <f t="shared" si="63"/>
        <v>-109615268.35154837</v>
      </c>
      <c r="E324" s="208">
        <f t="shared" si="63"/>
        <v>-291264877.86014295</v>
      </c>
      <c r="F324" s="208">
        <f t="shared" si="63"/>
        <v>-458426163.73012394</v>
      </c>
      <c r="G324" s="208">
        <f t="shared" si="63"/>
        <v>-89062301.522181511</v>
      </c>
      <c r="H324" s="226" t="str">
        <f t="shared" si="63"/>
        <v>OP</v>
      </c>
    </row>
    <row r="325" spans="1:8" outlineLevel="2" x14ac:dyDescent="0.2">
      <c r="A325" s="197" t="str">
        <f>A269</f>
        <v>ACTIVO CORRIENTE OPERATIVO</v>
      </c>
      <c r="C325" s="217">
        <f>C269</f>
        <v>0</v>
      </c>
      <c r="D325" s="208">
        <f t="shared" si="63"/>
        <v>0</v>
      </c>
      <c r="E325" s="208">
        <f t="shared" si="63"/>
        <v>0</v>
      </c>
      <c r="F325" s="208">
        <f t="shared" si="63"/>
        <v>0</v>
      </c>
      <c r="G325" s="208">
        <f t="shared" si="63"/>
        <v>0</v>
      </c>
      <c r="H325" s="226" t="str">
        <f t="shared" si="63"/>
        <v>OP</v>
      </c>
    </row>
    <row r="326" spans="1:8" outlineLevel="2" x14ac:dyDescent="0.2">
      <c r="A326" s="197" t="str">
        <f>A278</f>
        <v>PROVEEDORES</v>
      </c>
      <c r="C326" s="208">
        <f>C278</f>
        <v>125226071.11999999</v>
      </c>
      <c r="D326" s="208">
        <f t="shared" ref="D326:H330" si="64">D278</f>
        <v>438461073.40619349</v>
      </c>
      <c r="E326" s="208">
        <f t="shared" si="64"/>
        <v>1165059511.4405718</v>
      </c>
      <c r="F326" s="208">
        <f t="shared" si="64"/>
        <v>1833704654.9204957</v>
      </c>
      <c r="G326" s="208">
        <f t="shared" si="64"/>
        <v>356249206.08872604</v>
      </c>
      <c r="H326" s="226" t="str">
        <f t="shared" si="64"/>
        <v>OP</v>
      </c>
    </row>
    <row r="327" spans="1:8" outlineLevel="2" x14ac:dyDescent="0.2">
      <c r="A327" s="197" t="str">
        <f>A279</f>
        <v>CUENTAS POR PAGAR</v>
      </c>
      <c r="C327" s="208">
        <f>C279</f>
        <v>46951501.919999994</v>
      </c>
      <c r="D327" s="208">
        <f t="shared" si="64"/>
        <v>164422902.52732259</v>
      </c>
      <c r="E327" s="208">
        <f t="shared" si="64"/>
        <v>436897316.7902143</v>
      </c>
      <c r="F327" s="208">
        <f t="shared" si="64"/>
        <v>687639245.59518576</v>
      </c>
      <c r="G327" s="208">
        <f t="shared" si="64"/>
        <v>133593452.28327227</v>
      </c>
      <c r="H327" s="226" t="str">
        <f t="shared" si="64"/>
        <v>OP</v>
      </c>
    </row>
    <row r="328" spans="1:8" outlineLevel="2" x14ac:dyDescent="0.2">
      <c r="A328" s="197" t="str">
        <f>A280</f>
        <v>IMPUESTOS POR PAGAR</v>
      </c>
      <c r="C328" s="208">
        <f>C280</f>
        <v>15650452.639999999</v>
      </c>
      <c r="D328" s="208">
        <f t="shared" si="64"/>
        <v>54807634.175774187</v>
      </c>
      <c r="E328" s="208">
        <f t="shared" si="64"/>
        <v>145632438.93007147</v>
      </c>
      <c r="F328" s="208">
        <f t="shared" si="64"/>
        <v>229213081.86506197</v>
      </c>
      <c r="G328" s="208">
        <f t="shared" si="64"/>
        <v>44531150.761090755</v>
      </c>
      <c r="H328" s="226" t="str">
        <f t="shared" si="64"/>
        <v>OP</v>
      </c>
    </row>
    <row r="329" spans="1:8" outlineLevel="2" x14ac:dyDescent="0.2">
      <c r="A329" s="197" t="str">
        <f>A281</f>
        <v>DEUDAS LABORALES</v>
      </c>
      <c r="C329" s="208">
        <f>C281</f>
        <v>31299905.279999997</v>
      </c>
      <c r="D329" s="208">
        <f t="shared" si="64"/>
        <v>109615268.35154837</v>
      </c>
      <c r="E329" s="208">
        <f t="shared" si="64"/>
        <v>291264877.86014295</v>
      </c>
      <c r="F329" s="208">
        <f t="shared" si="64"/>
        <v>458426163.73012394</v>
      </c>
      <c r="G329" s="208">
        <f t="shared" si="64"/>
        <v>89062301.522181511</v>
      </c>
      <c r="H329" s="226" t="str">
        <f t="shared" si="64"/>
        <v>OP</v>
      </c>
    </row>
    <row r="330" spans="1:8" outlineLevel="2" x14ac:dyDescent="0.2">
      <c r="A330" s="197" t="str">
        <f>A282</f>
        <v xml:space="preserve">PASIVO CORRIENTE OPERATIVO </v>
      </c>
      <c r="C330" s="208">
        <f>C282</f>
        <v>0</v>
      </c>
      <c r="D330" s="208">
        <f t="shared" si="64"/>
        <v>0</v>
      </c>
      <c r="E330" s="208">
        <f t="shared" si="64"/>
        <v>0</v>
      </c>
      <c r="F330" s="208">
        <f t="shared" si="64"/>
        <v>0</v>
      </c>
      <c r="G330" s="208">
        <f t="shared" si="64"/>
        <v>0</v>
      </c>
      <c r="H330" s="226" t="str">
        <f t="shared" si="64"/>
        <v>OP</v>
      </c>
    </row>
    <row r="331" spans="1:8" outlineLevel="2" x14ac:dyDescent="0.2">
      <c r="A331" s="197" t="str">
        <f>A272</f>
        <v>ACTIVOS FIJOS BRUTO</v>
      </c>
      <c r="C331" s="217">
        <f>C272</f>
        <v>-13110.777777777781</v>
      </c>
      <c r="D331" s="208">
        <f t="shared" ref="D331:H333" si="65">D272</f>
        <v>-5036.7971623822523</v>
      </c>
      <c r="E331" s="208">
        <f t="shared" si="65"/>
        <v>-22573.311744614388</v>
      </c>
      <c r="F331" s="208">
        <f t="shared" si="65"/>
        <v>-24604.909801629721</v>
      </c>
      <c r="G331" s="208">
        <f t="shared" si="65"/>
        <v>-26819.351683776418</v>
      </c>
      <c r="H331" s="226" t="str">
        <f t="shared" si="65"/>
        <v>OP</v>
      </c>
    </row>
    <row r="332" spans="1:8" outlineLevel="2" x14ac:dyDescent="0.2">
      <c r="A332" s="197" t="str">
        <f>A273</f>
        <v>DEPRECIACIÓN ACUMULADA</v>
      </c>
      <c r="C332" s="217">
        <f>C273</f>
        <v>1310.777777777781</v>
      </c>
      <c r="D332" s="208">
        <f t="shared" si="65"/>
        <v>503.67971623822814</v>
      </c>
      <c r="E332" s="208">
        <f t="shared" si="65"/>
        <v>2257.331174461433</v>
      </c>
      <c r="F332" s="208">
        <f t="shared" si="65"/>
        <v>2460.4909801629838</v>
      </c>
      <c r="G332" s="208">
        <f t="shared" si="65"/>
        <v>2681.9351683776476</v>
      </c>
      <c r="H332" s="226" t="str">
        <f t="shared" si="65"/>
        <v>OP</v>
      </c>
    </row>
    <row r="333" spans="1:8" outlineLevel="2" x14ac:dyDescent="0.2">
      <c r="A333" s="197" t="str">
        <f>A274</f>
        <v xml:space="preserve">ACTIVO DE LPL OPERATIVO </v>
      </c>
      <c r="C333" s="217">
        <f>C274</f>
        <v>0</v>
      </c>
      <c r="D333" s="208">
        <f t="shared" si="65"/>
        <v>0</v>
      </c>
      <c r="E333" s="208">
        <f t="shared" si="65"/>
        <v>0</v>
      </c>
      <c r="F333" s="208">
        <f t="shared" si="65"/>
        <v>0</v>
      </c>
      <c r="G333" s="208">
        <f t="shared" si="65"/>
        <v>0</v>
      </c>
      <c r="H333" s="226" t="str">
        <f t="shared" si="65"/>
        <v>OP</v>
      </c>
    </row>
    <row r="334" spans="1:8" outlineLevel="2" x14ac:dyDescent="0.2">
      <c r="A334" s="197" t="str">
        <f>A286</f>
        <v xml:space="preserve">PASIVO DE LPL OPERATIVO </v>
      </c>
      <c r="C334" s="208">
        <f>C286</f>
        <v>0</v>
      </c>
      <c r="D334" s="208">
        <f t="shared" ref="D334:H334" si="66">D286</f>
        <v>0</v>
      </c>
      <c r="E334" s="208">
        <f t="shared" si="66"/>
        <v>0</v>
      </c>
      <c r="F334" s="208">
        <f t="shared" si="66"/>
        <v>0</v>
      </c>
      <c r="G334" s="208">
        <f t="shared" si="66"/>
        <v>0</v>
      </c>
      <c r="H334" s="226" t="str">
        <f t="shared" si="66"/>
        <v>OP</v>
      </c>
    </row>
    <row r="335" spans="1:8" outlineLevel="2" x14ac:dyDescent="0.2">
      <c r="A335" s="197" t="str">
        <f>A298</f>
        <v>OTROS INGRESOS</v>
      </c>
      <c r="C335" s="217">
        <f>C298</f>
        <v>648560903.97388482</v>
      </c>
      <c r="D335" s="208">
        <f t="shared" ref="D335:H336" si="67">D298</f>
        <v>0</v>
      </c>
      <c r="E335" s="208">
        <f t="shared" si="67"/>
        <v>0</v>
      </c>
      <c r="F335" s="208">
        <f t="shared" si="67"/>
        <v>0</v>
      </c>
      <c r="G335" s="208">
        <f t="shared" si="67"/>
        <v>0</v>
      </c>
      <c r="H335" s="226" t="str">
        <f t="shared" si="67"/>
        <v>NOP</v>
      </c>
    </row>
    <row r="336" spans="1:8" outlineLevel="2" x14ac:dyDescent="0.2">
      <c r="A336" s="197" t="str">
        <f>A299</f>
        <v>OTROS EGRESOS</v>
      </c>
      <c r="C336" s="208">
        <f>C299</f>
        <v>0</v>
      </c>
      <c r="D336" s="208">
        <f t="shared" si="67"/>
        <v>0</v>
      </c>
      <c r="E336" s="208">
        <f t="shared" si="67"/>
        <v>0</v>
      </c>
      <c r="F336" s="208">
        <f t="shared" si="67"/>
        <v>0</v>
      </c>
      <c r="G336" s="208">
        <f t="shared" si="67"/>
        <v>0</v>
      </c>
      <c r="H336" s="226" t="str">
        <f t="shared" si="67"/>
        <v>NOP</v>
      </c>
    </row>
    <row r="337" spans="1:8" outlineLevel="2" x14ac:dyDescent="0.2">
      <c r="A337" s="197" t="str">
        <f>A301</f>
        <v>GASTO INTERES (INGR) S/PAS.FIN.REQ.di</v>
      </c>
      <c r="C337" s="217">
        <f t="shared" ref="C337:H337" si="68">C301</f>
        <v>0</v>
      </c>
      <c r="D337" s="208">
        <f t="shared" ca="1" si="68"/>
        <v>-2517.4332286056447</v>
      </c>
      <c r="E337" s="208">
        <f t="shared" ca="1" si="68"/>
        <v>-4405.1704466627034</v>
      </c>
      <c r="F337" s="208">
        <f t="shared" ca="1" si="68"/>
        <v>-6305.4776850998742</v>
      </c>
      <c r="G337" s="208">
        <f t="shared" ca="1" si="68"/>
        <v>-6992.241268709261</v>
      </c>
      <c r="H337" s="226" t="str">
        <f t="shared" si="68"/>
        <v>NOP</v>
      </c>
    </row>
    <row r="338" spans="1:8" outlineLevel="2" x14ac:dyDescent="0.2">
      <c r="A338" s="197" t="str">
        <f>A270</f>
        <v>OTROS ACTIVOS CORRIENTES</v>
      </c>
      <c r="C338" s="208">
        <f t="shared" ref="C338:H339" si="69">C270</f>
        <v>-62594504.559999995</v>
      </c>
      <c r="D338" s="208">
        <f t="shared" si="69"/>
        <v>-148764549.88732257</v>
      </c>
      <c r="E338" s="208">
        <f t="shared" si="69"/>
        <v>-220798891.04436871</v>
      </c>
      <c r="F338" s="208">
        <f t="shared" si="69"/>
        <v>-13114656.119216323</v>
      </c>
      <c r="G338" s="208">
        <f t="shared" si="69"/>
        <v>-44531150.761090755</v>
      </c>
      <c r="H338" s="226" t="str">
        <f t="shared" si="69"/>
        <v>NOP</v>
      </c>
    </row>
    <row r="339" spans="1:8" outlineLevel="2" x14ac:dyDescent="0.2">
      <c r="A339" s="197" t="str">
        <f>A271</f>
        <v xml:space="preserve">ACTIVO CORRIENTE NO OPERATIVO </v>
      </c>
      <c r="C339" s="208">
        <f t="shared" si="69"/>
        <v>0</v>
      </c>
      <c r="D339" s="208">
        <f t="shared" si="69"/>
        <v>0</v>
      </c>
      <c r="E339" s="208">
        <f t="shared" si="69"/>
        <v>0</v>
      </c>
      <c r="F339" s="208">
        <f t="shared" si="69"/>
        <v>0</v>
      </c>
      <c r="G339" s="208">
        <f t="shared" si="69"/>
        <v>0</v>
      </c>
      <c r="H339" s="226" t="str">
        <f t="shared" si="69"/>
        <v>NOP</v>
      </c>
    </row>
    <row r="340" spans="1:8" outlineLevel="2" x14ac:dyDescent="0.2">
      <c r="A340" s="197" t="str">
        <f>A283</f>
        <v>ACREEDORES VARIOS</v>
      </c>
      <c r="C340" s="217">
        <f>C283</f>
        <v>15650092.639999999</v>
      </c>
      <c r="D340" s="208">
        <f t="shared" ref="D340:H341" si="70">D283</f>
        <v>54807634.175774187</v>
      </c>
      <c r="E340" s="208">
        <f t="shared" si="70"/>
        <v>145632438.93007147</v>
      </c>
      <c r="F340" s="208">
        <f t="shared" si="70"/>
        <v>229213081.86506197</v>
      </c>
      <c r="G340" s="208">
        <f t="shared" si="70"/>
        <v>44531150.761090755</v>
      </c>
      <c r="H340" s="226" t="str">
        <f t="shared" si="70"/>
        <v>NOP</v>
      </c>
    </row>
    <row r="341" spans="1:8" outlineLevel="2" x14ac:dyDescent="0.2">
      <c r="A341" s="197" t="str">
        <f>A284</f>
        <v>PASIVO CORRIENTE NO OPERATIVO</v>
      </c>
      <c r="C341" s="217">
        <f>C284</f>
        <v>0</v>
      </c>
      <c r="D341" s="208">
        <f t="shared" si="70"/>
        <v>0</v>
      </c>
      <c r="E341" s="208">
        <f t="shared" si="70"/>
        <v>0</v>
      </c>
      <c r="F341" s="208">
        <f t="shared" si="70"/>
        <v>0</v>
      </c>
      <c r="G341" s="208">
        <f t="shared" si="70"/>
        <v>0</v>
      </c>
      <c r="H341" s="226" t="str">
        <f t="shared" si="70"/>
        <v>NOP</v>
      </c>
    </row>
    <row r="342" spans="1:8" outlineLevel="2" x14ac:dyDescent="0.2">
      <c r="A342" s="197" t="str">
        <f>A275</f>
        <v>OTROS ACTIVOS LPL</v>
      </c>
      <c r="C342" s="208">
        <f t="shared" ref="C342:H343" si="71">C275</f>
        <v>-5000</v>
      </c>
      <c r="D342" s="208">
        <f t="shared" si="71"/>
        <v>0</v>
      </c>
      <c r="E342" s="208">
        <f t="shared" si="71"/>
        <v>0</v>
      </c>
      <c r="F342" s="208">
        <f t="shared" si="71"/>
        <v>0</v>
      </c>
      <c r="G342" s="208">
        <f t="shared" si="71"/>
        <v>0</v>
      </c>
      <c r="H342" s="226" t="str">
        <f t="shared" si="71"/>
        <v>NOP</v>
      </c>
    </row>
    <row r="343" spans="1:8" outlineLevel="2" x14ac:dyDescent="0.2">
      <c r="A343" s="197" t="str">
        <f>A276</f>
        <v>ACTIVO DE LPL NO OPERATIVO</v>
      </c>
      <c r="C343" s="208">
        <f t="shared" si="71"/>
        <v>0</v>
      </c>
      <c r="D343" s="208">
        <f t="shared" si="71"/>
        <v>0</v>
      </c>
      <c r="E343" s="208">
        <f t="shared" si="71"/>
        <v>0</v>
      </c>
      <c r="F343" s="208">
        <f t="shared" si="71"/>
        <v>0</v>
      </c>
      <c r="G343" s="208">
        <f t="shared" si="71"/>
        <v>0</v>
      </c>
      <c r="H343" s="226" t="str">
        <f t="shared" si="71"/>
        <v>NOP</v>
      </c>
    </row>
    <row r="344" spans="1:8" outlineLevel="2" x14ac:dyDescent="0.2">
      <c r="A344" s="197" t="str">
        <f>A287</f>
        <v>OTROS PASIVOS LPL</v>
      </c>
      <c r="C344" s="217">
        <f>C287</f>
        <v>3000</v>
      </c>
      <c r="D344" s="208">
        <f t="shared" ref="D344:H345" si="72">D287</f>
        <v>0</v>
      </c>
      <c r="E344" s="208">
        <f t="shared" si="72"/>
        <v>0</v>
      </c>
      <c r="F344" s="208">
        <f t="shared" si="72"/>
        <v>0</v>
      </c>
      <c r="G344" s="208">
        <f t="shared" si="72"/>
        <v>0</v>
      </c>
      <c r="H344" s="226" t="str">
        <f t="shared" si="72"/>
        <v>NOP</v>
      </c>
    </row>
    <row r="345" spans="1:8" outlineLevel="2" x14ac:dyDescent="0.2">
      <c r="A345" s="197" t="str">
        <f>A288</f>
        <v xml:space="preserve">PASIVO DE LPL NO OPERATIVO </v>
      </c>
      <c r="C345" s="217">
        <f>C288</f>
        <v>0</v>
      </c>
      <c r="D345" s="208">
        <f t="shared" si="72"/>
        <v>0</v>
      </c>
      <c r="E345" s="208">
        <f t="shared" si="72"/>
        <v>0</v>
      </c>
      <c r="F345" s="208">
        <f t="shared" si="72"/>
        <v>0</v>
      </c>
      <c r="G345" s="208">
        <f t="shared" si="72"/>
        <v>0</v>
      </c>
      <c r="H345" s="226" t="str">
        <f t="shared" si="72"/>
        <v>NOP</v>
      </c>
    </row>
    <row r="346" spans="1:8" outlineLevel="2" x14ac:dyDescent="0.2">
      <c r="A346" s="197" t="str">
        <f>A300</f>
        <v>GASTO INTERES (INGR) S/PAS.FIN.INI.di</v>
      </c>
      <c r="C346" s="208">
        <f>C300</f>
        <v>0</v>
      </c>
      <c r="D346" s="208">
        <f t="shared" ref="D346:H346" si="73">D300</f>
        <v>0</v>
      </c>
      <c r="E346" s="208">
        <f t="shared" si="73"/>
        <v>0</v>
      </c>
      <c r="F346" s="208">
        <f t="shared" si="73"/>
        <v>0</v>
      </c>
      <c r="G346" s="208">
        <f t="shared" si="73"/>
        <v>0</v>
      </c>
      <c r="H346" s="226" t="str">
        <f t="shared" si="73"/>
        <v>FIN</v>
      </c>
    </row>
    <row r="347" spans="1:8" outlineLevel="2" x14ac:dyDescent="0.2">
      <c r="A347" s="197" t="str">
        <f>A277</f>
        <v>PASIVOS FINANCIEROS REQUERIDOS</v>
      </c>
      <c r="C347" s="217">
        <f>C277</f>
        <v>0</v>
      </c>
      <c r="D347" s="208">
        <f t="shared" ref="D347:H347" ca="1" si="74">D277</f>
        <v>0</v>
      </c>
      <c r="E347" s="208">
        <f t="shared" ca="1" si="74"/>
        <v>0</v>
      </c>
      <c r="F347" s="208">
        <f t="shared" ca="1" si="74"/>
        <v>0</v>
      </c>
      <c r="G347" s="208">
        <f t="shared" ca="1" si="74"/>
        <v>0</v>
      </c>
      <c r="H347" s="226" t="str">
        <f t="shared" si="74"/>
        <v>FIN</v>
      </c>
    </row>
    <row r="348" spans="1:8" outlineLevel="2" x14ac:dyDescent="0.2">
      <c r="A348" s="197" t="str">
        <f>A285</f>
        <v>PASIVOS FINANCIEROS LPL INICIALES</v>
      </c>
      <c r="C348" s="208">
        <f>C285</f>
        <v>0</v>
      </c>
      <c r="D348" s="208">
        <f t="shared" ref="D348:H348" si="75">D285</f>
        <v>0</v>
      </c>
      <c r="E348" s="208">
        <f t="shared" si="75"/>
        <v>0</v>
      </c>
      <c r="F348" s="208">
        <f t="shared" si="75"/>
        <v>0</v>
      </c>
      <c r="G348" s="208">
        <f t="shared" si="75"/>
        <v>0</v>
      </c>
      <c r="H348" s="226" t="str">
        <f t="shared" si="75"/>
        <v>FIN</v>
      </c>
    </row>
    <row r="349" spans="1:8" outlineLevel="2" x14ac:dyDescent="0.2">
      <c r="A349" s="197" t="str">
        <f>A302</f>
        <v>DIVIDENDOS</v>
      </c>
      <c r="C349" s="217">
        <f>C302</f>
        <v>0</v>
      </c>
      <c r="D349" s="208">
        <f t="shared" ref="D349:H349" si="76">D302</f>
        <v>0</v>
      </c>
      <c r="E349" s="208">
        <f t="shared" si="76"/>
        <v>0</v>
      </c>
      <c r="F349" s="208">
        <f t="shared" si="76"/>
        <v>0</v>
      </c>
      <c r="G349" s="208">
        <f t="shared" si="76"/>
        <v>0</v>
      </c>
      <c r="H349" s="226" t="str">
        <f t="shared" si="76"/>
        <v>FIN</v>
      </c>
    </row>
    <row r="350" spans="1:8" outlineLevel="2" x14ac:dyDescent="0.2">
      <c r="A350" s="210"/>
      <c r="C350" s="211"/>
      <c r="D350" s="211"/>
      <c r="E350" s="211"/>
      <c r="F350" s="211"/>
      <c r="G350" s="211"/>
      <c r="H350" s="191"/>
    </row>
    <row r="351" spans="1:8" outlineLevel="2" x14ac:dyDescent="0.2">
      <c r="A351" s="137" t="s">
        <v>374</v>
      </c>
      <c r="C351" s="142">
        <f>C322+SUM(C323:C334)-C335-C336-C346-C337+SUM(C338:C345)+SUM(C347:C349)-C312</f>
        <v>-1297121807.9477694</v>
      </c>
      <c r="D351" s="142">
        <f t="shared" ref="D351:G351" ca="1" si="77">D322+SUM(D323:D334)-D335-D336-D346-D337+SUM(D338:D345)+SUM(D347:D349)-D312</f>
        <v>-7.2759576141834259E-11</v>
      </c>
      <c r="E351" s="142">
        <f t="shared" ca="1" si="77"/>
        <v>1.6007106751203537E-10</v>
      </c>
      <c r="F351" s="142">
        <f t="shared" ca="1" si="77"/>
        <v>0</v>
      </c>
      <c r="G351" s="142">
        <f t="shared" ca="1" si="77"/>
        <v>-8.7311491370201111E-11</v>
      </c>
      <c r="H351" s="191"/>
    </row>
    <row r="352" spans="1:8" outlineLevel="2" x14ac:dyDescent="0.2">
      <c r="C352" s="197"/>
    </row>
    <row r="353" spans="1:10" outlineLevel="1" x14ac:dyDescent="0.2">
      <c r="C353" s="154"/>
      <c r="D353" s="155"/>
      <c r="E353" s="155"/>
      <c r="F353" s="155"/>
    </row>
    <row r="354" spans="1:10" outlineLevel="1" x14ac:dyDescent="0.2">
      <c r="A354" s="128" t="str">
        <f>A116</f>
        <v>7- ELABORAR EL FCL</v>
      </c>
      <c r="B354" s="129"/>
      <c r="C354" s="129"/>
      <c r="D354" s="129"/>
      <c r="E354" s="129"/>
      <c r="F354" s="129"/>
      <c r="G354" s="129"/>
      <c r="H354" s="129"/>
    </row>
    <row r="355" spans="1:10" outlineLevel="2" x14ac:dyDescent="0.2">
      <c r="A355" s="155"/>
      <c r="C355" s="92">
        <f>$C$3</f>
        <v>1</v>
      </c>
      <c r="D355" s="92">
        <f>$D$3</f>
        <v>2</v>
      </c>
      <c r="E355" s="92">
        <f>$E$3</f>
        <v>3</v>
      </c>
      <c r="F355" s="92">
        <f>$F$3</f>
        <v>4</v>
      </c>
      <c r="G355" s="92">
        <f>$G$3</f>
        <v>5</v>
      </c>
    </row>
    <row r="356" spans="1:10" ht="3" customHeight="1" outlineLevel="2" x14ac:dyDescent="0.2"/>
    <row r="357" spans="1:10" outlineLevel="2" x14ac:dyDescent="0.2">
      <c r="A357" s="197" t="str">
        <f t="shared" ref="A357:A365" si="78">A314</f>
        <v>VENTAS</v>
      </c>
      <c r="C357" s="208">
        <f t="shared" ref="C357:G365" si="79">C314</f>
        <v>1565835263.9999998</v>
      </c>
      <c r="D357" s="208">
        <f t="shared" si="79"/>
        <v>7046598681.5774193</v>
      </c>
      <c r="E357" s="208">
        <f t="shared" si="79"/>
        <v>21609842574.584564</v>
      </c>
      <c r="F357" s="208">
        <f t="shared" si="79"/>
        <v>44531150761.090759</v>
      </c>
      <c r="G357" s="208">
        <f t="shared" si="79"/>
        <v>48984265837.199837</v>
      </c>
    </row>
    <row r="358" spans="1:10" outlineLevel="2" x14ac:dyDescent="0.2">
      <c r="A358" s="197" t="str">
        <f t="shared" si="78"/>
        <v>CMV</v>
      </c>
      <c r="C358" s="208">
        <f t="shared" si="79"/>
        <v>1093585330.1700001</v>
      </c>
      <c r="D358" s="208">
        <f t="shared" si="79"/>
        <v>4131909441.0428257</v>
      </c>
      <c r="E358" s="208">
        <f t="shared" si="79"/>
        <v>14516188075.703253</v>
      </c>
      <c r="F358" s="208">
        <f t="shared" si="79"/>
        <v>30027024250.764725</v>
      </c>
      <c r="G358" s="208">
        <f t="shared" si="79"/>
        <v>34020618476.116436</v>
      </c>
    </row>
    <row r="359" spans="1:10" outlineLevel="2" x14ac:dyDescent="0.2">
      <c r="A359" s="134" t="str">
        <f t="shared" si="78"/>
        <v>UTILIDAD BRUTA</v>
      </c>
      <c r="C359" s="135">
        <f t="shared" si="79"/>
        <v>472249933.82999969</v>
      </c>
      <c r="D359" s="135">
        <f t="shared" si="79"/>
        <v>2914689240.5345936</v>
      </c>
      <c r="E359" s="135">
        <f t="shared" si="79"/>
        <v>7093654498.8813114</v>
      </c>
      <c r="F359" s="135">
        <f t="shared" si="79"/>
        <v>14504126510.326035</v>
      </c>
      <c r="G359" s="135">
        <f t="shared" si="79"/>
        <v>14963647361.083401</v>
      </c>
    </row>
    <row r="360" spans="1:10" outlineLevel="2" x14ac:dyDescent="0.2">
      <c r="A360" s="197" t="str">
        <f t="shared" si="78"/>
        <v>G.ADMINISTRACIÓN</v>
      </c>
      <c r="C360" s="208">
        <f t="shared" si="79"/>
        <v>30000000.000000004</v>
      </c>
      <c r="D360" s="208">
        <f t="shared" si="79"/>
        <v>51238241.442640543</v>
      </c>
      <c r="E360" s="208">
        <f t="shared" si="79"/>
        <v>119469081.88816041</v>
      </c>
      <c r="F360" s="208">
        <f t="shared" si="79"/>
        <v>139889197.79945409</v>
      </c>
      <c r="G360" s="208">
        <f t="shared" si="79"/>
        <v>158494461.10678148</v>
      </c>
    </row>
    <row r="361" spans="1:10" outlineLevel="2" x14ac:dyDescent="0.2">
      <c r="A361" s="197" t="str">
        <f t="shared" si="78"/>
        <v>G.VENTAS</v>
      </c>
      <c r="C361" s="208">
        <f t="shared" si="79"/>
        <v>449767723.00499994</v>
      </c>
      <c r="D361" s="208">
        <f t="shared" si="79"/>
        <v>885649441.35719454</v>
      </c>
      <c r="E361" s="208">
        <f t="shared" si="79"/>
        <v>1693559574.8961022</v>
      </c>
      <c r="F361" s="208">
        <f t="shared" si="79"/>
        <v>2433462035.374217</v>
      </c>
      <c r="G361" s="208">
        <f t="shared" si="79"/>
        <v>2757112486.0789881</v>
      </c>
    </row>
    <row r="362" spans="1:10" outlineLevel="2" x14ac:dyDescent="0.2">
      <c r="A362" s="197" t="e">
        <f t="shared" si="78"/>
        <v>#REF!</v>
      </c>
      <c r="C362" s="208" t="e">
        <f t="shared" si="79"/>
        <v>#REF!</v>
      </c>
      <c r="D362" s="208" t="e">
        <f t="shared" si="79"/>
        <v>#REF!</v>
      </c>
      <c r="E362" s="208" t="e">
        <f t="shared" si="79"/>
        <v>#REF!</v>
      </c>
      <c r="F362" s="208" t="e">
        <f t="shared" si="79"/>
        <v>#REF!</v>
      </c>
      <c r="G362" s="208" t="e">
        <f t="shared" si="79"/>
        <v>#REF!</v>
      </c>
    </row>
    <row r="363" spans="1:10" outlineLevel="2" x14ac:dyDescent="0.2">
      <c r="A363" s="134" t="str">
        <f t="shared" si="78"/>
        <v>UTILIDAD OPERACIONAL</v>
      </c>
      <c r="C363" s="135">
        <f t="shared" si="79"/>
        <v>-7517789.1750002503</v>
      </c>
      <c r="D363" s="135">
        <f t="shared" si="79"/>
        <v>1977801557.7347589</v>
      </c>
      <c r="E363" s="135">
        <f t="shared" si="79"/>
        <v>5280625842.0970488</v>
      </c>
      <c r="F363" s="135">
        <f t="shared" si="79"/>
        <v>11930775277.152363</v>
      </c>
      <c r="G363" s="135">
        <f t="shared" si="79"/>
        <v>12048040413.897633</v>
      </c>
    </row>
    <row r="364" spans="1:10" outlineLevel="2" x14ac:dyDescent="0.2">
      <c r="A364" s="197" t="str">
        <f t="shared" si="78"/>
        <v>IRO</v>
      </c>
      <c r="C364" s="208">
        <f t="shared" si="79"/>
        <v>-2931937.7782500978</v>
      </c>
      <c r="D364" s="208">
        <f t="shared" si="79"/>
        <v>771342607.51655602</v>
      </c>
      <c r="E364" s="208">
        <f t="shared" si="79"/>
        <v>2059444078.4178491</v>
      </c>
      <c r="F364" s="208">
        <f t="shared" si="79"/>
        <v>4653002358.0894213</v>
      </c>
      <c r="G364" s="208">
        <f t="shared" si="79"/>
        <v>4698735761.4200773</v>
      </c>
    </row>
    <row r="365" spans="1:10" outlineLevel="2" x14ac:dyDescent="0.2">
      <c r="A365" s="134" t="str">
        <f t="shared" si="78"/>
        <v>UODI</v>
      </c>
      <c r="C365" s="135">
        <f t="shared" si="79"/>
        <v>-4585851.3967501521</v>
      </c>
      <c r="D365" s="135">
        <f t="shared" si="79"/>
        <v>1206458950.2182028</v>
      </c>
      <c r="E365" s="135">
        <f t="shared" si="79"/>
        <v>3221181763.6791997</v>
      </c>
      <c r="F365" s="135">
        <f t="shared" si="79"/>
        <v>7277772919.0629416</v>
      </c>
      <c r="G365" s="135">
        <f t="shared" si="79"/>
        <v>7349304652.4775553</v>
      </c>
    </row>
    <row r="366" spans="1:10" outlineLevel="2" x14ac:dyDescent="0.2">
      <c r="A366" s="197" t="str">
        <f>A332</f>
        <v>DEPRECIACIÓN ACUMULADA</v>
      </c>
      <c r="C366" s="217">
        <f>C332</f>
        <v>1310.777777777781</v>
      </c>
      <c r="D366" s="208">
        <f>D332</f>
        <v>503.67971623822814</v>
      </c>
      <c r="E366" s="208">
        <f>E332</f>
        <v>2257.331174461433</v>
      </c>
      <c r="F366" s="208">
        <f>F332</f>
        <v>2460.4909801629838</v>
      </c>
      <c r="G366" s="208">
        <f>G332</f>
        <v>2681.9351683776476</v>
      </c>
      <c r="I366" s="193"/>
      <c r="J366" s="193"/>
    </row>
    <row r="367" spans="1:10" outlineLevel="2" x14ac:dyDescent="0.2">
      <c r="A367" s="134" t="s">
        <v>379</v>
      </c>
      <c r="C367" s="134">
        <f>C365+C366</f>
        <v>-4584540.6189723741</v>
      </c>
      <c r="D367" s="135">
        <f t="shared" ref="D367:G367" si="80">D365+D366</f>
        <v>1206459453.8979192</v>
      </c>
      <c r="E367" s="135">
        <f t="shared" si="80"/>
        <v>3221184021.0103741</v>
      </c>
      <c r="F367" s="135">
        <f t="shared" si="80"/>
        <v>7277775379.5539217</v>
      </c>
      <c r="G367" s="135">
        <f t="shared" si="80"/>
        <v>7349307334.4127235</v>
      </c>
    </row>
    <row r="368" spans="1:10" outlineLevel="2" x14ac:dyDescent="0.2">
      <c r="A368" s="197" t="str">
        <f t="shared" ref="A368:A375" si="81">A323</f>
        <v>INVENTARIOS</v>
      </c>
      <c r="C368" s="208">
        <f t="shared" ref="C368:G375" si="82">C323</f>
        <v>98400</v>
      </c>
      <c r="D368" s="208">
        <f t="shared" si="82"/>
        <v>0</v>
      </c>
      <c r="E368" s="208">
        <f t="shared" si="82"/>
        <v>0</v>
      </c>
      <c r="F368" s="208">
        <f t="shared" si="82"/>
        <v>0</v>
      </c>
      <c r="G368" s="208">
        <f t="shared" si="82"/>
        <v>0</v>
      </c>
    </row>
    <row r="369" spans="1:7" outlineLevel="2" x14ac:dyDescent="0.2">
      <c r="A369" s="197" t="str">
        <f t="shared" si="81"/>
        <v>CUENTAS POR COBRAR</v>
      </c>
      <c r="C369" s="208">
        <f t="shared" si="82"/>
        <v>-31215505.279999997</v>
      </c>
      <c r="D369" s="208">
        <f t="shared" si="82"/>
        <v>-109615268.35154837</v>
      </c>
      <c r="E369" s="208">
        <f t="shared" si="82"/>
        <v>-291264877.86014295</v>
      </c>
      <c r="F369" s="208">
        <f t="shared" si="82"/>
        <v>-458426163.73012394</v>
      </c>
      <c r="G369" s="208">
        <f t="shared" si="82"/>
        <v>-89062301.522181511</v>
      </c>
    </row>
    <row r="370" spans="1:7" outlineLevel="2" x14ac:dyDescent="0.2">
      <c r="A370" s="197" t="str">
        <f t="shared" si="81"/>
        <v>ACTIVO CORRIENTE OPERATIVO</v>
      </c>
      <c r="C370" s="208">
        <f t="shared" si="82"/>
        <v>0</v>
      </c>
      <c r="D370" s="208">
        <f t="shared" si="82"/>
        <v>0</v>
      </c>
      <c r="E370" s="208">
        <f t="shared" si="82"/>
        <v>0</v>
      </c>
      <c r="F370" s="208">
        <f t="shared" si="82"/>
        <v>0</v>
      </c>
      <c r="G370" s="208">
        <f t="shared" si="82"/>
        <v>0</v>
      </c>
    </row>
    <row r="371" spans="1:7" outlineLevel="2" x14ac:dyDescent="0.2">
      <c r="A371" s="197" t="str">
        <f t="shared" si="81"/>
        <v>PROVEEDORES</v>
      </c>
      <c r="C371" s="208">
        <f t="shared" si="82"/>
        <v>125226071.11999999</v>
      </c>
      <c r="D371" s="208">
        <f t="shared" si="82"/>
        <v>438461073.40619349</v>
      </c>
      <c r="E371" s="208">
        <f t="shared" si="82"/>
        <v>1165059511.4405718</v>
      </c>
      <c r="F371" s="208">
        <f t="shared" si="82"/>
        <v>1833704654.9204957</v>
      </c>
      <c r="G371" s="208">
        <f t="shared" si="82"/>
        <v>356249206.08872604</v>
      </c>
    </row>
    <row r="372" spans="1:7" outlineLevel="2" x14ac:dyDescent="0.2">
      <c r="A372" s="197" t="str">
        <f t="shared" si="81"/>
        <v>CUENTAS POR PAGAR</v>
      </c>
      <c r="C372" s="208">
        <f t="shared" si="82"/>
        <v>46951501.919999994</v>
      </c>
      <c r="D372" s="208">
        <f t="shared" si="82"/>
        <v>164422902.52732259</v>
      </c>
      <c r="E372" s="208">
        <f t="shared" si="82"/>
        <v>436897316.7902143</v>
      </c>
      <c r="F372" s="208">
        <f t="shared" si="82"/>
        <v>687639245.59518576</v>
      </c>
      <c r="G372" s="208">
        <f t="shared" si="82"/>
        <v>133593452.28327227</v>
      </c>
    </row>
    <row r="373" spans="1:7" outlineLevel="2" x14ac:dyDescent="0.2">
      <c r="A373" s="197" t="str">
        <f t="shared" si="81"/>
        <v>IMPUESTOS POR PAGAR</v>
      </c>
      <c r="C373" s="208">
        <f t="shared" si="82"/>
        <v>15650452.639999999</v>
      </c>
      <c r="D373" s="208">
        <f t="shared" si="82"/>
        <v>54807634.175774187</v>
      </c>
      <c r="E373" s="208">
        <f t="shared" si="82"/>
        <v>145632438.93007147</v>
      </c>
      <c r="F373" s="208">
        <f t="shared" si="82"/>
        <v>229213081.86506197</v>
      </c>
      <c r="G373" s="208">
        <f t="shared" si="82"/>
        <v>44531150.761090755</v>
      </c>
    </row>
    <row r="374" spans="1:7" outlineLevel="2" x14ac:dyDescent="0.2">
      <c r="A374" s="197" t="str">
        <f t="shared" si="81"/>
        <v>DEUDAS LABORALES</v>
      </c>
      <c r="C374" s="208">
        <f t="shared" si="82"/>
        <v>31299905.279999997</v>
      </c>
      <c r="D374" s="208">
        <f t="shared" si="82"/>
        <v>109615268.35154837</v>
      </c>
      <c r="E374" s="208">
        <f t="shared" si="82"/>
        <v>291264877.86014295</v>
      </c>
      <c r="F374" s="208">
        <f t="shared" si="82"/>
        <v>458426163.73012394</v>
      </c>
      <c r="G374" s="208">
        <f t="shared" si="82"/>
        <v>89062301.522181511</v>
      </c>
    </row>
    <row r="375" spans="1:7" outlineLevel="2" x14ac:dyDescent="0.2">
      <c r="A375" s="197" t="str">
        <f t="shared" si="81"/>
        <v xml:space="preserve">PASIVO CORRIENTE OPERATIVO </v>
      </c>
      <c r="C375" s="208">
        <f t="shared" si="82"/>
        <v>0</v>
      </c>
      <c r="D375" s="208">
        <f t="shared" si="82"/>
        <v>0</v>
      </c>
      <c r="E375" s="208">
        <f t="shared" si="82"/>
        <v>0</v>
      </c>
      <c r="F375" s="208">
        <f t="shared" si="82"/>
        <v>0</v>
      </c>
      <c r="G375" s="208">
        <f t="shared" si="82"/>
        <v>0</v>
      </c>
    </row>
    <row r="376" spans="1:7" outlineLevel="2" x14ac:dyDescent="0.2">
      <c r="A376" s="134" t="s">
        <v>380</v>
      </c>
      <c r="C376" s="134">
        <f>SUM(C368:C375)</f>
        <v>188010825.67999998</v>
      </c>
      <c r="D376" s="135">
        <f t="shared" ref="D376:G376" si="83">SUM(D368:D375)</f>
        <v>657691610.10929036</v>
      </c>
      <c r="E376" s="135">
        <f t="shared" si="83"/>
        <v>1747589267.1608574</v>
      </c>
      <c r="F376" s="135">
        <f t="shared" si="83"/>
        <v>2750556982.3807435</v>
      </c>
      <c r="G376" s="135">
        <f t="shared" si="83"/>
        <v>534373809.13308907</v>
      </c>
    </row>
    <row r="377" spans="1:7" outlineLevel="2" x14ac:dyDescent="0.2">
      <c r="A377" s="134" t="s">
        <v>381</v>
      </c>
      <c r="C377" s="134">
        <f>C367+C376</f>
        <v>183426285.06102762</v>
      </c>
      <c r="D377" s="135">
        <f>D367+D376</f>
        <v>1864151064.0072095</v>
      </c>
      <c r="E377" s="135">
        <f>E367+E376</f>
        <v>4968773288.1712313</v>
      </c>
      <c r="F377" s="135">
        <f>F367+F376</f>
        <v>10028332361.934666</v>
      </c>
      <c r="G377" s="135">
        <f>G367+G376</f>
        <v>7883681143.5458126</v>
      </c>
    </row>
    <row r="378" spans="1:7" outlineLevel="2" x14ac:dyDescent="0.2">
      <c r="A378" s="197" t="str">
        <f>A331</f>
        <v>ACTIVOS FIJOS BRUTO</v>
      </c>
      <c r="C378" s="217">
        <f>C331</f>
        <v>-13110.777777777781</v>
      </c>
      <c r="D378" s="208">
        <f>D331</f>
        <v>-5036.7971623822523</v>
      </c>
      <c r="E378" s="208">
        <f>E331</f>
        <v>-22573.311744614388</v>
      </c>
      <c r="F378" s="208">
        <f>F331</f>
        <v>-24604.909801629721</v>
      </c>
      <c r="G378" s="208">
        <f>G331</f>
        <v>-26819.351683776418</v>
      </c>
    </row>
    <row r="379" spans="1:7" outlineLevel="2" x14ac:dyDescent="0.2">
      <c r="A379" s="197" t="str">
        <f>A333</f>
        <v xml:space="preserve">ACTIVO DE LPL OPERATIVO </v>
      </c>
      <c r="C379" s="208">
        <f>C333</f>
        <v>0</v>
      </c>
      <c r="D379" s="208">
        <f t="shared" ref="D379:G380" si="84">D333</f>
        <v>0</v>
      </c>
      <c r="E379" s="208">
        <f t="shared" si="84"/>
        <v>0</v>
      </c>
      <c r="F379" s="208">
        <f t="shared" si="84"/>
        <v>0</v>
      </c>
      <c r="G379" s="208">
        <f t="shared" si="84"/>
        <v>0</v>
      </c>
    </row>
    <row r="380" spans="1:7" outlineLevel="2" x14ac:dyDescent="0.2">
      <c r="A380" s="197" t="str">
        <f>A334</f>
        <v xml:space="preserve">PASIVO DE LPL OPERATIVO </v>
      </c>
      <c r="C380" s="208">
        <f>C334</f>
        <v>0</v>
      </c>
      <c r="D380" s="208">
        <f t="shared" si="84"/>
        <v>0</v>
      </c>
      <c r="E380" s="208">
        <f t="shared" si="84"/>
        <v>0</v>
      </c>
      <c r="F380" s="208">
        <f t="shared" si="84"/>
        <v>0</v>
      </c>
      <c r="G380" s="208">
        <f t="shared" si="84"/>
        <v>0</v>
      </c>
    </row>
    <row r="381" spans="1:7" outlineLevel="2" x14ac:dyDescent="0.2">
      <c r="A381" s="134" t="s">
        <v>382</v>
      </c>
      <c r="C381" s="134">
        <f>SUM(C378:C380)</f>
        <v>-13110.777777777781</v>
      </c>
      <c r="D381" s="135">
        <f t="shared" ref="D381:G381" si="85">SUM(D378:D380)</f>
        <v>-5036.7971623822523</v>
      </c>
      <c r="E381" s="135">
        <f t="shared" si="85"/>
        <v>-22573.311744614388</v>
      </c>
      <c r="F381" s="135">
        <f t="shared" si="85"/>
        <v>-24604.909801629721</v>
      </c>
      <c r="G381" s="135">
        <f t="shared" si="85"/>
        <v>-26819.351683776418</v>
      </c>
    </row>
    <row r="382" spans="1:7" outlineLevel="2" x14ac:dyDescent="0.2">
      <c r="A382" s="134" t="s">
        <v>383</v>
      </c>
      <c r="C382" s="134">
        <f>C376+C381</f>
        <v>187997714.90222219</v>
      </c>
      <c r="D382" s="135">
        <f>D376+D381</f>
        <v>657686573.31212795</v>
      </c>
      <c r="E382" s="135">
        <f>E376+E381</f>
        <v>1747566693.8491127</v>
      </c>
      <c r="F382" s="135">
        <f>F376+F381</f>
        <v>2750532377.470942</v>
      </c>
      <c r="G382" s="135">
        <f>G376+G381</f>
        <v>534346989.78140527</v>
      </c>
    </row>
    <row r="383" spans="1:7" outlineLevel="2" x14ac:dyDescent="0.2">
      <c r="A383" s="134" t="s">
        <v>384</v>
      </c>
      <c r="C383" s="134">
        <f>C367+C382</f>
        <v>183413174.28324983</v>
      </c>
      <c r="D383" s="135">
        <f>D367+D382</f>
        <v>1864146027.2100472</v>
      </c>
      <c r="E383" s="135">
        <f>E367+E382</f>
        <v>4968750714.8594866</v>
      </c>
      <c r="F383" s="135">
        <f>F367+F382</f>
        <v>10028307757.024864</v>
      </c>
      <c r="G383" s="135">
        <f>G367+G382</f>
        <v>7883654324.194129</v>
      </c>
    </row>
    <row r="384" spans="1:7" outlineLevel="2" x14ac:dyDescent="0.2">
      <c r="A384" s="197" t="str">
        <f t="shared" ref="A384:A385" si="86">A335</f>
        <v>OTROS INGRESOS</v>
      </c>
      <c r="C384" s="197">
        <f>-C335</f>
        <v>-648560903.97388482</v>
      </c>
      <c r="D384" s="208">
        <f t="shared" ref="D384:G385" si="87">-D335</f>
        <v>0</v>
      </c>
      <c r="E384" s="208">
        <f t="shared" si="87"/>
        <v>0</v>
      </c>
      <c r="F384" s="208">
        <f t="shared" si="87"/>
        <v>0</v>
      </c>
      <c r="G384" s="208">
        <f t="shared" si="87"/>
        <v>0</v>
      </c>
    </row>
    <row r="385" spans="1:7" outlineLevel="2" x14ac:dyDescent="0.2">
      <c r="A385" s="197" t="str">
        <f t="shared" si="86"/>
        <v>OTROS EGRESOS</v>
      </c>
      <c r="C385" s="197">
        <f>-C336</f>
        <v>0</v>
      </c>
      <c r="D385" s="208">
        <f t="shared" si="87"/>
        <v>0</v>
      </c>
      <c r="E385" s="208">
        <f t="shared" si="87"/>
        <v>0</v>
      </c>
      <c r="F385" s="208">
        <f t="shared" si="87"/>
        <v>0</v>
      </c>
      <c r="G385" s="208">
        <f t="shared" si="87"/>
        <v>0</v>
      </c>
    </row>
    <row r="386" spans="1:7" outlineLevel="2" x14ac:dyDescent="0.2">
      <c r="A386" s="197" t="str">
        <f>A337</f>
        <v>GASTO INTERES (INGR) S/PAS.FIN.REQ.di</v>
      </c>
      <c r="C386" s="197">
        <f>IF(C337&lt;0,-C337,0)</f>
        <v>0</v>
      </c>
      <c r="D386" s="208">
        <f t="shared" ref="D386:G386" ca="1" si="88">IF(D337&lt;0,-D337,0)</f>
        <v>2517.4332286056447</v>
      </c>
      <c r="E386" s="208">
        <f t="shared" ca="1" si="88"/>
        <v>4405.1704466627034</v>
      </c>
      <c r="F386" s="208">
        <f t="shared" ca="1" si="88"/>
        <v>6305.4776850998742</v>
      </c>
      <c r="G386" s="208">
        <f t="shared" ca="1" si="88"/>
        <v>6992.241268709261</v>
      </c>
    </row>
    <row r="387" spans="1:7" outlineLevel="2" x14ac:dyDescent="0.2">
      <c r="A387" s="134" t="s">
        <v>385</v>
      </c>
      <c r="C387" s="134">
        <f>SUM(C384:C386)</f>
        <v>-648560903.97388482</v>
      </c>
      <c r="D387" s="135">
        <f t="shared" ref="D387:G387" ca="1" si="89">SUM(D384:D386)</f>
        <v>2517.4332286056447</v>
      </c>
      <c r="E387" s="135">
        <f t="shared" ca="1" si="89"/>
        <v>4405.1704466627034</v>
      </c>
      <c r="F387" s="135">
        <f t="shared" ca="1" si="89"/>
        <v>6305.4776850998742</v>
      </c>
      <c r="G387" s="135">
        <f t="shared" ca="1" si="89"/>
        <v>6992.241268709261</v>
      </c>
    </row>
    <row r="388" spans="1:7" outlineLevel="2" x14ac:dyDescent="0.2">
      <c r="A388" s="197" t="str">
        <f t="shared" ref="A388:A395" si="90">A338</f>
        <v>OTROS ACTIVOS CORRIENTES</v>
      </c>
      <c r="C388" s="208">
        <f>C338</f>
        <v>-62594504.559999995</v>
      </c>
      <c r="D388" s="208">
        <f>D338</f>
        <v>-148764549.88732257</v>
      </c>
      <c r="E388" s="208">
        <f>E338</f>
        <v>-220798891.04436871</v>
      </c>
      <c r="F388" s="208">
        <f>F338</f>
        <v>-13114656.119216323</v>
      </c>
      <c r="G388" s="208">
        <f>G338</f>
        <v>-44531150.761090755</v>
      </c>
    </row>
    <row r="389" spans="1:7" outlineLevel="2" x14ac:dyDescent="0.2">
      <c r="A389" s="197" t="str">
        <f t="shared" si="90"/>
        <v xml:space="preserve">ACTIVO CORRIENTE NO OPERATIVO </v>
      </c>
      <c r="C389" s="208">
        <f t="shared" ref="C389:G395" si="91">C339</f>
        <v>0</v>
      </c>
      <c r="D389" s="208">
        <f t="shared" si="91"/>
        <v>0</v>
      </c>
      <c r="E389" s="208">
        <f t="shared" si="91"/>
        <v>0</v>
      </c>
      <c r="F389" s="208">
        <f t="shared" si="91"/>
        <v>0</v>
      </c>
      <c r="G389" s="208">
        <f t="shared" si="91"/>
        <v>0</v>
      </c>
    </row>
    <row r="390" spans="1:7" outlineLevel="2" x14ac:dyDescent="0.2">
      <c r="A390" s="197" t="str">
        <f t="shared" si="90"/>
        <v>ACREEDORES VARIOS</v>
      </c>
      <c r="C390" s="208">
        <f t="shared" si="91"/>
        <v>15650092.639999999</v>
      </c>
      <c r="D390" s="208">
        <f>D340</f>
        <v>54807634.175774187</v>
      </c>
      <c r="E390" s="208">
        <f>E340</f>
        <v>145632438.93007147</v>
      </c>
      <c r="F390" s="208">
        <f>F340</f>
        <v>229213081.86506197</v>
      </c>
      <c r="G390" s="208">
        <f>G340</f>
        <v>44531150.761090755</v>
      </c>
    </row>
    <row r="391" spans="1:7" outlineLevel="2" x14ac:dyDescent="0.2">
      <c r="A391" s="197" t="str">
        <f t="shared" si="90"/>
        <v>PASIVO CORRIENTE NO OPERATIVO</v>
      </c>
      <c r="C391" s="208">
        <f t="shared" si="91"/>
        <v>0</v>
      </c>
      <c r="D391" s="208">
        <f t="shared" si="91"/>
        <v>0</v>
      </c>
      <c r="E391" s="208">
        <f t="shared" si="91"/>
        <v>0</v>
      </c>
      <c r="F391" s="208">
        <f t="shared" si="91"/>
        <v>0</v>
      </c>
      <c r="G391" s="208">
        <f t="shared" si="91"/>
        <v>0</v>
      </c>
    </row>
    <row r="392" spans="1:7" outlineLevel="2" x14ac:dyDescent="0.2">
      <c r="A392" s="197" t="str">
        <f t="shared" si="90"/>
        <v>OTROS ACTIVOS LPL</v>
      </c>
      <c r="C392" s="208">
        <f t="shared" si="91"/>
        <v>-5000</v>
      </c>
      <c r="D392" s="208">
        <f>D342</f>
        <v>0</v>
      </c>
      <c r="E392" s="208">
        <f>E342</f>
        <v>0</v>
      </c>
      <c r="F392" s="208">
        <f>F342</f>
        <v>0</v>
      </c>
      <c r="G392" s="208">
        <f>G342</f>
        <v>0</v>
      </c>
    </row>
    <row r="393" spans="1:7" outlineLevel="2" x14ac:dyDescent="0.2">
      <c r="A393" s="197" t="str">
        <f t="shared" si="90"/>
        <v>ACTIVO DE LPL NO OPERATIVO</v>
      </c>
      <c r="C393" s="208">
        <f t="shared" si="91"/>
        <v>0</v>
      </c>
      <c r="D393" s="208">
        <f t="shared" si="91"/>
        <v>0</v>
      </c>
      <c r="E393" s="208">
        <f t="shared" si="91"/>
        <v>0</v>
      </c>
      <c r="F393" s="208">
        <f t="shared" si="91"/>
        <v>0</v>
      </c>
      <c r="G393" s="208">
        <f t="shared" si="91"/>
        <v>0</v>
      </c>
    </row>
    <row r="394" spans="1:7" outlineLevel="2" x14ac:dyDescent="0.2">
      <c r="A394" s="197" t="str">
        <f t="shared" si="90"/>
        <v>OTROS PASIVOS LPL</v>
      </c>
      <c r="C394" s="208">
        <f t="shared" si="91"/>
        <v>3000</v>
      </c>
      <c r="D394" s="208">
        <f>D344</f>
        <v>0</v>
      </c>
      <c r="E394" s="208">
        <f>E344</f>
        <v>0</v>
      </c>
      <c r="F394" s="208">
        <f>F344</f>
        <v>0</v>
      </c>
      <c r="G394" s="208">
        <f>G344</f>
        <v>0</v>
      </c>
    </row>
    <row r="395" spans="1:7" outlineLevel="2" x14ac:dyDescent="0.2">
      <c r="A395" s="197" t="str">
        <f t="shared" si="90"/>
        <v xml:space="preserve">PASIVO DE LPL NO OPERATIVO </v>
      </c>
      <c r="C395" s="208">
        <f t="shared" si="91"/>
        <v>0</v>
      </c>
      <c r="D395" s="208">
        <f t="shared" si="91"/>
        <v>0</v>
      </c>
      <c r="E395" s="208">
        <f t="shared" si="91"/>
        <v>0</v>
      </c>
      <c r="F395" s="208">
        <f t="shared" si="91"/>
        <v>0</v>
      </c>
      <c r="G395" s="208">
        <f t="shared" si="91"/>
        <v>0</v>
      </c>
    </row>
    <row r="396" spans="1:7" outlineLevel="2" x14ac:dyDescent="0.2">
      <c r="A396" s="134" t="s">
        <v>386</v>
      </c>
      <c r="C396" s="134">
        <f>SUM(C388:C395)</f>
        <v>-46946411.919999994</v>
      </c>
      <c r="D396" s="134">
        <f t="shared" ref="D396:G396" si="92">SUM(D388:D395)</f>
        <v>-93956915.711548388</v>
      </c>
      <c r="E396" s="134">
        <f t="shared" si="92"/>
        <v>-75166452.114297241</v>
      </c>
      <c r="F396" s="134">
        <f t="shared" si="92"/>
        <v>216098425.74584565</v>
      </c>
      <c r="G396" s="134">
        <f t="shared" si="92"/>
        <v>0</v>
      </c>
    </row>
    <row r="397" spans="1:7" outlineLevel="2" x14ac:dyDescent="0.2">
      <c r="A397" s="134" t="s">
        <v>387</v>
      </c>
      <c r="C397" s="134">
        <f>C387+C396</f>
        <v>-695507315.89388478</v>
      </c>
      <c r="D397" s="135">
        <f t="shared" ref="D397:G397" ca="1" si="93">D387+D396</f>
        <v>8942.9748286056492</v>
      </c>
      <c r="E397" s="135">
        <f t="shared" ca="1" si="93"/>
        <v>12832.7755346627</v>
      </c>
      <c r="F397" s="135">
        <f t="shared" ca="1" si="93"/>
        <v>16816.310997099874</v>
      </c>
      <c r="G397" s="135">
        <f t="shared" ca="1" si="93"/>
        <v>6992.241268709261</v>
      </c>
    </row>
    <row r="398" spans="1:7" outlineLevel="2" x14ac:dyDescent="0.2">
      <c r="A398" s="134" t="s">
        <v>388</v>
      </c>
      <c r="C398" s="134">
        <f>C383+C397</f>
        <v>-512094141.61063492</v>
      </c>
      <c r="D398" s="135">
        <f t="shared" ref="D398:G398" ca="1" si="94">D383+D397</f>
        <v>83383.145510461618</v>
      </c>
      <c r="E398" s="135">
        <f t="shared" ca="1" si="94"/>
        <v>96783.314497629719</v>
      </c>
      <c r="F398" s="135">
        <f t="shared" ca="1" si="94"/>
        <v>120360.43692052913</v>
      </c>
      <c r="G398" s="135">
        <f t="shared" ca="1" si="94"/>
        <v>109344.50521324713</v>
      </c>
    </row>
    <row r="399" spans="1:7" outlineLevel="2" x14ac:dyDescent="0.2">
      <c r="A399" s="197" t="str">
        <f>A337</f>
        <v>GASTO INTERES (INGR) S/PAS.FIN.REQ.di</v>
      </c>
      <c r="C399" s="197">
        <f>IF(C337&lt;0,0,-C337)</f>
        <v>0</v>
      </c>
      <c r="D399" s="208">
        <f ca="1">IF(D337&lt;0,0,-D337)</f>
        <v>0</v>
      </c>
      <c r="E399" s="208">
        <f ca="1">IF(E337&lt;0,0,-E337)</f>
        <v>0</v>
      </c>
      <c r="F399" s="208">
        <f ca="1">IF(F337&lt;0,0,-F337)</f>
        <v>0</v>
      </c>
      <c r="G399" s="208">
        <f ca="1">IF(G337&lt;0,0,-G337)</f>
        <v>0</v>
      </c>
    </row>
    <row r="400" spans="1:7" outlineLevel="2" x14ac:dyDescent="0.2">
      <c r="A400" s="197" t="str">
        <f>A346</f>
        <v>GASTO INTERES (INGR) S/PAS.FIN.INI.di</v>
      </c>
      <c r="C400" s="197">
        <f>-C346</f>
        <v>0</v>
      </c>
      <c r="D400" s="208">
        <f>-D346</f>
        <v>0</v>
      </c>
      <c r="E400" s="208">
        <f>-E346</f>
        <v>0</v>
      </c>
      <c r="F400" s="208">
        <f>-F346</f>
        <v>0</v>
      </c>
      <c r="G400" s="208">
        <f>-G346</f>
        <v>0</v>
      </c>
    </row>
    <row r="401" spans="1:8" outlineLevel="2" x14ac:dyDescent="0.2">
      <c r="A401" s="197" t="str">
        <f>A347</f>
        <v>PASIVOS FINANCIEROS REQUERIDOS</v>
      </c>
      <c r="C401" s="217">
        <f t="shared" ref="C401:G402" si="95">C347</f>
        <v>0</v>
      </c>
      <c r="D401" s="208">
        <f t="shared" ca="1" si="95"/>
        <v>0</v>
      </c>
      <c r="E401" s="208">
        <f t="shared" ca="1" si="95"/>
        <v>0</v>
      </c>
      <c r="F401" s="208">
        <f t="shared" ca="1" si="95"/>
        <v>0</v>
      </c>
      <c r="G401" s="208">
        <f t="shared" ca="1" si="95"/>
        <v>0</v>
      </c>
    </row>
    <row r="402" spans="1:8" outlineLevel="2" x14ac:dyDescent="0.2">
      <c r="A402" s="197" t="str">
        <f>A348</f>
        <v>PASIVOS FINANCIEROS LPL INICIALES</v>
      </c>
      <c r="C402" s="217">
        <f t="shared" si="95"/>
        <v>0</v>
      </c>
      <c r="D402" s="208">
        <f t="shared" si="95"/>
        <v>0</v>
      </c>
      <c r="E402" s="208">
        <f t="shared" si="95"/>
        <v>0</v>
      </c>
      <c r="F402" s="208">
        <f t="shared" si="95"/>
        <v>0</v>
      </c>
      <c r="G402" s="208">
        <f t="shared" si="95"/>
        <v>0</v>
      </c>
    </row>
    <row r="403" spans="1:8" outlineLevel="2" x14ac:dyDescent="0.2">
      <c r="A403" s="134" t="s">
        <v>389</v>
      </c>
      <c r="C403" s="204">
        <f>SUM(C399:C402)</f>
        <v>0</v>
      </c>
      <c r="D403" s="213">
        <f t="shared" ref="D403:G403" ca="1" si="96">SUM(D399:D402)</f>
        <v>-2280</v>
      </c>
      <c r="E403" s="213">
        <f t="shared" ca="1" si="96"/>
        <v>-2310</v>
      </c>
      <c r="F403" s="213">
        <f t="shared" ca="1" si="96"/>
        <v>-2310</v>
      </c>
      <c r="G403" s="213">
        <f t="shared" ca="1" si="96"/>
        <v>-2310</v>
      </c>
    </row>
    <row r="404" spans="1:8" outlineLevel="2" x14ac:dyDescent="0.2">
      <c r="A404" s="134" t="s">
        <v>390</v>
      </c>
      <c r="C404" s="134">
        <f>C398+C403</f>
        <v>-512094141.61063492</v>
      </c>
      <c r="D404" s="135">
        <f t="shared" ref="D404:G404" ca="1" si="97">D398+D403</f>
        <v>81103.145510461618</v>
      </c>
      <c r="E404" s="135">
        <f t="shared" ca="1" si="97"/>
        <v>94473.314497629719</v>
      </c>
      <c r="F404" s="135">
        <f t="shared" ca="1" si="97"/>
        <v>118050.43692052913</v>
      </c>
      <c r="G404" s="135">
        <f t="shared" ca="1" si="97"/>
        <v>107034.50521324713</v>
      </c>
    </row>
    <row r="405" spans="1:8" ht="3.75" customHeight="1" outlineLevel="2" x14ac:dyDescent="0.2">
      <c r="D405" s="219"/>
      <c r="E405" s="219"/>
      <c r="F405" s="219"/>
      <c r="G405" s="219"/>
    </row>
    <row r="406" spans="1:8" outlineLevel="2" x14ac:dyDescent="0.2">
      <c r="A406" s="197" t="str">
        <f>A349</f>
        <v>DIVIDENDOS</v>
      </c>
      <c r="C406" s="208">
        <f>C349</f>
        <v>0</v>
      </c>
      <c r="D406" s="208">
        <f>D349</f>
        <v>0</v>
      </c>
      <c r="E406" s="208">
        <f>E349</f>
        <v>0</v>
      </c>
      <c r="F406" s="208">
        <f>F349</f>
        <v>0</v>
      </c>
      <c r="G406" s="208">
        <f>G349</f>
        <v>0</v>
      </c>
    </row>
    <row r="407" spans="1:8" outlineLevel="2" x14ac:dyDescent="0.2">
      <c r="A407" s="134" t="s">
        <v>391</v>
      </c>
      <c r="C407" s="134">
        <f>C406</f>
        <v>0</v>
      </c>
      <c r="D407" s="135">
        <f t="shared" ref="D407:G407" si="98">D406</f>
        <v>0</v>
      </c>
      <c r="E407" s="135">
        <f t="shared" si="98"/>
        <v>0</v>
      </c>
      <c r="F407" s="135">
        <f t="shared" si="98"/>
        <v>0</v>
      </c>
      <c r="G407" s="135">
        <f t="shared" si="98"/>
        <v>0</v>
      </c>
    </row>
    <row r="408" spans="1:8" ht="3.75" customHeight="1" outlineLevel="2" x14ac:dyDescent="0.2">
      <c r="D408" s="219"/>
      <c r="E408" s="219"/>
      <c r="F408" s="219"/>
      <c r="G408" s="219"/>
    </row>
    <row r="409" spans="1:8" outlineLevel="2" x14ac:dyDescent="0.2">
      <c r="A409" s="133" t="s">
        <v>392</v>
      </c>
      <c r="C409" s="134">
        <f>C404+C407</f>
        <v>-512094141.61063492</v>
      </c>
      <c r="D409" s="135">
        <f t="shared" ref="D409:G409" ca="1" si="99">D404+D407</f>
        <v>59303.145510461618</v>
      </c>
      <c r="E409" s="135">
        <f t="shared" ca="1" si="99"/>
        <v>51220.539886568266</v>
      </c>
      <c r="F409" s="135">
        <f t="shared" ca="1" si="99"/>
        <v>52466.322466404832</v>
      </c>
      <c r="G409" s="135">
        <f t="shared" ca="1" si="99"/>
        <v>19621.838288185216</v>
      </c>
    </row>
    <row r="410" spans="1:8" ht="3" customHeight="1" outlineLevel="2" x14ac:dyDescent="0.2">
      <c r="A410" s="210"/>
      <c r="C410" s="211"/>
      <c r="D410" s="211"/>
      <c r="E410" s="211"/>
      <c r="F410" s="211"/>
      <c r="G410" s="211"/>
    </row>
    <row r="411" spans="1:8" outlineLevel="2" x14ac:dyDescent="0.2">
      <c r="A411" s="137" t="s">
        <v>374</v>
      </c>
      <c r="C411" s="142">
        <f>C398+C403+C407-C409</f>
        <v>0</v>
      </c>
      <c r="D411" s="142">
        <f t="shared" ref="D411:G411" ca="1" si="100">D398+D403+D407-D409</f>
        <v>0</v>
      </c>
      <c r="E411" s="142">
        <f t="shared" ca="1" si="100"/>
        <v>0</v>
      </c>
      <c r="F411" s="142">
        <f t="shared" ca="1" si="100"/>
        <v>0</v>
      </c>
      <c r="G411" s="142">
        <f t="shared" ca="1" si="100"/>
        <v>0</v>
      </c>
    </row>
    <row r="412" spans="1:8" outlineLevel="2" x14ac:dyDescent="0.2">
      <c r="A412" s="137" t="s">
        <v>374</v>
      </c>
      <c r="C412" s="142">
        <f>C312-C409</f>
        <v>1297121807.9477694</v>
      </c>
      <c r="D412" s="142">
        <f ca="1">D312-D409</f>
        <v>7.2759576141834259E-11</v>
      </c>
      <c r="E412" s="142">
        <f ca="1">E312-E409</f>
        <v>-1.6007106751203537E-10</v>
      </c>
      <c r="F412" s="142">
        <f ca="1">F312-F409</f>
        <v>0</v>
      </c>
      <c r="G412" s="142">
        <f ca="1">G312-G409</f>
        <v>8.7311491370201111E-11</v>
      </c>
    </row>
    <row r="413" spans="1:8" outlineLevel="2" x14ac:dyDescent="0.2"/>
    <row r="414" spans="1:8" outlineLevel="1" x14ac:dyDescent="0.2"/>
    <row r="416" spans="1:8" x14ac:dyDescent="0.2">
      <c r="A416" s="89" t="s">
        <v>393</v>
      </c>
      <c r="B416" s="89"/>
      <c r="C416" s="89"/>
      <c r="D416" s="89"/>
      <c r="E416" s="89"/>
      <c r="F416" s="89"/>
      <c r="G416" s="89"/>
      <c r="H416" s="89"/>
    </row>
    <row r="417" spans="1:8" outlineLevel="1" x14ac:dyDescent="0.2"/>
    <row r="418" spans="1:8" outlineLevel="1" x14ac:dyDescent="0.2">
      <c r="A418" s="128" t="s">
        <v>394</v>
      </c>
      <c r="B418" s="129"/>
      <c r="C418" s="129"/>
      <c r="D418" s="129"/>
      <c r="E418" s="129"/>
      <c r="F418" s="129"/>
      <c r="G418" s="129"/>
      <c r="H418" s="129"/>
    </row>
    <row r="419" spans="1:8" outlineLevel="2" x14ac:dyDescent="0.2"/>
    <row r="420" spans="1:8" outlineLevel="2" x14ac:dyDescent="0.2">
      <c r="A420" s="156" t="s">
        <v>395</v>
      </c>
      <c r="B420" s="227"/>
      <c r="C420" s="227"/>
      <c r="D420" s="227"/>
      <c r="E420" s="227"/>
      <c r="F420" s="227"/>
      <c r="G420" s="227"/>
      <c r="H420" s="227"/>
    </row>
    <row r="421" spans="1:8" outlineLevel="2" x14ac:dyDescent="0.2">
      <c r="A421" s="190" t="s">
        <v>396</v>
      </c>
      <c r="B421" s="157">
        <f>G6</f>
        <v>0.03</v>
      </c>
    </row>
    <row r="422" spans="1:8" outlineLevel="2" x14ac:dyDescent="0.2">
      <c r="A422" s="190" t="s">
        <v>397</v>
      </c>
      <c r="B422" s="158">
        <f>G40</f>
        <v>0.16842542221127488</v>
      </c>
    </row>
    <row r="423" spans="1:8" outlineLevel="2" x14ac:dyDescent="0.2"/>
    <row r="424" spans="1:8" outlineLevel="2" x14ac:dyDescent="0.2">
      <c r="B424" s="91">
        <f>$B$3</f>
        <v>0</v>
      </c>
      <c r="C424" s="92">
        <f>$C$3</f>
        <v>1</v>
      </c>
      <c r="D424" s="92">
        <f>$D$3</f>
        <v>2</v>
      </c>
      <c r="E424" s="92">
        <f>$E$3</f>
        <v>3</v>
      </c>
      <c r="F424" s="92">
        <f>$F$3</f>
        <v>4</v>
      </c>
      <c r="G424" s="92">
        <f>$G$3</f>
        <v>5</v>
      </c>
      <c r="H424" s="159" t="s">
        <v>398</v>
      </c>
    </row>
    <row r="425" spans="1:8" outlineLevel="2" x14ac:dyDescent="0.2">
      <c r="B425" s="160">
        <f>DATE(B424,12,31)</f>
        <v>366</v>
      </c>
      <c r="C425" s="160">
        <f>DATE((B424+1),12,31)</f>
        <v>731</v>
      </c>
      <c r="D425" s="160">
        <f t="shared" ref="D425:G425" si="101">DATE((C424+1),12,31)</f>
        <v>1096</v>
      </c>
      <c r="E425" s="160">
        <f t="shared" si="101"/>
        <v>1461</v>
      </c>
      <c r="F425" s="160">
        <f t="shared" si="101"/>
        <v>1827</v>
      </c>
      <c r="G425" s="160">
        <f t="shared" si="101"/>
        <v>2192</v>
      </c>
      <c r="H425" s="160">
        <f>G425</f>
        <v>2192</v>
      </c>
    </row>
    <row r="426" spans="1:8" outlineLevel="2" x14ac:dyDescent="0.2">
      <c r="B426" s="91"/>
      <c r="C426" s="92"/>
      <c r="D426" s="92"/>
      <c r="E426" s="92"/>
      <c r="F426" s="92"/>
      <c r="G426" s="92"/>
      <c r="H426" s="159"/>
    </row>
    <row r="427" spans="1:8" outlineLevel="2" x14ac:dyDescent="0.2">
      <c r="A427" s="190" t="s">
        <v>399</v>
      </c>
      <c r="B427" s="127">
        <v>0</v>
      </c>
      <c r="C427" s="208">
        <f>C383</f>
        <v>183413174.28324983</v>
      </c>
      <c r="D427" s="208">
        <f t="shared" ref="D427:G427" si="102">D383</f>
        <v>1864146027.2100472</v>
      </c>
      <c r="E427" s="208">
        <f t="shared" si="102"/>
        <v>4968750714.8594866</v>
      </c>
      <c r="F427" s="208">
        <f t="shared" si="102"/>
        <v>10028307757.024864</v>
      </c>
      <c r="G427" s="208">
        <f t="shared" si="102"/>
        <v>7883654324.194129</v>
      </c>
      <c r="H427" s="217">
        <f>G427*(1+B421)/(B422-B421)</f>
        <v>58660929648.64772</v>
      </c>
    </row>
    <row r="428" spans="1:8" outlineLevel="2" x14ac:dyDescent="0.2">
      <c r="A428" s="190" t="s">
        <v>400</v>
      </c>
      <c r="B428" s="127"/>
      <c r="C428" s="197"/>
      <c r="D428" s="197"/>
      <c r="E428" s="197"/>
      <c r="F428" s="197"/>
      <c r="G428" s="217">
        <f>H427</f>
        <v>58660929648.64772</v>
      </c>
      <c r="H428" s="197"/>
    </row>
    <row r="429" spans="1:8" outlineLevel="2" x14ac:dyDescent="0.2">
      <c r="A429" s="133" t="s">
        <v>401</v>
      </c>
      <c r="B429" s="135"/>
      <c r="C429" s="135">
        <f t="shared" ref="C429:F429" si="103">SUM(C427:C428)</f>
        <v>183413174.28324983</v>
      </c>
      <c r="D429" s="135">
        <f t="shared" si="103"/>
        <v>1864146027.2100472</v>
      </c>
      <c r="E429" s="135">
        <f t="shared" si="103"/>
        <v>4968750714.8594866</v>
      </c>
      <c r="F429" s="135">
        <f t="shared" si="103"/>
        <v>10028307757.024864</v>
      </c>
      <c r="G429" s="135">
        <f>SUM(G427:G428)</f>
        <v>66544583972.84185</v>
      </c>
      <c r="H429" s="197"/>
    </row>
    <row r="430" spans="1:8" outlineLevel="2" x14ac:dyDescent="0.2">
      <c r="B430" s="127"/>
      <c r="C430" s="197"/>
      <c r="D430" s="197"/>
      <c r="E430" s="197"/>
      <c r="F430" s="197"/>
      <c r="G430" s="197"/>
      <c r="H430" s="197"/>
    </row>
    <row r="431" spans="1:8" outlineLevel="2" x14ac:dyDescent="0.2">
      <c r="A431" s="190" t="s">
        <v>402</v>
      </c>
      <c r="B431" s="127">
        <v>0</v>
      </c>
      <c r="C431" s="208">
        <f>C397</f>
        <v>-695507315.89388478</v>
      </c>
      <c r="D431" s="208">
        <f t="shared" ref="D431:G431" ca="1" si="104">D397</f>
        <v>8942.9748286056492</v>
      </c>
      <c r="E431" s="208">
        <f t="shared" ca="1" si="104"/>
        <v>12832.7755346627</v>
      </c>
      <c r="F431" s="208">
        <f t="shared" ca="1" si="104"/>
        <v>16816.310997099874</v>
      </c>
      <c r="G431" s="208">
        <f t="shared" ca="1" si="104"/>
        <v>6992.241268709261</v>
      </c>
      <c r="H431" s="217">
        <f ca="1">G431*(1+B421)/(B422-B421)</f>
        <v>144040.17013541076</v>
      </c>
    </row>
    <row r="432" spans="1:8" outlineLevel="2" x14ac:dyDescent="0.2">
      <c r="A432" s="190" t="s">
        <v>403</v>
      </c>
      <c r="G432" s="217">
        <f ca="1">H431</f>
        <v>144040.17013541076</v>
      </c>
    </row>
    <row r="433" spans="1:10" outlineLevel="2" x14ac:dyDescent="0.2">
      <c r="A433" s="133" t="s">
        <v>404</v>
      </c>
      <c r="B433" s="161"/>
      <c r="C433" s="135">
        <f t="shared" ref="C433:F433" si="105">SUM(C431:C432)</f>
        <v>-695507315.89388478</v>
      </c>
      <c r="D433" s="135">
        <f t="shared" ca="1" si="105"/>
        <v>8942.9748286056492</v>
      </c>
      <c r="E433" s="135">
        <f t="shared" ca="1" si="105"/>
        <v>12832.7755346627</v>
      </c>
      <c r="F433" s="135">
        <f t="shared" ca="1" si="105"/>
        <v>16816.310997099874</v>
      </c>
      <c r="G433" s="135">
        <f ca="1">SUM(G431:G432)</f>
        <v>151032.41140412004</v>
      </c>
      <c r="H433" s="197"/>
    </row>
    <row r="434" spans="1:10" outlineLevel="2" x14ac:dyDescent="0.2">
      <c r="B434" s="127"/>
      <c r="C434" s="197"/>
      <c r="D434" s="197"/>
      <c r="E434" s="197"/>
      <c r="F434" s="197"/>
      <c r="G434" s="197"/>
      <c r="H434" s="197"/>
    </row>
    <row r="435" spans="1:10" outlineLevel="2" x14ac:dyDescent="0.2">
      <c r="A435" s="190" t="s">
        <v>405</v>
      </c>
      <c r="B435" s="208">
        <f>NPV(B422,C429:G429)</f>
        <v>40574634605.324181</v>
      </c>
      <c r="C435" s="228" t="e">
        <f ca="1">B435/$B$437</f>
        <v>#REF!</v>
      </c>
      <c r="J435" s="229"/>
    </row>
    <row r="436" spans="1:10" outlineLevel="2" x14ac:dyDescent="0.2">
      <c r="A436" s="190" t="s">
        <v>406</v>
      </c>
      <c r="B436" s="217">
        <f ca="1">NPV(B422,C433:G433)</f>
        <v>136401.08319738691</v>
      </c>
      <c r="C436" s="228">
        <f ca="1">B436/$B$437</f>
        <v>7.2690626931528168E-2</v>
      </c>
    </row>
    <row r="437" spans="1:10" outlineLevel="2" x14ac:dyDescent="0.2">
      <c r="A437" s="133" t="s">
        <v>407</v>
      </c>
      <c r="B437" s="135" t="e">
        <f ca="1">SUM(B435:B436)</f>
        <v>#REF!</v>
      </c>
      <c r="C437" s="162" t="e">
        <f ca="1">SUM(C435:C436)</f>
        <v>#REF!</v>
      </c>
    </row>
    <row r="438" spans="1:10" outlineLevel="2" x14ac:dyDescent="0.2">
      <c r="A438" s="190" t="s">
        <v>408</v>
      </c>
      <c r="B438" s="217">
        <f>B70</f>
        <v>8400</v>
      </c>
    </row>
    <row r="439" spans="1:10" outlineLevel="2" x14ac:dyDescent="0.2">
      <c r="A439" s="190" t="s">
        <v>409</v>
      </c>
      <c r="B439" s="208">
        <f>B90</f>
        <v>115840</v>
      </c>
    </row>
    <row r="440" spans="1:10" outlineLevel="2" x14ac:dyDescent="0.2">
      <c r="A440" s="203" t="s">
        <v>410</v>
      </c>
      <c r="B440" s="230" t="e">
        <f ca="1">B437+B438-B439</f>
        <v>#REF!</v>
      </c>
      <c r="C440" s="190" t="s">
        <v>411</v>
      </c>
    </row>
    <row r="441" spans="1:10" outlineLevel="2" x14ac:dyDescent="0.2">
      <c r="B441" s="197"/>
    </row>
    <row r="442" spans="1:10" outlineLevel="2" x14ac:dyDescent="0.2">
      <c r="A442" s="156" t="s">
        <v>412</v>
      </c>
      <c r="B442" s="231"/>
      <c r="C442" s="227"/>
      <c r="D442" s="227"/>
      <c r="E442" s="227"/>
      <c r="F442" s="227"/>
      <c r="G442" s="227"/>
      <c r="H442" s="227"/>
    </row>
    <row r="443" spans="1:10" outlineLevel="2" x14ac:dyDescent="0.2">
      <c r="C443" s="408" t="s">
        <v>413</v>
      </c>
      <c r="D443" s="408"/>
      <c r="E443" s="408"/>
      <c r="F443" s="408"/>
      <c r="G443" s="408"/>
    </row>
    <row r="444" spans="1:10" ht="20.25" customHeight="1" outlineLevel="2" x14ac:dyDescent="0.2">
      <c r="C444" s="409" t="s">
        <v>414</v>
      </c>
      <c r="D444" s="409"/>
      <c r="E444" s="409"/>
      <c r="F444" s="409"/>
      <c r="G444" s="409"/>
    </row>
    <row r="445" spans="1:10" outlineLevel="2" x14ac:dyDescent="0.2">
      <c r="B445" s="208" t="e">
        <f ca="1">B437</f>
        <v>#REF!</v>
      </c>
      <c r="C445" s="163">
        <v>0</v>
      </c>
      <c r="D445" s="232">
        <f>C445+1%</f>
        <v>0.01</v>
      </c>
      <c r="E445" s="232">
        <f t="shared" ref="E445:G445" si="106">D445+1%</f>
        <v>0.02</v>
      </c>
      <c r="F445" s="232">
        <f t="shared" si="106"/>
        <v>0.03</v>
      </c>
      <c r="G445" s="232">
        <f t="shared" si="106"/>
        <v>0.04</v>
      </c>
      <c r="J445" s="197"/>
    </row>
    <row r="446" spans="1:10" outlineLevel="2" x14ac:dyDescent="0.2">
      <c r="A446" s="410" t="s">
        <v>415</v>
      </c>
      <c r="B446" s="164">
        <v>7.0000000000000007E-2</v>
      </c>
      <c r="C446" s="197" t="e">
        <f t="dataTable" ref="C446:G450" dt2D="1" dtr="1" r1="B421" r2="B422" ca="1"/>
        <v>#REF!</v>
      </c>
      <c r="D446" s="197" t="e">
        <v>#REF!</v>
      </c>
      <c r="E446" s="233" t="e">
        <v>#REF!</v>
      </c>
      <c r="F446" s="233" t="e">
        <v>#REF!</v>
      </c>
      <c r="G446" s="234" t="e">
        <v>#REF!</v>
      </c>
      <c r="J446" s="165"/>
    </row>
    <row r="447" spans="1:10" outlineLevel="2" x14ac:dyDescent="0.2">
      <c r="A447" s="410"/>
      <c r="B447" s="235">
        <f>B446+1%</f>
        <v>0.08</v>
      </c>
      <c r="C447" s="197" t="e">
        <v>#REF!</v>
      </c>
      <c r="D447" s="197" t="e">
        <v>#REF!</v>
      </c>
      <c r="E447" s="233" t="e">
        <v>#REF!</v>
      </c>
      <c r="F447" s="233" t="e">
        <v>#REF!</v>
      </c>
      <c r="G447" s="197" t="e">
        <v>#REF!</v>
      </c>
      <c r="J447" s="236"/>
    </row>
    <row r="448" spans="1:10" outlineLevel="2" x14ac:dyDescent="0.2">
      <c r="A448" s="410"/>
      <c r="B448" s="235">
        <f t="shared" ref="B448:B450" si="107">B447+1%</f>
        <v>0.09</v>
      </c>
      <c r="C448" s="197" t="e">
        <v>#REF!</v>
      </c>
      <c r="D448" s="197" t="e">
        <v>#REF!</v>
      </c>
      <c r="E448" s="233" t="e">
        <v>#REF!</v>
      </c>
      <c r="F448" s="233" t="e">
        <v>#REF!</v>
      </c>
      <c r="G448" s="197" t="e">
        <v>#REF!</v>
      </c>
      <c r="J448" s="236"/>
    </row>
    <row r="449" spans="1:10" outlineLevel="2" x14ac:dyDescent="0.2">
      <c r="A449" s="410"/>
      <c r="B449" s="235">
        <f t="shared" si="107"/>
        <v>9.9999999999999992E-2</v>
      </c>
      <c r="C449" s="197" t="e">
        <v>#REF!</v>
      </c>
      <c r="D449" s="197" t="e">
        <v>#REF!</v>
      </c>
      <c r="E449" s="233" t="e">
        <v>#REF!</v>
      </c>
      <c r="F449" s="233" t="e">
        <v>#REF!</v>
      </c>
      <c r="G449" s="197" t="e">
        <v>#REF!</v>
      </c>
      <c r="J449" s="236"/>
    </row>
    <row r="450" spans="1:10" outlineLevel="2" x14ac:dyDescent="0.2">
      <c r="A450" s="410"/>
      <c r="B450" s="235">
        <f t="shared" si="107"/>
        <v>0.10999999999999999</v>
      </c>
      <c r="C450" s="234" t="e">
        <v>#REF!</v>
      </c>
      <c r="D450" s="197" t="e">
        <v>#REF!</v>
      </c>
      <c r="E450" s="197" t="e">
        <v>#REF!</v>
      </c>
      <c r="F450" s="197" t="e">
        <v>#REF!</v>
      </c>
      <c r="G450" s="197" t="e">
        <v>#REF!</v>
      </c>
    </row>
    <row r="451" spans="1:10" outlineLevel="2" x14ac:dyDescent="0.2">
      <c r="A451" s="166"/>
      <c r="B451" s="236"/>
      <c r="C451" s="197"/>
      <c r="D451" s="197"/>
      <c r="E451" s="197"/>
      <c r="F451" s="197"/>
      <c r="G451" s="197"/>
    </row>
    <row r="452" spans="1:10" outlineLevel="2" x14ac:dyDescent="0.2">
      <c r="A452" s="166"/>
      <c r="B452" s="236"/>
      <c r="C452" s="197"/>
      <c r="D452" s="197"/>
      <c r="E452" s="197"/>
      <c r="F452" s="197"/>
      <c r="G452" s="197"/>
    </row>
    <row r="453" spans="1:10" outlineLevel="2" x14ac:dyDescent="0.2">
      <c r="A453" s="156" t="s">
        <v>416</v>
      </c>
      <c r="B453" s="237"/>
      <c r="C453" s="227"/>
      <c r="D453" s="227"/>
      <c r="E453" s="227"/>
      <c r="F453" s="227"/>
      <c r="G453" s="227"/>
      <c r="H453" s="227"/>
    </row>
    <row r="454" spans="1:10" outlineLevel="2" x14ac:dyDescent="0.2">
      <c r="A454" s="93"/>
      <c r="B454" s="236"/>
    </row>
    <row r="455" spans="1:10" outlineLevel="2" x14ac:dyDescent="0.2">
      <c r="A455" s="190" t="s">
        <v>417</v>
      </c>
      <c r="B455" s="208">
        <f>XNPV($B$422,B427:$H$427,B425:$H$425)</f>
        <v>40559312134.477806</v>
      </c>
      <c r="C455" s="208">
        <f>XNPV($B$422,C427:$H$427,C425:$H$425)</f>
        <v>47390531405.326118</v>
      </c>
      <c r="D455" s="208">
        <f>XNPV($B$422,D427:$H$427,D425:$H$425)</f>
        <v>55157997050.483833</v>
      </c>
      <c r="E455" s="208">
        <f>XNPV($B$422,E427:$H$427,E425:$H$425)</f>
        <v>62269890383.133453</v>
      </c>
      <c r="F455" s="208">
        <f>XNPV($B$422,F427:$H$427,F425:$H$425)</f>
        <v>66980666639.207115</v>
      </c>
      <c r="G455" s="208">
        <f>XNPV($B$422,G427:$H$427,G425:$H$425)</f>
        <v>66544583972.84185</v>
      </c>
      <c r="H455" s="208">
        <f>XNPV($B$422,H427:$H$427,H425:$H$425)</f>
        <v>58660929648.64772</v>
      </c>
    </row>
    <row r="456" spans="1:10" outlineLevel="2" x14ac:dyDescent="0.2">
      <c r="A456" s="190" t="s">
        <v>418</v>
      </c>
      <c r="B456" s="217" t="e">
        <f ca="1">XNPV($B$422,B431:$H$431,B425:$H$425)</f>
        <v>#VALUE!</v>
      </c>
      <c r="C456" s="217">
        <f ca="1">XNPV($B$422,C431:$H$431,C425:$H$425)</f>
        <v>147289.76491926709</v>
      </c>
      <c r="D456" s="217">
        <f ca="1">XNPV($B$422,D431:$H$431,D425:$H$425)</f>
        <v>155111.57091280844</v>
      </c>
      <c r="E456" s="217">
        <f ca="1">XNPV($B$422,E431:$H$431,E425:$H$425)</f>
        <v>157862.08377093903</v>
      </c>
      <c r="F456" s="217">
        <f ca="1">XNPV($B$422,F431:$H$431,F425:$H$425)</f>
        <v>156631.65289517844</v>
      </c>
      <c r="G456" s="217">
        <f ca="1">XNPV($B$422,G431:$H$431,G425:$H$425)</f>
        <v>151032.41140412004</v>
      </c>
      <c r="H456" s="217">
        <f ca="1">XNPV($B$422,H431:$H$431,H425:$H$425)</f>
        <v>144040.17013541076</v>
      </c>
    </row>
    <row r="457" spans="1:10" outlineLevel="2" x14ac:dyDescent="0.2">
      <c r="A457" s="133" t="s">
        <v>419</v>
      </c>
      <c r="B457" s="135" t="e">
        <f ca="1">SUM(B455:B456)</f>
        <v>#REF!</v>
      </c>
      <c r="C457" s="135" t="e">
        <f t="shared" ref="C457:H457" ca="1" si="108">SUM(C455:C456)</f>
        <v>#REF!</v>
      </c>
      <c r="D457" s="135" t="e">
        <f t="shared" ca="1" si="108"/>
        <v>#REF!</v>
      </c>
      <c r="E457" s="135" t="e">
        <f t="shared" ca="1" si="108"/>
        <v>#REF!</v>
      </c>
      <c r="F457" s="135" t="e">
        <f t="shared" ca="1" si="108"/>
        <v>#REF!</v>
      </c>
      <c r="G457" s="135" t="e">
        <f t="shared" ca="1" si="108"/>
        <v>#REF!</v>
      </c>
      <c r="H457" s="135" t="e">
        <f t="shared" ca="1" si="108"/>
        <v>#REF!</v>
      </c>
      <c r="J457" s="197"/>
    </row>
    <row r="458" spans="1:10" outlineLevel="2" x14ac:dyDescent="0.2"/>
    <row r="459" spans="1:10" outlineLevel="2" x14ac:dyDescent="0.2">
      <c r="J459" s="197"/>
    </row>
    <row r="460" spans="1:10" outlineLevel="2" x14ac:dyDescent="0.2"/>
    <row r="461" spans="1:10" outlineLevel="2" x14ac:dyDescent="0.2"/>
    <row r="462" spans="1:10" outlineLevel="2" x14ac:dyDescent="0.2"/>
    <row r="463" spans="1:10" outlineLevel="2" x14ac:dyDescent="0.2"/>
    <row r="464" spans="1:10" outlineLevel="2" x14ac:dyDescent="0.2"/>
    <row r="465" spans="1:8" outlineLevel="2" x14ac:dyDescent="0.2"/>
    <row r="466" spans="1:8" outlineLevel="2" x14ac:dyDescent="0.2"/>
    <row r="467" spans="1:8" outlineLevel="2" x14ac:dyDescent="0.2"/>
    <row r="468" spans="1:8" outlineLevel="2" x14ac:dyDescent="0.2"/>
    <row r="469" spans="1:8" outlineLevel="2" x14ac:dyDescent="0.2"/>
    <row r="470" spans="1:8" outlineLevel="2" x14ac:dyDescent="0.2"/>
    <row r="471" spans="1:8" outlineLevel="2" x14ac:dyDescent="0.2"/>
    <row r="472" spans="1:8" outlineLevel="2" x14ac:dyDescent="0.2"/>
    <row r="473" spans="1:8" outlineLevel="2" x14ac:dyDescent="0.2"/>
    <row r="474" spans="1:8" outlineLevel="2" x14ac:dyDescent="0.2"/>
    <row r="475" spans="1:8" outlineLevel="2" x14ac:dyDescent="0.2"/>
    <row r="476" spans="1:8" outlineLevel="2" x14ac:dyDescent="0.2"/>
    <row r="477" spans="1:8" outlineLevel="1" x14ac:dyDescent="0.2"/>
    <row r="478" spans="1:8" outlineLevel="1" x14ac:dyDescent="0.2">
      <c r="A478" s="128" t="s">
        <v>420</v>
      </c>
      <c r="B478" s="129"/>
      <c r="C478" s="129"/>
      <c r="D478" s="129"/>
      <c r="E478" s="129"/>
      <c r="F478" s="129"/>
      <c r="G478" s="129"/>
      <c r="H478" s="129"/>
    </row>
    <row r="479" spans="1:8" outlineLevel="2" x14ac:dyDescent="0.2"/>
    <row r="480" spans="1:8" outlineLevel="2" x14ac:dyDescent="0.2">
      <c r="A480" s="190" t="s">
        <v>421</v>
      </c>
    </row>
    <row r="481" spans="1:6" outlineLevel="2" x14ac:dyDescent="0.2">
      <c r="A481" s="190" t="s">
        <v>422</v>
      </c>
      <c r="B481" s="167" t="s">
        <v>423</v>
      </c>
      <c r="C481" s="167" t="s">
        <v>424</v>
      </c>
      <c r="D481" s="167" t="s">
        <v>425</v>
      </c>
      <c r="E481" s="167" t="s">
        <v>426</v>
      </c>
      <c r="F481" s="167" t="s">
        <v>427</v>
      </c>
    </row>
    <row r="482" spans="1:6" outlineLevel="2" x14ac:dyDescent="0.2">
      <c r="A482" s="190" t="s">
        <v>428</v>
      </c>
      <c r="B482" s="168">
        <v>17.75</v>
      </c>
      <c r="C482" s="168">
        <v>21.35</v>
      </c>
      <c r="D482" s="168">
        <v>6.71</v>
      </c>
      <c r="E482" s="168">
        <v>29.1</v>
      </c>
      <c r="F482" s="168">
        <v>3.74</v>
      </c>
    </row>
    <row r="483" spans="1:6" outlineLevel="2" x14ac:dyDescent="0.2">
      <c r="A483" s="190" t="s">
        <v>429</v>
      </c>
      <c r="B483" s="168">
        <v>14.84</v>
      </c>
      <c r="C483" s="168">
        <v>16.8</v>
      </c>
      <c r="D483" s="168">
        <v>4.28</v>
      </c>
      <c r="E483" s="168">
        <v>21.58</v>
      </c>
      <c r="F483" s="168">
        <v>3.33</v>
      </c>
    </row>
    <row r="484" spans="1:6" outlineLevel="2" x14ac:dyDescent="0.2">
      <c r="A484" s="203" t="s">
        <v>430</v>
      </c>
      <c r="B484" s="238">
        <f>AVERAGE(B482:B483)</f>
        <v>16.295000000000002</v>
      </c>
      <c r="C484" s="238">
        <f t="shared" ref="C484:F484" si="109">AVERAGE(C482:C483)</f>
        <v>19.075000000000003</v>
      </c>
      <c r="D484" s="238">
        <f t="shared" si="109"/>
        <v>5.4950000000000001</v>
      </c>
      <c r="E484" s="238">
        <f t="shared" si="109"/>
        <v>25.34</v>
      </c>
      <c r="F484" s="238">
        <f t="shared" si="109"/>
        <v>3.5350000000000001</v>
      </c>
    </row>
    <row r="485" spans="1:6" outlineLevel="2" x14ac:dyDescent="0.2">
      <c r="A485" s="190" t="s">
        <v>431</v>
      </c>
    </row>
    <row r="486" spans="1:6" outlineLevel="2" x14ac:dyDescent="0.2"/>
    <row r="487" spans="1:6" outlineLevel="2" x14ac:dyDescent="0.2">
      <c r="A487" s="190" t="s">
        <v>432</v>
      </c>
      <c r="B487" s="168">
        <v>14.74</v>
      </c>
      <c r="F487" s="168">
        <v>2.0699999999999998</v>
      </c>
    </row>
    <row r="488" spans="1:6" outlineLevel="2" x14ac:dyDescent="0.2">
      <c r="A488" s="190" t="s">
        <v>433</v>
      </c>
      <c r="B488" s="168">
        <v>12.45</v>
      </c>
      <c r="F488" s="168">
        <v>2.02</v>
      </c>
    </row>
    <row r="489" spans="1:6" outlineLevel="2" x14ac:dyDescent="0.2">
      <c r="A489" s="190" t="s">
        <v>434</v>
      </c>
      <c r="B489" s="168">
        <v>22.68</v>
      </c>
      <c r="F489" s="168">
        <v>5</v>
      </c>
    </row>
    <row r="490" spans="1:6" outlineLevel="2" x14ac:dyDescent="0.2">
      <c r="A490" s="203" t="s">
        <v>435</v>
      </c>
      <c r="B490" s="238">
        <f>AVERAGE(B487:B489)</f>
        <v>16.623333333333331</v>
      </c>
      <c r="C490" s="203"/>
      <c r="D490" s="203"/>
      <c r="E490" s="203"/>
      <c r="F490" s="238">
        <f>AVERAGE(F487:F489)</f>
        <v>3.03</v>
      </c>
    </row>
    <row r="491" spans="1:6" outlineLevel="2" x14ac:dyDescent="0.2">
      <c r="A491" s="190" t="s">
        <v>436</v>
      </c>
    </row>
    <row r="492" spans="1:6" outlineLevel="2" x14ac:dyDescent="0.2"/>
    <row r="493" spans="1:6" outlineLevel="2" x14ac:dyDescent="0.2">
      <c r="A493" s="190" t="s">
        <v>437</v>
      </c>
      <c r="B493" s="169">
        <v>89784</v>
      </c>
    </row>
    <row r="494" spans="1:6" outlineLevel="2" x14ac:dyDescent="0.2">
      <c r="A494" s="190" t="s">
        <v>438</v>
      </c>
      <c r="B494" s="169">
        <v>22446</v>
      </c>
    </row>
    <row r="495" spans="1:6" outlineLevel="2" x14ac:dyDescent="0.2">
      <c r="A495" s="190" t="s">
        <v>439</v>
      </c>
      <c r="B495" s="169">
        <v>1250</v>
      </c>
    </row>
    <row r="496" spans="1:6" outlineLevel="2" x14ac:dyDescent="0.2">
      <c r="B496" s="91">
        <f>$B$3</f>
        <v>0</v>
      </c>
      <c r="C496" s="170" t="s">
        <v>440</v>
      </c>
      <c r="D496" s="93" t="s">
        <v>441</v>
      </c>
    </row>
    <row r="497" spans="1:10" outlineLevel="2" x14ac:dyDescent="0.2">
      <c r="A497" s="190" t="s">
        <v>442</v>
      </c>
      <c r="B497" s="208">
        <f>B498+B495</f>
        <v>91034</v>
      </c>
      <c r="C497" s="239">
        <f>B484*B497</f>
        <v>1483399.0300000003</v>
      </c>
      <c r="D497" s="239">
        <f>B490*B497</f>
        <v>1513288.5266666664</v>
      </c>
    </row>
    <row r="498" spans="1:10" outlineLevel="2" x14ac:dyDescent="0.2">
      <c r="A498" s="190" t="s">
        <v>443</v>
      </c>
      <c r="B498" s="217">
        <f>B53+B493</f>
        <v>89784</v>
      </c>
      <c r="C498" s="208">
        <f>C484*B498</f>
        <v>1712629.8000000003</v>
      </c>
    </row>
    <row r="499" spans="1:10" outlineLevel="2" x14ac:dyDescent="0.2">
      <c r="A499" s="190" t="s">
        <v>444</v>
      </c>
      <c r="B499" s="208">
        <f>B94+B90-B70-B494</f>
        <v>328194</v>
      </c>
      <c r="C499" s="217">
        <f>D484*B499</f>
        <v>1803426.03</v>
      </c>
      <c r="E499" s="197"/>
      <c r="H499" s="197"/>
    </row>
    <row r="500" spans="1:10" outlineLevel="2" x14ac:dyDescent="0.2">
      <c r="A500" s="190" t="s">
        <v>445</v>
      </c>
      <c r="B500" s="217">
        <f>B498*(1-B13)</f>
        <v>54768.24</v>
      </c>
      <c r="C500" s="208">
        <f>E484*B500</f>
        <v>1387827.2016</v>
      </c>
    </row>
    <row r="501" spans="1:10" outlineLevel="2" x14ac:dyDescent="0.2">
      <c r="A501" s="190" t="s">
        <v>446</v>
      </c>
      <c r="B501" s="208">
        <f>B48</f>
        <v>1</v>
      </c>
      <c r="C501" s="217">
        <f>F484*B501</f>
        <v>3.5350000000000001</v>
      </c>
      <c r="D501" s="239">
        <f>F490*B501</f>
        <v>3.03</v>
      </c>
    </row>
    <row r="502" spans="1:10" outlineLevel="2" x14ac:dyDescent="0.2">
      <c r="A502" s="171" t="s">
        <v>430</v>
      </c>
      <c r="B502" s="171"/>
      <c r="C502" s="172">
        <f>AVERAGE(C497:C501)</f>
        <v>1277457.1193200001</v>
      </c>
      <c r="D502" s="172">
        <f>AVERAGE(D497:D501)</f>
        <v>756645.7783333332</v>
      </c>
      <c r="E502" s="197"/>
    </row>
    <row r="503" spans="1:10" outlineLevel="2" x14ac:dyDescent="0.2">
      <c r="A503" s="130"/>
      <c r="B503" s="130"/>
      <c r="C503" s="173"/>
      <c r="D503" s="173"/>
      <c r="E503" s="197"/>
    </row>
    <row r="504" spans="1:10" outlineLevel="2" x14ac:dyDescent="0.2">
      <c r="A504" s="128" t="s">
        <v>447</v>
      </c>
      <c r="B504" s="129"/>
      <c r="C504" s="129"/>
      <c r="D504" s="129"/>
      <c r="E504" s="129"/>
      <c r="F504" s="129"/>
      <c r="G504" s="129"/>
      <c r="H504" s="129"/>
      <c r="I504" s="240"/>
      <c r="J504" s="241"/>
    </row>
    <row r="505" spans="1:10" outlineLevel="2" x14ac:dyDescent="0.2">
      <c r="A505" s="241"/>
      <c r="B505" s="241"/>
      <c r="C505" s="241"/>
      <c r="D505" s="242"/>
      <c r="E505" s="241"/>
      <c r="F505" s="243"/>
      <c r="G505" s="243"/>
      <c r="H505" s="243"/>
      <c r="I505" s="243"/>
      <c r="J505" s="243"/>
    </row>
    <row r="506" spans="1:10" outlineLevel="2" x14ac:dyDescent="0.2">
      <c r="A506" s="241"/>
      <c r="B506" s="241"/>
      <c r="C506" s="174" t="s">
        <v>448</v>
      </c>
      <c r="D506" s="174" t="s">
        <v>449</v>
      </c>
      <c r="E506" s="174" t="s">
        <v>450</v>
      </c>
      <c r="F506" s="174" t="s">
        <v>451</v>
      </c>
      <c r="G506" s="243"/>
      <c r="H506" s="243"/>
      <c r="I506" s="243"/>
      <c r="J506" s="243"/>
    </row>
    <row r="507" spans="1:10" outlineLevel="2" x14ac:dyDescent="0.2">
      <c r="A507" s="190" t="s">
        <v>452</v>
      </c>
      <c r="B507" s="241"/>
      <c r="C507" s="208">
        <f>MIN(C497:C501)</f>
        <v>3.5350000000000001</v>
      </c>
      <c r="D507" s="208">
        <f>MIN(C497:C501)</f>
        <v>3.5350000000000001</v>
      </c>
      <c r="E507" s="208">
        <f>MAX(C497:C501)</f>
        <v>1803426.03</v>
      </c>
      <c r="F507" s="208">
        <f>MAX(C497:C501)</f>
        <v>1803426.03</v>
      </c>
      <c r="G507" s="243"/>
      <c r="H507" s="243"/>
      <c r="I507" s="243"/>
      <c r="J507" s="243"/>
    </row>
    <row r="508" spans="1:10" outlineLevel="2" x14ac:dyDescent="0.2">
      <c r="A508" s="190" t="s">
        <v>453</v>
      </c>
      <c r="B508" s="241"/>
      <c r="C508" s="217">
        <f>MIN(D497:D501)</f>
        <v>3.03</v>
      </c>
      <c r="D508" s="217">
        <f>MIN(D497:D501)</f>
        <v>3.03</v>
      </c>
      <c r="E508" s="217">
        <f>MAX(D497:D501)</f>
        <v>1513288.5266666664</v>
      </c>
      <c r="F508" s="208">
        <f>MAX(D497:D501)</f>
        <v>1513288.5266666664</v>
      </c>
      <c r="G508" s="241"/>
      <c r="H508" s="241"/>
      <c r="I508" s="243"/>
      <c r="J508" s="243"/>
    </row>
    <row r="509" spans="1:10" outlineLevel="2" x14ac:dyDescent="0.2">
      <c r="A509" s="190" t="s">
        <v>454</v>
      </c>
      <c r="B509" s="241"/>
      <c r="C509" s="208" t="e">
        <f>MIN(E446:F449)</f>
        <v>#REF!</v>
      </c>
      <c r="D509" s="208" t="e">
        <f>MIN(E446:F449)</f>
        <v>#REF!</v>
      </c>
      <c r="E509" s="208" t="e">
        <f>MAX(E446:F449)</f>
        <v>#REF!</v>
      </c>
      <c r="F509" s="208" t="e">
        <f>MAX(E446:F449)</f>
        <v>#REF!</v>
      </c>
      <c r="G509" s="243"/>
      <c r="H509" s="243"/>
      <c r="I509" s="243"/>
      <c r="J509" s="243"/>
    </row>
    <row r="510" spans="1:10" outlineLevel="2" x14ac:dyDescent="0.2">
      <c r="A510" s="190" t="s">
        <v>455</v>
      </c>
      <c r="B510" s="241"/>
      <c r="C510" s="217" t="e">
        <f ca="1">B437</f>
        <v>#REF!</v>
      </c>
      <c r="D510" s="217" t="e">
        <f ca="1">B437</f>
        <v>#REF!</v>
      </c>
      <c r="E510" s="217" t="e">
        <f ca="1">B437</f>
        <v>#REF!</v>
      </c>
      <c r="F510" s="208" t="e">
        <f ca="1">B437</f>
        <v>#REF!</v>
      </c>
      <c r="G510" s="243"/>
      <c r="H510" s="243"/>
      <c r="I510" s="243"/>
      <c r="J510" s="243"/>
    </row>
    <row r="511" spans="1:10" outlineLevel="2" x14ac:dyDescent="0.2">
      <c r="A511" s="241"/>
      <c r="B511" s="241"/>
      <c r="C511" s="241"/>
      <c r="D511" s="244"/>
      <c r="E511" s="241"/>
      <c r="F511" s="243"/>
      <c r="G511" s="243"/>
      <c r="H511" s="243"/>
      <c r="I511" s="243"/>
      <c r="J511" s="243"/>
    </row>
    <row r="512" spans="1:10" outlineLevel="2" x14ac:dyDescent="0.2">
      <c r="A512" s="241"/>
      <c r="B512" s="241"/>
      <c r="C512" s="241"/>
      <c r="D512" s="244"/>
      <c r="E512" s="241"/>
      <c r="F512" s="243"/>
      <c r="G512" s="243"/>
      <c r="H512" s="243"/>
      <c r="I512" s="243"/>
      <c r="J512" s="243"/>
    </row>
    <row r="513" spans="1:10" outlineLevel="2" x14ac:dyDescent="0.2">
      <c r="A513" s="241"/>
      <c r="B513" s="245"/>
      <c r="C513" s="241"/>
      <c r="D513" s="244"/>
      <c r="E513" s="241"/>
      <c r="F513" s="243"/>
      <c r="G513" s="243"/>
      <c r="H513" s="243"/>
      <c r="I513" s="243"/>
      <c r="J513" s="246"/>
    </row>
    <row r="514" spans="1:10" outlineLevel="2" x14ac:dyDescent="0.2">
      <c r="A514" s="241"/>
      <c r="B514" s="241"/>
      <c r="C514" s="241"/>
      <c r="D514" s="247"/>
      <c r="E514" s="241"/>
      <c r="F514" s="243"/>
      <c r="G514" s="243"/>
      <c r="H514" s="243"/>
      <c r="I514" s="243"/>
      <c r="J514" s="243"/>
    </row>
    <row r="515" spans="1:10" outlineLevel="2" x14ac:dyDescent="0.2">
      <c r="A515" s="241"/>
      <c r="B515" s="241"/>
      <c r="C515" s="241"/>
      <c r="D515" s="247"/>
      <c r="E515" s="241"/>
      <c r="F515" s="243"/>
      <c r="G515" s="243"/>
      <c r="H515" s="243"/>
      <c r="I515" s="243"/>
      <c r="J515" s="243"/>
    </row>
    <row r="516" spans="1:10" outlineLevel="2" x14ac:dyDescent="0.2">
      <c r="A516" s="241"/>
      <c r="B516" s="241"/>
      <c r="C516" s="241"/>
      <c r="D516" s="247"/>
      <c r="E516" s="241"/>
      <c r="F516" s="243"/>
      <c r="G516" s="243"/>
      <c r="H516" s="243"/>
      <c r="I516" s="243"/>
      <c r="J516" s="243"/>
    </row>
    <row r="517" spans="1:10" outlineLevel="2" x14ac:dyDescent="0.2">
      <c r="A517" s="241"/>
      <c r="B517" s="241"/>
      <c r="C517" s="241"/>
      <c r="D517" s="244"/>
      <c r="E517" s="241"/>
      <c r="F517" s="243"/>
      <c r="G517" s="243"/>
      <c r="H517" s="243"/>
      <c r="I517" s="243"/>
      <c r="J517" s="243"/>
    </row>
    <row r="518" spans="1:10" outlineLevel="2" x14ac:dyDescent="0.2">
      <c r="A518" s="241"/>
      <c r="B518" s="241"/>
      <c r="C518" s="241"/>
      <c r="D518" s="241"/>
      <c r="E518" s="241"/>
      <c r="F518" s="243"/>
      <c r="G518" s="243"/>
      <c r="H518" s="243"/>
      <c r="I518" s="243"/>
      <c r="J518" s="243"/>
    </row>
    <row r="519" spans="1:10" outlineLevel="2" x14ac:dyDescent="0.2">
      <c r="A519" s="241"/>
      <c r="B519" s="241"/>
      <c r="C519" s="241"/>
      <c r="D519" s="241"/>
      <c r="E519" s="241"/>
      <c r="F519" s="241"/>
      <c r="G519" s="241"/>
      <c r="H519" s="243"/>
      <c r="I519" s="243"/>
      <c r="J519" s="243"/>
    </row>
    <row r="520" spans="1:10" outlineLevel="2" x14ac:dyDescent="0.2">
      <c r="A520" s="241"/>
    </row>
    <row r="521" spans="1:10" outlineLevel="2" x14ac:dyDescent="0.2">
      <c r="A521" s="241"/>
      <c r="B521" s="241"/>
      <c r="C521" s="241"/>
      <c r="D521" s="241"/>
      <c r="E521" s="241"/>
      <c r="F521" s="241"/>
      <c r="G521" s="241"/>
      <c r="H521" s="241"/>
      <c r="I521" s="241"/>
      <c r="J521" s="241"/>
    </row>
    <row r="522" spans="1:10" outlineLevel="2" x14ac:dyDescent="0.2">
      <c r="A522" s="241"/>
      <c r="B522" s="241"/>
      <c r="C522" s="241"/>
      <c r="D522" s="241"/>
      <c r="E522" s="241"/>
      <c r="F522" s="241"/>
      <c r="G522" s="241"/>
      <c r="H522" s="241"/>
      <c r="I522" s="241"/>
      <c r="J522" s="241"/>
    </row>
    <row r="523" spans="1:10" outlineLevel="2" x14ac:dyDescent="0.2">
      <c r="A523" s="241"/>
      <c r="B523" s="241"/>
      <c r="C523" s="241"/>
      <c r="D523" s="241"/>
      <c r="E523" s="241"/>
      <c r="F523" s="241"/>
      <c r="G523" s="241"/>
      <c r="H523" s="241"/>
      <c r="I523" s="241"/>
      <c r="J523" s="241"/>
    </row>
    <row r="524" spans="1:10" outlineLevel="2" x14ac:dyDescent="0.2">
      <c r="A524" s="241"/>
      <c r="B524" s="241"/>
      <c r="C524" s="241"/>
      <c r="D524" s="241"/>
      <c r="E524" s="241"/>
      <c r="F524" s="241"/>
      <c r="G524" s="241"/>
      <c r="H524" s="241"/>
      <c r="I524" s="241"/>
      <c r="J524" s="241"/>
    </row>
    <row r="525" spans="1:10" outlineLevel="2" x14ac:dyDescent="0.2">
      <c r="A525" s="241"/>
      <c r="B525" s="241"/>
      <c r="C525" s="241"/>
      <c r="D525" s="241"/>
      <c r="E525" s="241"/>
      <c r="F525" s="241"/>
      <c r="G525" s="241"/>
      <c r="H525" s="241"/>
      <c r="I525" s="241"/>
      <c r="J525" s="241"/>
    </row>
    <row r="526" spans="1:10" outlineLevel="2" x14ac:dyDescent="0.2">
      <c r="A526" s="241"/>
      <c r="B526" s="241"/>
      <c r="C526" s="241"/>
      <c r="D526" s="241"/>
      <c r="E526" s="241"/>
      <c r="F526" s="241"/>
      <c r="G526" s="241"/>
      <c r="H526" s="241"/>
      <c r="I526" s="241"/>
      <c r="J526" s="241"/>
    </row>
    <row r="527" spans="1:10" outlineLevel="2" x14ac:dyDescent="0.2">
      <c r="A527" s="241"/>
      <c r="B527" s="241"/>
      <c r="C527" s="241"/>
      <c r="D527" s="241"/>
      <c r="E527" s="241"/>
      <c r="F527" s="241"/>
      <c r="G527" s="241"/>
      <c r="H527" s="241"/>
      <c r="I527" s="241"/>
      <c r="J527" s="241"/>
    </row>
    <row r="528" spans="1:10" outlineLevel="2" x14ac:dyDescent="0.2">
      <c r="A528" s="241"/>
      <c r="B528" s="241"/>
      <c r="C528" s="241"/>
      <c r="D528" s="241"/>
      <c r="E528" s="241"/>
      <c r="F528" s="241"/>
      <c r="G528" s="241"/>
      <c r="H528" s="241"/>
      <c r="I528" s="241"/>
      <c r="J528" s="241"/>
    </row>
    <row r="529" spans="1:10" outlineLevel="2" x14ac:dyDescent="0.2">
      <c r="A529" s="241"/>
      <c r="B529" s="241"/>
      <c r="C529" s="241"/>
      <c r="D529" s="241"/>
      <c r="E529" s="241"/>
      <c r="F529" s="241"/>
      <c r="G529" s="241"/>
      <c r="H529" s="241"/>
      <c r="I529" s="241"/>
      <c r="J529" s="241"/>
    </row>
    <row r="530" spans="1:10" outlineLevel="2" x14ac:dyDescent="0.2">
      <c r="A530" s="241"/>
      <c r="B530" s="241"/>
      <c r="C530" s="241"/>
      <c r="D530" s="241"/>
      <c r="E530" s="241"/>
      <c r="F530" s="241"/>
      <c r="G530" s="241"/>
      <c r="H530" s="241"/>
      <c r="I530" s="241"/>
      <c r="J530" s="241"/>
    </row>
    <row r="531" spans="1:10" outlineLevel="2" x14ac:dyDescent="0.2">
      <c r="A531" s="241"/>
      <c r="B531" s="241"/>
      <c r="C531" s="241"/>
      <c r="D531" s="241"/>
      <c r="E531" s="241"/>
      <c r="F531" s="241"/>
      <c r="G531" s="241"/>
      <c r="H531" s="241"/>
      <c r="I531" s="241"/>
      <c r="J531" s="241"/>
    </row>
    <row r="532" spans="1:10" outlineLevel="2" x14ac:dyDescent="0.2">
      <c r="A532" s="130"/>
      <c r="B532" s="130"/>
      <c r="C532" s="173"/>
      <c r="D532" s="173"/>
      <c r="E532" s="197"/>
    </row>
    <row r="533" spans="1:10" outlineLevel="1" x14ac:dyDescent="0.2"/>
    <row r="534" spans="1:10" outlineLevel="1" x14ac:dyDescent="0.2">
      <c r="A534" s="128" t="s">
        <v>456</v>
      </c>
      <c r="B534" s="129"/>
      <c r="C534" s="129"/>
      <c r="D534" s="129"/>
      <c r="E534" s="129"/>
      <c r="F534" s="129"/>
      <c r="G534" s="129"/>
      <c r="H534" s="129"/>
    </row>
    <row r="535" spans="1:10" outlineLevel="2" x14ac:dyDescent="0.2"/>
    <row r="536" spans="1:10" outlineLevel="2" x14ac:dyDescent="0.2">
      <c r="B536" s="91">
        <f>$B$3</f>
        <v>0</v>
      </c>
      <c r="C536" s="92">
        <f>$C$3</f>
        <v>1</v>
      </c>
      <c r="D536" s="92">
        <f>$D$3</f>
        <v>2</v>
      </c>
      <c r="E536" s="92">
        <f>$E$3</f>
        <v>3</v>
      </c>
      <c r="F536" s="92">
        <f>$F$3</f>
        <v>4</v>
      </c>
      <c r="G536" s="92">
        <f>$G$3</f>
        <v>5</v>
      </c>
      <c r="H536" s="159" t="s">
        <v>398</v>
      </c>
    </row>
    <row r="537" spans="1:10" outlineLevel="2" x14ac:dyDescent="0.2">
      <c r="B537" s="248"/>
      <c r="C537" s="249"/>
      <c r="D537" s="249"/>
      <c r="E537" s="249"/>
      <c r="F537" s="249"/>
      <c r="G537" s="249"/>
      <c r="H537" s="250"/>
    </row>
    <row r="538" spans="1:10" outlineLevel="2" x14ac:dyDescent="0.2">
      <c r="A538" s="175" t="s">
        <v>373</v>
      </c>
      <c r="B538" s="197"/>
      <c r="C538" s="197">
        <f>C365</f>
        <v>-4585851.3967501521</v>
      </c>
      <c r="D538" s="197">
        <f t="shared" ref="D538:G538" si="110">D365</f>
        <v>1206458950.2182028</v>
      </c>
      <c r="E538" s="197">
        <f t="shared" si="110"/>
        <v>3221181763.6791997</v>
      </c>
      <c r="F538" s="197">
        <f t="shared" si="110"/>
        <v>7277772919.0629416</v>
      </c>
      <c r="G538" s="197">
        <f t="shared" si="110"/>
        <v>7349304652.4775553</v>
      </c>
      <c r="H538" s="197"/>
    </row>
    <row r="539" spans="1:10" outlineLevel="2" x14ac:dyDescent="0.2">
      <c r="A539" s="175" t="s">
        <v>457</v>
      </c>
      <c r="C539" s="217">
        <f>SUM(B71:B73,B76:B77)-SUM(B83:B87,B91)</f>
        <v>319994</v>
      </c>
      <c r="D539" s="217">
        <f>C540</f>
        <v>-187679031.67999998</v>
      </c>
      <c r="E539" s="217">
        <f t="shared" ref="E539:G539" si="111">D540</f>
        <v>-845366108.67184424</v>
      </c>
      <c r="F539" s="217">
        <f t="shared" si="111"/>
        <v>-2592935059.8521309</v>
      </c>
      <c r="G539" s="217">
        <f t="shared" si="111"/>
        <v>-5343469897.8140535</v>
      </c>
      <c r="H539" s="217">
        <f>H427-G540</f>
        <v>64538749218.178345</v>
      </c>
    </row>
    <row r="540" spans="1:10" outlineLevel="2" x14ac:dyDescent="0.2">
      <c r="A540" s="175" t="s">
        <v>458</v>
      </c>
      <c r="C540" s="208">
        <f>SUM(C71:C73,C76:C77)-SUM(C83:C87,C91)</f>
        <v>-187679031.67999998</v>
      </c>
      <c r="D540" s="208">
        <f t="shared" ref="D540:G540" si="112">SUM(D71:D73,D76:D77)-SUM(D83:D87,D91)</f>
        <v>-845366108.67184424</v>
      </c>
      <c r="E540" s="208">
        <f t="shared" si="112"/>
        <v>-2592935059.8521309</v>
      </c>
      <c r="F540" s="208">
        <f t="shared" si="112"/>
        <v>-5343469897.8140535</v>
      </c>
      <c r="G540" s="208">
        <f t="shared" si="112"/>
        <v>-5877819569.5306273</v>
      </c>
    </row>
    <row r="541" spans="1:10" outlineLevel="2" x14ac:dyDescent="0.2"/>
    <row r="542" spans="1:10" outlineLevel="2" x14ac:dyDescent="0.2">
      <c r="A542" s="175" t="s">
        <v>459</v>
      </c>
      <c r="C542" s="251">
        <f>C538/C539</f>
        <v>-14.331054322112765</v>
      </c>
      <c r="D542" s="251">
        <f t="shared" ref="D542:G542" si="113">D538/D539</f>
        <v>-6.4283097553234505</v>
      </c>
      <c r="E542" s="251">
        <f t="shared" si="113"/>
        <v>-3.8103985133021272</v>
      </c>
      <c r="F542" s="251">
        <f t="shared" si="113"/>
        <v>-2.8067702241173662</v>
      </c>
      <c r="G542" s="251">
        <f t="shared" si="113"/>
        <v>-1.3753805660033873</v>
      </c>
    </row>
    <row r="543" spans="1:10" outlineLevel="2" x14ac:dyDescent="0.2">
      <c r="A543" s="176" t="s">
        <v>460</v>
      </c>
      <c r="C543" s="252">
        <f>$B$422</f>
        <v>0.16842542221127488</v>
      </c>
      <c r="D543" s="252">
        <f t="shared" ref="D543:G543" si="114">$B$422</f>
        <v>0.16842542221127488</v>
      </c>
      <c r="E543" s="252">
        <f t="shared" si="114"/>
        <v>0.16842542221127488</v>
      </c>
      <c r="F543" s="252">
        <f t="shared" si="114"/>
        <v>0.16842542221127488</v>
      </c>
      <c r="G543" s="252">
        <f t="shared" si="114"/>
        <v>0.16842542221127488</v>
      </c>
    </row>
    <row r="544" spans="1:10" outlineLevel="2" x14ac:dyDescent="0.2">
      <c r="A544" s="175" t="s">
        <v>461</v>
      </c>
      <c r="B544" s="253"/>
      <c r="C544" s="254">
        <f>C542-C543</f>
        <v>-14.49947974432404</v>
      </c>
      <c r="D544" s="254">
        <f t="shared" ref="D544:G544" si="115">D542-D543</f>
        <v>-6.5967351775347254</v>
      </c>
      <c r="E544" s="254">
        <f t="shared" si="115"/>
        <v>-3.9788239355134021</v>
      </c>
      <c r="F544" s="254">
        <f t="shared" si="115"/>
        <v>-2.9751956463286411</v>
      </c>
      <c r="G544" s="254">
        <f t="shared" si="115"/>
        <v>-1.5438059882146622</v>
      </c>
    </row>
    <row r="545" spans="1:8" outlineLevel="2" x14ac:dyDescent="0.2">
      <c r="A545" s="177" t="str">
        <f t="shared" ref="A545" si="116">A539</f>
        <v>COEi</v>
      </c>
      <c r="C545" s="217">
        <f>C539</f>
        <v>319994</v>
      </c>
      <c r="D545" s="217">
        <f t="shared" ref="D545:G545" si="117">D539</f>
        <v>-187679031.67999998</v>
      </c>
      <c r="E545" s="217">
        <f t="shared" si="117"/>
        <v>-845366108.67184424</v>
      </c>
      <c r="F545" s="217">
        <f t="shared" si="117"/>
        <v>-2592935059.8521309</v>
      </c>
      <c r="G545" s="217">
        <f t="shared" si="117"/>
        <v>-5343469897.8140535</v>
      </c>
      <c r="H545" s="255"/>
    </row>
    <row r="546" spans="1:8" outlineLevel="2" x14ac:dyDescent="0.2">
      <c r="A546" s="175" t="s">
        <v>462</v>
      </c>
      <c r="B546" s="178"/>
      <c r="C546" s="256">
        <f>C544*C545</f>
        <v>-4639746.5213052267</v>
      </c>
      <c r="D546" s="256">
        <f t="shared" ref="D546:G546" si="118">D544*D545</f>
        <v>1238068870.3691101</v>
      </c>
      <c r="E546" s="256">
        <f t="shared" si="118"/>
        <v>3363562907.4553576</v>
      </c>
      <c r="F546" s="256">
        <f t="shared" si="118"/>
        <v>7714489101.2849541</v>
      </c>
      <c r="G546" s="256">
        <f t="shared" si="118"/>
        <v>8249280826.0901251</v>
      </c>
      <c r="H546" s="217">
        <f>H539</f>
        <v>64538749218.178345</v>
      </c>
    </row>
    <row r="547" spans="1:8" outlineLevel="2" x14ac:dyDescent="0.2">
      <c r="A547" s="176" t="s">
        <v>463</v>
      </c>
      <c r="B547" s="179"/>
      <c r="C547" s="257"/>
      <c r="D547" s="257"/>
      <c r="E547" s="257"/>
      <c r="F547" s="257"/>
      <c r="G547" s="258">
        <f>H546</f>
        <v>64538749218.178345</v>
      </c>
      <c r="H547" s="197"/>
    </row>
    <row r="548" spans="1:8" outlineLevel="2" x14ac:dyDescent="0.2">
      <c r="A548" s="175" t="s">
        <v>464</v>
      </c>
      <c r="B548" s="180"/>
      <c r="C548" s="259">
        <f>SUM(C546:C547)</f>
        <v>-4639746.5213052267</v>
      </c>
      <c r="D548" s="259">
        <f t="shared" ref="D548:G548" si="119">SUM(D546:D547)</f>
        <v>1238068870.3691101</v>
      </c>
      <c r="E548" s="259">
        <f t="shared" si="119"/>
        <v>3363562907.4553576</v>
      </c>
      <c r="F548" s="259">
        <f t="shared" si="119"/>
        <v>7714489101.2849541</v>
      </c>
      <c r="G548" s="259">
        <f t="shared" si="119"/>
        <v>72788030044.268463</v>
      </c>
      <c r="H548" s="197"/>
    </row>
    <row r="549" spans="1:8" outlineLevel="2" x14ac:dyDescent="0.2">
      <c r="A549" s="181"/>
      <c r="B549" s="180"/>
      <c r="C549" s="260"/>
      <c r="D549" s="260"/>
      <c r="E549" s="260"/>
      <c r="F549" s="260"/>
      <c r="G549" s="260"/>
      <c r="H549" s="197"/>
    </row>
    <row r="550" spans="1:8" outlineLevel="2" x14ac:dyDescent="0.2">
      <c r="A550" s="182" t="s">
        <v>465</v>
      </c>
      <c r="B550" s="208">
        <f>NPV(B422,C548:G548)</f>
        <v>40574314611.324165</v>
      </c>
    </row>
    <row r="551" spans="1:8" outlineLevel="2" x14ac:dyDescent="0.2">
      <c r="A551" s="182" t="s">
        <v>466</v>
      </c>
      <c r="B551" s="217">
        <f>C539</f>
        <v>319994</v>
      </c>
    </row>
    <row r="552" spans="1:8" outlineLevel="2" x14ac:dyDescent="0.2">
      <c r="A552" s="183" t="s">
        <v>467</v>
      </c>
      <c r="B552" s="184">
        <f>SUM(B550:B551)</f>
        <v>40574634605.324165</v>
      </c>
    </row>
    <row r="553" spans="1:8" outlineLevel="2" x14ac:dyDescent="0.2">
      <c r="A553" s="185" t="s">
        <v>374</v>
      </c>
      <c r="B553" s="186">
        <f>B552-B435</f>
        <v>0</v>
      </c>
    </row>
    <row r="554" spans="1:8" outlineLevel="2" x14ac:dyDescent="0.2">
      <c r="B554" s="197"/>
      <c r="C554" s="260"/>
      <c r="D554" s="260"/>
      <c r="E554" s="260"/>
      <c r="F554" s="260"/>
      <c r="G554" s="260"/>
    </row>
    <row r="555" spans="1:8" outlineLevel="2" x14ac:dyDescent="0.2">
      <c r="A555" s="175" t="s">
        <v>385</v>
      </c>
      <c r="C555" s="208">
        <f>C387</f>
        <v>-648560903.97388482</v>
      </c>
      <c r="D555" s="208">
        <f t="shared" ref="D555:G555" ca="1" si="120">D387</f>
        <v>2517.4332286056447</v>
      </c>
      <c r="E555" s="208">
        <f t="shared" ca="1" si="120"/>
        <v>4405.1704466627034</v>
      </c>
      <c r="F555" s="208">
        <f t="shared" ca="1" si="120"/>
        <v>6305.4776850998742</v>
      </c>
      <c r="G555" s="208">
        <f t="shared" ca="1" si="120"/>
        <v>6992.241268709261</v>
      </c>
    </row>
    <row r="556" spans="1:8" outlineLevel="2" x14ac:dyDescent="0.2">
      <c r="A556" s="175" t="s">
        <v>468</v>
      </c>
      <c r="C556" s="217">
        <f>SUM(B74:B75,B78:B79)-SUM(B88:B89,B92:B93)</f>
        <v>30646</v>
      </c>
      <c r="D556" s="217">
        <f>C557</f>
        <v>46977057.919999994</v>
      </c>
      <c r="E556" s="217">
        <f t="shared" ref="E556:G556" si="121">D557</f>
        <v>140933973.6315484</v>
      </c>
      <c r="F556" s="217">
        <f t="shared" si="121"/>
        <v>216100425.74584565</v>
      </c>
      <c r="G556" s="217">
        <f t="shared" si="121"/>
        <v>2000</v>
      </c>
      <c r="H556" s="217">
        <f ca="1">H431-G557</f>
        <v>142040.17013541076</v>
      </c>
    </row>
    <row r="557" spans="1:8" outlineLevel="2" x14ac:dyDescent="0.2">
      <c r="A557" s="175" t="s">
        <v>469</v>
      </c>
      <c r="C557" s="208">
        <f>SUM(C74:C75,C78:C79)-SUM(C88:C89,C92:C93)</f>
        <v>46977057.919999994</v>
      </c>
      <c r="D557" s="208">
        <f t="shared" ref="D557:G557" si="122">SUM(D74:D75,D78:D79)-SUM(D88:D89,D92:D93)</f>
        <v>140933973.6315484</v>
      </c>
      <c r="E557" s="208">
        <f t="shared" si="122"/>
        <v>216100425.74584565</v>
      </c>
      <c r="F557" s="208">
        <f t="shared" si="122"/>
        <v>2000</v>
      </c>
      <c r="G557" s="208">
        <f t="shared" si="122"/>
        <v>2000</v>
      </c>
    </row>
    <row r="558" spans="1:8" outlineLevel="2" x14ac:dyDescent="0.2"/>
    <row r="559" spans="1:8" outlineLevel="2" x14ac:dyDescent="0.2">
      <c r="A559" s="175" t="s">
        <v>470</v>
      </c>
      <c r="C559" s="251">
        <f>C555/C556</f>
        <v>-21162.987142657599</v>
      </c>
      <c r="D559" s="251">
        <f t="shared" ref="D559:G559" ca="1" si="123">D555/D556</f>
        <v>9.19980656543984E-2</v>
      </c>
      <c r="E559" s="251">
        <f t="shared" ca="1" si="123"/>
        <v>0.2103867710909475</v>
      </c>
      <c r="F559" s="251">
        <f t="shared" ca="1" si="123"/>
        <v>0.5040014144423024</v>
      </c>
      <c r="G559" s="251">
        <f t="shared" ca="1" si="123"/>
        <v>3.4961206343546336</v>
      </c>
    </row>
    <row r="560" spans="1:8" outlineLevel="2" x14ac:dyDescent="0.2">
      <c r="A560" s="176" t="s">
        <v>460</v>
      </c>
      <c r="C560" s="252">
        <f>C543</f>
        <v>0.16842542221127488</v>
      </c>
      <c r="D560" s="252">
        <f t="shared" ref="D560:G560" si="124">D543</f>
        <v>0.16842542221127488</v>
      </c>
      <c r="E560" s="252">
        <f t="shared" si="124"/>
        <v>0.16842542221127488</v>
      </c>
      <c r="F560" s="252">
        <f t="shared" si="124"/>
        <v>0.16842542221127488</v>
      </c>
      <c r="G560" s="252">
        <f t="shared" si="124"/>
        <v>0.16842542221127488</v>
      </c>
    </row>
    <row r="561" spans="1:8" outlineLevel="2" x14ac:dyDescent="0.2">
      <c r="A561" s="175" t="s">
        <v>461</v>
      </c>
      <c r="B561" s="253"/>
      <c r="C561" s="254">
        <f>C559-C560</f>
        <v>-21163.155568079812</v>
      </c>
      <c r="D561" s="254">
        <f t="shared" ref="D561:G561" ca="1" si="125">D559-D560</f>
        <v>1.1998065654398399E-2</v>
      </c>
      <c r="E561" s="254">
        <f t="shared" ca="1" si="125"/>
        <v>0.13038677109094748</v>
      </c>
      <c r="F561" s="254">
        <f t="shared" ca="1" si="125"/>
        <v>0.42400141444230238</v>
      </c>
      <c r="G561" s="254">
        <f t="shared" ca="1" si="125"/>
        <v>3.4161206343546335</v>
      </c>
    </row>
    <row r="562" spans="1:8" outlineLevel="2" x14ac:dyDescent="0.2">
      <c r="A562" s="177" t="str">
        <f>A556</f>
        <v>CNOEi</v>
      </c>
      <c r="C562" s="217">
        <f>C556</f>
        <v>30646</v>
      </c>
      <c r="D562" s="217">
        <f t="shared" ref="D562:G562" si="126">D556</f>
        <v>46977057.919999994</v>
      </c>
      <c r="E562" s="217">
        <f t="shared" si="126"/>
        <v>140933973.6315484</v>
      </c>
      <c r="F562" s="217">
        <f t="shared" si="126"/>
        <v>216100425.74584565</v>
      </c>
      <c r="G562" s="217">
        <f t="shared" si="126"/>
        <v>2000</v>
      </c>
      <c r="H562" s="255"/>
    </row>
    <row r="563" spans="1:8" outlineLevel="2" x14ac:dyDescent="0.2">
      <c r="A563" s="175" t="s">
        <v>471</v>
      </c>
      <c r="B563" s="178"/>
      <c r="C563" s="256">
        <f>C561*C562</f>
        <v>-648566065.53937387</v>
      </c>
      <c r="D563" s="256">
        <f t="shared" ref="D563:G563" ca="1" si="127">D561*D562</f>
        <v>328.31482860564466</v>
      </c>
      <c r="E563" s="256">
        <f t="shared" ca="1" si="127"/>
        <v>2730.0953746627038</v>
      </c>
      <c r="F563" s="256">
        <f t="shared" ca="1" si="127"/>
        <v>5304.6110201398742</v>
      </c>
      <c r="G563" s="256">
        <f t="shared" ca="1" si="127"/>
        <v>6832.241268709261</v>
      </c>
      <c r="H563" s="217">
        <f ca="1">H556</f>
        <v>142040.17013541076</v>
      </c>
    </row>
    <row r="564" spans="1:8" outlineLevel="2" x14ac:dyDescent="0.2">
      <c r="A564" s="176" t="s">
        <v>472</v>
      </c>
      <c r="B564" s="179"/>
      <c r="C564" s="257"/>
      <c r="D564" s="257"/>
      <c r="E564" s="257"/>
      <c r="F564" s="257"/>
      <c r="G564" s="258">
        <f ca="1">H563</f>
        <v>142040.17013541076</v>
      </c>
      <c r="H564" s="197"/>
    </row>
    <row r="565" spans="1:8" outlineLevel="2" x14ac:dyDescent="0.2">
      <c r="A565" s="175" t="s">
        <v>473</v>
      </c>
      <c r="B565" s="180"/>
      <c r="C565" s="259">
        <f>SUM(C563:C564)</f>
        <v>-648566065.53937387</v>
      </c>
      <c r="D565" s="259">
        <f t="shared" ref="D565:G565" ca="1" si="128">SUM(D563:D564)</f>
        <v>328.31482860564466</v>
      </c>
      <c r="E565" s="259">
        <f t="shared" ca="1" si="128"/>
        <v>2730.0953746627038</v>
      </c>
      <c r="F565" s="259">
        <f t="shared" ca="1" si="128"/>
        <v>5304.6110201398742</v>
      </c>
      <c r="G565" s="259">
        <f t="shared" ca="1" si="128"/>
        <v>148872.41140412004</v>
      </c>
      <c r="H565" s="197"/>
    </row>
    <row r="566" spans="1:8" outlineLevel="2" x14ac:dyDescent="0.2">
      <c r="A566" s="181"/>
      <c r="C566" s="261"/>
    </row>
    <row r="567" spans="1:8" outlineLevel="2" x14ac:dyDescent="0.2">
      <c r="A567" s="182" t="s">
        <v>474</v>
      </c>
      <c r="B567" s="208">
        <f ca="1">NPV(B422,C565:G565)</f>
        <v>105755.08319738692</v>
      </c>
    </row>
    <row r="568" spans="1:8" outlineLevel="2" x14ac:dyDescent="0.2">
      <c r="A568" s="182" t="s">
        <v>475</v>
      </c>
      <c r="B568" s="217">
        <f>C556</f>
        <v>30646</v>
      </c>
    </row>
    <row r="569" spans="1:8" outlineLevel="2" x14ac:dyDescent="0.2">
      <c r="A569" s="183" t="s">
        <v>476</v>
      </c>
      <c r="B569" s="184">
        <f ca="1">B567+B568</f>
        <v>136401.08319738694</v>
      </c>
    </row>
    <row r="570" spans="1:8" outlineLevel="2" x14ac:dyDescent="0.2">
      <c r="A570" s="185" t="s">
        <v>374</v>
      </c>
      <c r="B570" s="186">
        <f ca="1">B569-B436</f>
        <v>0</v>
      </c>
    </row>
    <row r="571" spans="1:8" outlineLevel="2" x14ac:dyDescent="0.2"/>
    <row r="572" spans="1:8" outlineLevel="2" x14ac:dyDescent="0.2">
      <c r="A572" s="183" t="s">
        <v>477</v>
      </c>
      <c r="B572" s="184">
        <f ca="1">B552+B569</f>
        <v>1876460.4042536544</v>
      </c>
    </row>
    <row r="573" spans="1:8" outlineLevel="2" x14ac:dyDescent="0.2">
      <c r="A573" s="185" t="s">
        <v>374</v>
      </c>
      <c r="B573" s="262">
        <f ca="1">B572-B437</f>
        <v>0</v>
      </c>
    </row>
    <row r="574" spans="1:8" outlineLevel="2" x14ac:dyDescent="0.2"/>
    <row r="575" spans="1:8" outlineLevel="1" x14ac:dyDescent="0.2"/>
  </sheetData>
  <mergeCells count="10">
    <mergeCell ref="A307:B307"/>
    <mergeCell ref="C443:G443"/>
    <mergeCell ref="C444:G444"/>
    <mergeCell ref="A446:A450"/>
    <mergeCell ref="J3:O3"/>
    <mergeCell ref="J15:O15"/>
    <mergeCell ref="J27:O27"/>
    <mergeCell ref="A176:H176"/>
    <mergeCell ref="A212:B212"/>
    <mergeCell ref="A260:H260"/>
  </mergeCells>
  <printOptions horizontalCentered="1" verticalCentered="1"/>
  <pageMargins left="0" right="0" top="0" bottom="0" header="0" footer="0"/>
  <pageSetup scale="60" orientation="landscape" horizontalDpi="4294967293"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12</xdr:col>
                    <xdr:colOff>876300</xdr:colOff>
                    <xdr:row>37</xdr:row>
                    <xdr:rowOff>76200</xdr:rowOff>
                  </from>
                  <to>
                    <xdr:col>16</xdr:col>
                    <xdr:colOff>1028700</xdr:colOff>
                    <xdr:row>38</xdr:row>
                    <xdr:rowOff>190500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3</xdr:col>
                    <xdr:colOff>584200</xdr:colOff>
                    <xdr:row>434</xdr:row>
                    <xdr:rowOff>88900</xdr:rowOff>
                  </from>
                  <to>
                    <xdr:col>5</xdr:col>
                    <xdr:colOff>1498600</xdr:colOff>
                    <xdr:row>436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A4820-65BB-1242-B06F-AED3590392F1}">
  <dimension ref="C2:Y144"/>
  <sheetViews>
    <sheetView showGridLines="0" topLeftCell="E1" zoomScale="141" zoomScaleNormal="80" workbookViewId="0">
      <selection activeCell="K29" sqref="K29"/>
    </sheetView>
  </sheetViews>
  <sheetFormatPr baseColWidth="10" defaultColWidth="10.83203125" defaultRowHeight="14" x14ac:dyDescent="0.15"/>
  <cols>
    <col min="1" max="2" width="10.83203125" style="2"/>
    <col min="3" max="3" width="32.5" style="2" bestFit="1" customWidth="1"/>
    <col min="4" max="7" width="14.33203125" style="2" customWidth="1"/>
    <col min="8" max="8" width="15.6640625" style="2" customWidth="1"/>
    <col min="9" max="9" width="20" style="2" customWidth="1"/>
    <col min="10" max="10" width="0.1640625" style="14" customWidth="1"/>
    <col min="11" max="11" width="10.83203125" style="2"/>
    <col min="12" max="12" width="75" style="2" bestFit="1" customWidth="1"/>
    <col min="13" max="14" width="24.1640625" style="2" customWidth="1"/>
    <col min="15" max="15" width="41.5" style="2" bestFit="1" customWidth="1"/>
    <col min="16" max="25" width="24.1640625" style="2" customWidth="1"/>
    <col min="26" max="16384" width="10.83203125" style="2"/>
  </cols>
  <sheetData>
    <row r="2" spans="3:23" ht="21" thickBot="1" x14ac:dyDescent="0.25">
      <c r="L2" s="432" t="s">
        <v>196</v>
      </c>
      <c r="M2" s="432"/>
      <c r="N2" s="432"/>
      <c r="O2" s="432"/>
      <c r="P2" s="432"/>
      <c r="Q2" s="432"/>
      <c r="R2" s="432"/>
      <c r="S2" s="432"/>
      <c r="T2" s="432"/>
      <c r="U2" s="432"/>
      <c r="V2" s="432"/>
      <c r="W2" s="432"/>
    </row>
    <row r="4" spans="3:23" ht="21" thickBot="1" x14ac:dyDescent="0.25">
      <c r="L4" s="10" t="s">
        <v>116</v>
      </c>
    </row>
    <row r="5" spans="3:23" ht="21" thickBot="1" x14ac:dyDescent="0.25">
      <c r="C5" s="19" t="s">
        <v>101</v>
      </c>
      <c r="D5" s="34"/>
      <c r="E5" s="34"/>
      <c r="F5" s="34"/>
      <c r="G5" s="34"/>
      <c r="H5" s="34"/>
      <c r="O5" s="10" t="s">
        <v>153</v>
      </c>
      <c r="P5" s="21" t="s">
        <v>149</v>
      </c>
      <c r="Q5" s="21" t="s">
        <v>143</v>
      </c>
      <c r="R5" s="21" t="s">
        <v>147</v>
      </c>
    </row>
    <row r="6" spans="3:23" ht="31" customHeight="1" x14ac:dyDescent="0.15">
      <c r="C6" s="34"/>
      <c r="D6" s="34"/>
      <c r="E6" s="34"/>
      <c r="F6" s="34"/>
      <c r="G6" s="34"/>
      <c r="H6" s="34"/>
      <c r="L6" s="51" t="s">
        <v>132</v>
      </c>
      <c r="M6" s="69">
        <f>'ContabilidaddeInnovación Año3'!Y40</f>
        <v>44970430.893560514</v>
      </c>
      <c r="O6" s="44" t="s">
        <v>204</v>
      </c>
      <c r="P6" s="26">
        <v>0</v>
      </c>
      <c r="Q6" s="26"/>
      <c r="R6" s="31"/>
    </row>
    <row r="7" spans="3:23" ht="16" customHeight="1" x14ac:dyDescent="0.15">
      <c r="C7" s="35" t="s">
        <v>81</v>
      </c>
      <c r="D7" s="36">
        <v>0.52</v>
      </c>
      <c r="E7" s="34"/>
      <c r="F7" s="34"/>
      <c r="G7" s="34"/>
      <c r="H7" s="34"/>
      <c r="L7" s="51" t="s">
        <v>133</v>
      </c>
      <c r="M7" s="72">
        <v>7.1999999999999995E-2</v>
      </c>
      <c r="O7" s="21" t="s">
        <v>205</v>
      </c>
      <c r="P7" s="25">
        <v>0</v>
      </c>
      <c r="Q7" s="21"/>
      <c r="R7" s="25"/>
    </row>
    <row r="8" spans="3:23" x14ac:dyDescent="0.15">
      <c r="C8" s="35" t="s">
        <v>82</v>
      </c>
      <c r="D8" s="37">
        <v>0.05</v>
      </c>
      <c r="E8" s="34"/>
      <c r="F8" s="34"/>
      <c r="G8" s="34"/>
      <c r="H8" s="34"/>
      <c r="L8" s="51" t="s">
        <v>41</v>
      </c>
      <c r="M8" s="86">
        <v>2.5999999999999999E-2</v>
      </c>
      <c r="O8" s="21" t="s">
        <v>206</v>
      </c>
      <c r="P8" s="26">
        <v>1E-3</v>
      </c>
      <c r="Q8" s="26">
        <v>5.0000000000000001E-4</v>
      </c>
      <c r="R8" s="26">
        <v>5.0000000000000001E-3</v>
      </c>
    </row>
    <row r="9" spans="3:23" x14ac:dyDescent="0.15">
      <c r="C9" s="34"/>
      <c r="D9" s="34"/>
      <c r="E9" s="34"/>
      <c r="F9" s="34"/>
      <c r="G9" s="34"/>
      <c r="H9" s="34"/>
      <c r="L9" s="51" t="s">
        <v>42</v>
      </c>
      <c r="M9" s="86">
        <v>4.0899999999999999E-2</v>
      </c>
      <c r="O9" s="21"/>
      <c r="P9" s="26"/>
      <c r="Q9" s="26"/>
      <c r="R9" s="21"/>
    </row>
    <row r="10" spans="3:23" ht="16" customHeight="1" x14ac:dyDescent="0.15">
      <c r="C10" s="38" t="s">
        <v>83</v>
      </c>
      <c r="D10" s="38" t="s">
        <v>84</v>
      </c>
      <c r="E10" s="38" t="s">
        <v>85</v>
      </c>
      <c r="F10" s="38" t="s">
        <v>207</v>
      </c>
      <c r="G10" s="38" t="s">
        <v>208</v>
      </c>
      <c r="H10" s="38" t="s">
        <v>88</v>
      </c>
      <c r="J10" s="12"/>
      <c r="L10" s="51" t="s">
        <v>173</v>
      </c>
      <c r="M10" s="69">
        <f>'ContabilidaddeInnovación Año2'!Y83</f>
        <v>88682.582671914599</v>
      </c>
      <c r="O10" s="21"/>
      <c r="P10" s="26"/>
      <c r="Q10" s="26"/>
      <c r="R10" s="21"/>
    </row>
    <row r="11" spans="3:23" ht="16" x14ac:dyDescent="0.15">
      <c r="C11" s="39" t="s">
        <v>89</v>
      </c>
      <c r="D11" s="39" t="s">
        <v>90</v>
      </c>
      <c r="E11" s="39">
        <v>1</v>
      </c>
      <c r="F11" s="40">
        <f>'ContabilidaddeInnovación Año3'!G11</f>
        <v>12520462.114754999</v>
      </c>
      <c r="G11" s="41">
        <f t="shared" ref="G11:G12" si="0">F11*(1+$D$8)</f>
        <v>13146485.22049275</v>
      </c>
      <c r="H11" s="41">
        <f t="shared" ref="H11:H12" si="1">(G11*(1+$D$7))*E11</f>
        <v>19982657.535148982</v>
      </c>
      <c r="I11" s="13"/>
      <c r="J11" s="15"/>
      <c r="L11" s="51" t="s">
        <v>134</v>
      </c>
      <c r="M11" s="69">
        <f>M6/12</f>
        <v>3747535.9077967093</v>
      </c>
      <c r="P11" s="68"/>
    </row>
    <row r="12" spans="3:23" ht="16" x14ac:dyDescent="0.15">
      <c r="C12" s="39" t="s">
        <v>91</v>
      </c>
      <c r="D12" s="39" t="s">
        <v>90</v>
      </c>
      <c r="E12" s="39">
        <v>3</v>
      </c>
      <c r="F12" s="40">
        <f>'ContabilidaddeInnovación Año3'!G12</f>
        <v>8090145</v>
      </c>
      <c r="G12" s="41">
        <f t="shared" si="0"/>
        <v>8494652.25</v>
      </c>
      <c r="H12" s="41">
        <f t="shared" si="1"/>
        <v>38735614.259999998</v>
      </c>
      <c r="I12" s="13"/>
      <c r="J12" s="15"/>
      <c r="L12" s="51" t="s">
        <v>197</v>
      </c>
      <c r="M12" s="53">
        <v>0.05</v>
      </c>
    </row>
    <row r="13" spans="3:23" ht="16" x14ac:dyDescent="0.15">
      <c r="C13" s="39" t="s">
        <v>92</v>
      </c>
      <c r="D13" s="39" t="s">
        <v>90</v>
      </c>
      <c r="E13" s="39">
        <v>3</v>
      </c>
      <c r="F13" s="40">
        <f>'ContabilidaddeInnovación Año3'!G13</f>
        <v>7705285.245000001</v>
      </c>
      <c r="G13" s="41">
        <f t="shared" ref="G13:G21" si="2">F13*(1+$D$8)</f>
        <v>8090549.5072500017</v>
      </c>
      <c r="H13" s="41">
        <f t="shared" ref="H13:H20" si="3">(G13*(1+$D$7))*E13</f>
        <v>36892905.753060013</v>
      </c>
      <c r="I13" s="13"/>
      <c r="J13" s="15"/>
    </row>
    <row r="14" spans="3:23" ht="16" x14ac:dyDescent="0.15">
      <c r="C14" s="39" t="s">
        <v>93</v>
      </c>
      <c r="D14" s="39" t="s">
        <v>90</v>
      </c>
      <c r="E14" s="39">
        <v>2</v>
      </c>
      <c r="F14" s="40">
        <f>'ContabilidaddeInnovación Año3'!G14</f>
        <v>7705285.245000001</v>
      </c>
      <c r="G14" s="41">
        <f t="shared" si="2"/>
        <v>8090549.5072500017</v>
      </c>
      <c r="H14" s="41">
        <f t="shared" si="3"/>
        <v>24595270.502040006</v>
      </c>
      <c r="I14" s="13"/>
      <c r="J14" s="15"/>
    </row>
    <row r="15" spans="3:23" ht="21" thickBot="1" x14ac:dyDescent="0.25">
      <c r="C15" s="39" t="s">
        <v>94</v>
      </c>
      <c r="D15" s="39" t="s">
        <v>90</v>
      </c>
      <c r="E15" s="39">
        <v>1</v>
      </c>
      <c r="F15" s="40">
        <f>'ContabilidaddeInnovación Año3'!G15</f>
        <v>6356542.5</v>
      </c>
      <c r="G15" s="41">
        <f t="shared" si="2"/>
        <v>6674369.625</v>
      </c>
      <c r="H15" s="41">
        <f t="shared" si="3"/>
        <v>10145041.83</v>
      </c>
      <c r="I15" s="13"/>
      <c r="J15" s="15"/>
      <c r="L15" s="10" t="s">
        <v>125</v>
      </c>
    </row>
    <row r="16" spans="3:23" ht="16" x14ac:dyDescent="0.15">
      <c r="C16" s="39" t="s">
        <v>95</v>
      </c>
      <c r="D16" s="39" t="s">
        <v>90</v>
      </c>
      <c r="E16" s="39">
        <v>1</v>
      </c>
      <c r="F16" s="40">
        <f>'ContabilidaddeInnovación Año3'!G16</f>
        <v>6356542.5</v>
      </c>
      <c r="G16" s="41">
        <f t="shared" si="2"/>
        <v>6674369.625</v>
      </c>
      <c r="H16" s="41">
        <f t="shared" si="3"/>
        <v>10145041.83</v>
      </c>
      <c r="I16" s="13"/>
      <c r="J16" s="15"/>
    </row>
    <row r="17" spans="3:25" ht="16" x14ac:dyDescent="0.15">
      <c r="C17" s="39" t="s">
        <v>96</v>
      </c>
      <c r="D17" s="39" t="s">
        <v>90</v>
      </c>
      <c r="E17" s="39">
        <v>2</v>
      </c>
      <c r="F17" s="40">
        <f>'ContabilidaddeInnovación Año3'!G17</f>
        <v>5778675</v>
      </c>
      <c r="G17" s="41">
        <f t="shared" si="2"/>
        <v>6067608.75</v>
      </c>
      <c r="H17" s="41">
        <f t="shared" si="3"/>
        <v>18445530.600000001</v>
      </c>
      <c r="I17" s="13"/>
      <c r="J17" s="15"/>
      <c r="L17" s="21" t="s">
        <v>126</v>
      </c>
      <c r="M17" s="11">
        <f>'ContabilidaddeInnovación Año3'!M17*(1+M12)</f>
        <v>24696000</v>
      </c>
    </row>
    <row r="18" spans="3:25" ht="16" x14ac:dyDescent="0.15">
      <c r="C18" s="39" t="s">
        <v>97</v>
      </c>
      <c r="D18" s="39" t="s">
        <v>90</v>
      </c>
      <c r="E18" s="39">
        <v>2</v>
      </c>
      <c r="F18" s="40">
        <f>'ContabilidaddeInnovación Año3'!G18</f>
        <v>7512277.5</v>
      </c>
      <c r="G18" s="41">
        <f t="shared" si="2"/>
        <v>7887891.375</v>
      </c>
      <c r="H18" s="41">
        <f t="shared" si="3"/>
        <v>23979189.780000001</v>
      </c>
      <c r="I18" s="13"/>
      <c r="J18" s="15"/>
      <c r="L18" s="21" t="s">
        <v>127</v>
      </c>
      <c r="M18" s="11">
        <f>'ContabilidaddeInnovación Año3'!M18*(1+M12)</f>
        <v>44100000</v>
      </c>
    </row>
    <row r="19" spans="3:25" ht="16" x14ac:dyDescent="0.15">
      <c r="C19" s="39" t="s">
        <v>99</v>
      </c>
      <c r="D19" s="39" t="s">
        <v>90</v>
      </c>
      <c r="E19" s="39">
        <v>2</v>
      </c>
      <c r="F19" s="40">
        <f>'ContabilidaddeInnovación Año3'!G19</f>
        <v>7512277.5</v>
      </c>
      <c r="G19" s="41">
        <f t="shared" si="2"/>
        <v>7887891.375</v>
      </c>
      <c r="H19" s="41">
        <f t="shared" si="3"/>
        <v>23979189.780000001</v>
      </c>
      <c r="I19" s="13"/>
      <c r="J19" s="15"/>
      <c r="L19" s="21" t="s">
        <v>109</v>
      </c>
      <c r="M19" s="31">
        <v>0.15</v>
      </c>
      <c r="N19" s="2" t="s">
        <v>110</v>
      </c>
    </row>
    <row r="20" spans="3:25" ht="16" x14ac:dyDescent="0.15">
      <c r="C20" s="39" t="s">
        <v>100</v>
      </c>
      <c r="D20" s="39" t="s">
        <v>90</v>
      </c>
      <c r="E20" s="39">
        <v>2</v>
      </c>
      <c r="F20" s="40">
        <f>'ContabilidaddeInnovación Año3'!G20</f>
        <v>8668012.5</v>
      </c>
      <c r="G20" s="41">
        <f t="shared" si="2"/>
        <v>9101413.125</v>
      </c>
      <c r="H20" s="41">
        <f t="shared" si="3"/>
        <v>27668295.899999999</v>
      </c>
      <c r="I20" s="13"/>
      <c r="J20" s="15"/>
      <c r="L20" s="21" t="s">
        <v>124</v>
      </c>
      <c r="M20" s="11">
        <f>'ContabilidaddeInnovación Año3'!M20*(1+M13)</f>
        <v>336420</v>
      </c>
      <c r="N20" s="2" t="s">
        <v>151</v>
      </c>
    </row>
    <row r="21" spans="3:25" ht="16" x14ac:dyDescent="0.15">
      <c r="C21" s="39" t="s">
        <v>2</v>
      </c>
      <c r="D21" s="39" t="s">
        <v>90</v>
      </c>
      <c r="E21" s="39">
        <v>1</v>
      </c>
      <c r="F21" s="40">
        <f>'ContabilidaddeInnovación Año3'!G21</f>
        <v>8668012.5</v>
      </c>
      <c r="G21" s="41">
        <f t="shared" si="2"/>
        <v>9101413.125</v>
      </c>
      <c r="H21" s="41">
        <f>G21</f>
        <v>9101413.125</v>
      </c>
      <c r="I21" s="13"/>
      <c r="J21" s="15"/>
      <c r="L21" s="21" t="s">
        <v>111</v>
      </c>
      <c r="M21" s="25">
        <v>0.05</v>
      </c>
    </row>
    <row r="22" spans="3:25" ht="16" x14ac:dyDescent="0.15">
      <c r="C22" s="429" t="s">
        <v>98</v>
      </c>
      <c r="D22" s="429"/>
      <c r="E22" s="429"/>
      <c r="F22" s="429"/>
      <c r="G22" s="429"/>
      <c r="H22" s="43">
        <f>SUM(H11:H18)</f>
        <v>182921252.090249</v>
      </c>
      <c r="I22" s="13"/>
      <c r="J22" s="15"/>
      <c r="L22" s="21" t="s">
        <v>129</v>
      </c>
      <c r="M22" s="25">
        <v>0.04</v>
      </c>
      <c r="N22" s="2" t="s">
        <v>130</v>
      </c>
    </row>
    <row r="23" spans="3:25" ht="17" customHeight="1" x14ac:dyDescent="0.15">
      <c r="L23" s="21" t="s">
        <v>131</v>
      </c>
      <c r="M23" s="26">
        <v>2.1000000000000001E-2</v>
      </c>
      <c r="N23" s="2" t="s">
        <v>130</v>
      </c>
    </row>
    <row r="24" spans="3:25" x14ac:dyDescent="0.15">
      <c r="L24" s="21"/>
      <c r="M24" s="26"/>
    </row>
    <row r="28" spans="3:25" ht="21" thickBot="1" x14ac:dyDescent="0.25">
      <c r="C28" s="10" t="s">
        <v>102</v>
      </c>
      <c r="L28" s="17"/>
    </row>
    <row r="29" spans="3:25" ht="78" customHeight="1" thickBot="1" x14ac:dyDescent="0.25">
      <c r="C29" s="2" t="s">
        <v>103</v>
      </c>
      <c r="D29" s="4">
        <v>0.03</v>
      </c>
      <c r="E29" s="2" t="s">
        <v>115</v>
      </c>
      <c r="L29" s="10" t="s">
        <v>153</v>
      </c>
      <c r="M29" s="18" t="s">
        <v>194</v>
      </c>
      <c r="N29" s="18" t="s">
        <v>198</v>
      </c>
      <c r="O29" s="18" t="s">
        <v>199</v>
      </c>
      <c r="P29" s="18" t="s">
        <v>200</v>
      </c>
      <c r="Q29" s="18" t="s">
        <v>194</v>
      </c>
      <c r="R29" s="18" t="s">
        <v>194</v>
      </c>
      <c r="S29" s="18" t="s">
        <v>194</v>
      </c>
      <c r="T29" s="18" t="s">
        <v>194</v>
      </c>
      <c r="U29" s="18" t="s">
        <v>194</v>
      </c>
      <c r="V29" s="18" t="s">
        <v>194</v>
      </c>
      <c r="W29" s="18" t="s">
        <v>194</v>
      </c>
      <c r="X29" s="18" t="s">
        <v>194</v>
      </c>
      <c r="Y29" s="430" t="s">
        <v>141</v>
      </c>
    </row>
    <row r="30" spans="3:25" x14ac:dyDescent="0.15">
      <c r="C30" s="2" t="s">
        <v>104</v>
      </c>
      <c r="D30" s="4">
        <v>0.2</v>
      </c>
      <c r="E30" s="2" t="s">
        <v>115</v>
      </c>
      <c r="M30" s="33">
        <v>1</v>
      </c>
      <c r="N30" s="33">
        <v>2</v>
      </c>
      <c r="O30" s="33">
        <v>3</v>
      </c>
      <c r="P30" s="33">
        <v>4</v>
      </c>
      <c r="Q30" s="33">
        <v>5</v>
      </c>
      <c r="R30" s="33">
        <v>6</v>
      </c>
      <c r="S30" s="33">
        <v>7</v>
      </c>
      <c r="T30" s="33">
        <v>8</v>
      </c>
      <c r="U30" s="33">
        <v>9</v>
      </c>
      <c r="V30" s="33">
        <v>10</v>
      </c>
      <c r="W30" s="33">
        <v>11</v>
      </c>
      <c r="X30" s="33">
        <v>12</v>
      </c>
      <c r="Y30" s="431"/>
    </row>
    <row r="31" spans="3:25" ht="16" x14ac:dyDescent="0.2">
      <c r="C31" s="2" t="s">
        <v>107</v>
      </c>
      <c r="D31" s="4">
        <v>5.5E-2</v>
      </c>
      <c r="E31" s="2" t="s">
        <v>115</v>
      </c>
      <c r="L31" s="20" t="s">
        <v>150</v>
      </c>
    </row>
    <row r="32" spans="3:25" x14ac:dyDescent="0.15">
      <c r="C32" s="2" t="s">
        <v>105</v>
      </c>
      <c r="D32" s="3">
        <v>0.16</v>
      </c>
      <c r="E32" s="2" t="s">
        <v>115</v>
      </c>
      <c r="L32" s="21" t="s">
        <v>149</v>
      </c>
      <c r="M32" s="263">
        <f>'ContabilidaddeInnovación Año3'!Y32</f>
        <v>0.83711856994727163</v>
      </c>
      <c r="N32" s="263">
        <f>M32</f>
        <v>0.83711856994727163</v>
      </c>
      <c r="O32" s="263">
        <f>N32</f>
        <v>0.83711856994727163</v>
      </c>
      <c r="P32" s="263">
        <f>O32*(1+$P$6)</f>
        <v>0.83711856994727163</v>
      </c>
      <c r="Q32" s="263">
        <f>P32*(1+$P$9)</f>
        <v>0.83711856994727163</v>
      </c>
      <c r="R32" s="263">
        <f t="shared" ref="R32:X32" si="4">Q32*(1+$P$9)</f>
        <v>0.83711856994727163</v>
      </c>
      <c r="S32" s="263">
        <f t="shared" si="4"/>
        <v>0.83711856994727163</v>
      </c>
      <c r="T32" s="263">
        <f t="shared" si="4"/>
        <v>0.83711856994727163</v>
      </c>
      <c r="U32" s="263">
        <f t="shared" si="4"/>
        <v>0.83711856994727163</v>
      </c>
      <c r="V32" s="263">
        <f t="shared" si="4"/>
        <v>0.83711856994727163</v>
      </c>
      <c r="W32" s="263">
        <f t="shared" si="4"/>
        <v>0.83711856994727163</v>
      </c>
      <c r="X32" s="263">
        <f t="shared" si="4"/>
        <v>0.83711856994727163</v>
      </c>
      <c r="Y32" s="263">
        <f>MAX(M32:X32)</f>
        <v>0.83711856994727163</v>
      </c>
    </row>
    <row r="33" spans="3:25" x14ac:dyDescent="0.15">
      <c r="C33" s="2" t="s">
        <v>123</v>
      </c>
      <c r="D33" s="3">
        <v>0.06</v>
      </c>
      <c r="E33" s="2" t="s">
        <v>114</v>
      </c>
      <c r="L33" s="21" t="s">
        <v>143</v>
      </c>
      <c r="M33" s="263">
        <f>'ContabilidaddeInnovación Año3'!Y33</f>
        <v>0.77049470867750858</v>
      </c>
      <c r="N33" s="263">
        <f t="shared" ref="N33:O37" si="5">M33</f>
        <v>0.77049470867750858</v>
      </c>
      <c r="O33" s="263">
        <f t="shared" si="5"/>
        <v>0.77049470867750858</v>
      </c>
      <c r="P33" s="263">
        <f>O33*(1+$Q$6)</f>
        <v>0.77049470867750858</v>
      </c>
      <c r="Q33" s="263">
        <f>P33*(1+$Q$9)</f>
        <v>0.77049470867750858</v>
      </c>
      <c r="R33" s="263">
        <f t="shared" ref="R33:X33" si="6">Q33*(1+$Q$9)</f>
        <v>0.77049470867750858</v>
      </c>
      <c r="S33" s="263">
        <f t="shared" si="6"/>
        <v>0.77049470867750858</v>
      </c>
      <c r="T33" s="263">
        <f t="shared" si="6"/>
        <v>0.77049470867750858</v>
      </c>
      <c r="U33" s="263">
        <f t="shared" si="6"/>
        <v>0.77049470867750858</v>
      </c>
      <c r="V33" s="263">
        <f t="shared" si="6"/>
        <v>0.77049470867750858</v>
      </c>
      <c r="W33" s="263">
        <f t="shared" si="6"/>
        <v>0.77049470867750858</v>
      </c>
      <c r="X33" s="263">
        <f t="shared" si="6"/>
        <v>0.77049470867750858</v>
      </c>
      <c r="Y33" s="263">
        <f t="shared" ref="Y33:Y38" si="7">MAX(M33:X33)</f>
        <v>0.77049470867750858</v>
      </c>
    </row>
    <row r="34" spans="3:25" x14ac:dyDescent="0.15">
      <c r="C34" s="2" t="s">
        <v>80</v>
      </c>
      <c r="D34" s="4">
        <v>0.15</v>
      </c>
      <c r="E34" s="2" t="s">
        <v>114</v>
      </c>
      <c r="L34" s="21" t="s">
        <v>144</v>
      </c>
      <c r="M34" s="263">
        <f>'ContabilidaddeInnovación Año3'!Y34</f>
        <v>0.51808882946268564</v>
      </c>
      <c r="N34" s="263">
        <f t="shared" si="5"/>
        <v>0.51808882946268564</v>
      </c>
      <c r="O34" s="263">
        <f t="shared" si="5"/>
        <v>0.51808882946268564</v>
      </c>
      <c r="P34" s="263">
        <f>O34*(1+$R$6)</f>
        <v>0.51808882946268564</v>
      </c>
      <c r="Q34" s="263">
        <f t="shared" ref="Q34:X34" si="8">P34*(1+$R$6)</f>
        <v>0.51808882946268564</v>
      </c>
      <c r="R34" s="263">
        <f t="shared" si="8"/>
        <v>0.51808882946268564</v>
      </c>
      <c r="S34" s="263">
        <f t="shared" si="8"/>
        <v>0.51808882946268564</v>
      </c>
      <c r="T34" s="263">
        <f t="shared" si="8"/>
        <v>0.51808882946268564</v>
      </c>
      <c r="U34" s="263">
        <f t="shared" si="8"/>
        <v>0.51808882946268564</v>
      </c>
      <c r="V34" s="263">
        <f t="shared" si="8"/>
        <v>0.51808882946268564</v>
      </c>
      <c r="W34" s="263">
        <f t="shared" si="8"/>
        <v>0.51808882946268564</v>
      </c>
      <c r="X34" s="263">
        <f t="shared" si="8"/>
        <v>0.51808882946268564</v>
      </c>
      <c r="Y34" s="263">
        <f t="shared" si="7"/>
        <v>0.51808882946268564</v>
      </c>
    </row>
    <row r="35" spans="3:25" x14ac:dyDescent="0.15">
      <c r="C35" s="6" t="s">
        <v>108</v>
      </c>
      <c r="D35" s="7">
        <f>SUM(D29:D34)</f>
        <v>0.65500000000000014</v>
      </c>
      <c r="E35" s="2" t="s">
        <v>114</v>
      </c>
      <c r="L35" s="21" t="s">
        <v>145</v>
      </c>
      <c r="M35" s="263">
        <f>'ContabilidaddeInnovación Año3'!Y35</f>
        <v>0.46</v>
      </c>
      <c r="N35" s="263">
        <f t="shared" si="5"/>
        <v>0.46</v>
      </c>
      <c r="O35" s="263">
        <f t="shared" si="5"/>
        <v>0.46</v>
      </c>
      <c r="P35" s="263">
        <f>O35</f>
        <v>0.46</v>
      </c>
      <c r="Q35" s="263">
        <f t="shared" ref="Q35:X36" si="9">P35</f>
        <v>0.46</v>
      </c>
      <c r="R35" s="263">
        <f t="shared" si="9"/>
        <v>0.46</v>
      </c>
      <c r="S35" s="263">
        <f t="shared" si="9"/>
        <v>0.46</v>
      </c>
      <c r="T35" s="263">
        <f t="shared" si="9"/>
        <v>0.46</v>
      </c>
      <c r="U35" s="263">
        <f t="shared" si="9"/>
        <v>0.46</v>
      </c>
      <c r="V35" s="263">
        <f t="shared" si="9"/>
        <v>0.46</v>
      </c>
      <c r="W35" s="263">
        <f t="shared" si="9"/>
        <v>0.46</v>
      </c>
      <c r="X35" s="263">
        <f t="shared" si="9"/>
        <v>0.46</v>
      </c>
      <c r="Y35" s="263">
        <f t="shared" si="7"/>
        <v>0.46</v>
      </c>
    </row>
    <row r="36" spans="3:25" x14ac:dyDescent="0.15">
      <c r="L36" s="21" t="s">
        <v>146</v>
      </c>
      <c r="M36" s="263">
        <f>'ContabilidaddeInnovación Año3'!Y36</f>
        <v>0.56900000000000006</v>
      </c>
      <c r="N36" s="263">
        <f t="shared" si="5"/>
        <v>0.56900000000000006</v>
      </c>
      <c r="O36" s="263">
        <f t="shared" si="5"/>
        <v>0.56900000000000006</v>
      </c>
      <c r="P36" s="263">
        <f>O36</f>
        <v>0.56900000000000006</v>
      </c>
      <c r="Q36" s="263">
        <f t="shared" si="9"/>
        <v>0.56900000000000006</v>
      </c>
      <c r="R36" s="263">
        <f t="shared" si="9"/>
        <v>0.56900000000000006</v>
      </c>
      <c r="S36" s="263">
        <f t="shared" si="9"/>
        <v>0.56900000000000006</v>
      </c>
      <c r="T36" s="263">
        <f t="shared" si="9"/>
        <v>0.56900000000000006</v>
      </c>
      <c r="U36" s="263">
        <f t="shared" si="9"/>
        <v>0.56900000000000006</v>
      </c>
      <c r="V36" s="263">
        <f t="shared" si="9"/>
        <v>0.56900000000000006</v>
      </c>
      <c r="W36" s="263">
        <f t="shared" si="9"/>
        <v>0.56900000000000006</v>
      </c>
      <c r="X36" s="263">
        <f t="shared" si="9"/>
        <v>0.56900000000000006</v>
      </c>
      <c r="Y36" s="263">
        <f t="shared" si="7"/>
        <v>0.56900000000000006</v>
      </c>
    </row>
    <row r="37" spans="3:25" x14ac:dyDescent="0.15">
      <c r="C37" s="2" t="s">
        <v>167</v>
      </c>
      <c r="D37" s="3">
        <v>0.08</v>
      </c>
      <c r="L37" s="21" t="s">
        <v>147</v>
      </c>
      <c r="M37" s="263">
        <f>'ContabilidaddeInnovación Año3'!Y37</f>
        <v>0.8</v>
      </c>
      <c r="N37" s="263">
        <f t="shared" si="5"/>
        <v>0.8</v>
      </c>
      <c r="O37" s="263">
        <f t="shared" si="5"/>
        <v>0.8</v>
      </c>
      <c r="P37" s="263">
        <f>O37</f>
        <v>0.8</v>
      </c>
      <c r="Q37" s="263">
        <f>P37*(1+$R$8)</f>
        <v>0.80399999999999994</v>
      </c>
      <c r="R37" s="263">
        <f t="shared" ref="R37:X37" si="10">Q37*(1+$R$8)</f>
        <v>0.80801999999999985</v>
      </c>
      <c r="S37" s="263">
        <f t="shared" si="10"/>
        <v>0.81206009999999973</v>
      </c>
      <c r="T37" s="263">
        <f t="shared" si="10"/>
        <v>0.81612040049999968</v>
      </c>
      <c r="U37" s="263">
        <f t="shared" si="10"/>
        <v>0.82020100250249961</v>
      </c>
      <c r="V37" s="263">
        <f t="shared" si="10"/>
        <v>0.82430200751501204</v>
      </c>
      <c r="W37" s="263">
        <f t="shared" si="10"/>
        <v>0.82842351755258703</v>
      </c>
      <c r="X37" s="263">
        <f t="shared" si="10"/>
        <v>0.83256563514034987</v>
      </c>
      <c r="Y37" s="263">
        <f t="shared" si="7"/>
        <v>0.83256563514034987</v>
      </c>
    </row>
    <row r="38" spans="3:25" x14ac:dyDescent="0.15">
      <c r="L38" s="21" t="s">
        <v>142</v>
      </c>
      <c r="M38" s="263">
        <f>M32*M33*M34*M35*M36*M37</f>
        <v>6.9971462321857567E-2</v>
      </c>
      <c r="N38" s="263">
        <f t="shared" ref="N38:X38" si="11">N32*N33*N34*N35*N36*N37</f>
        <v>6.9971462321857567E-2</v>
      </c>
      <c r="O38" s="263">
        <f t="shared" si="11"/>
        <v>6.9971462321857567E-2</v>
      </c>
      <c r="P38" s="263">
        <f t="shared" si="11"/>
        <v>6.9971462321857567E-2</v>
      </c>
      <c r="Q38" s="263">
        <f t="shared" si="11"/>
        <v>7.0321319633466856E-2</v>
      </c>
      <c r="R38" s="263">
        <f t="shared" si="11"/>
        <v>7.0672926231634181E-2</v>
      </c>
      <c r="S38" s="263">
        <f t="shared" si="11"/>
        <v>7.1026290862792343E-2</v>
      </c>
      <c r="T38" s="263">
        <f t="shared" si="11"/>
        <v>7.1381422317106299E-2</v>
      </c>
      <c r="U38" s="263">
        <f t="shared" si="11"/>
        <v>7.1738329428691822E-2</v>
      </c>
      <c r="V38" s="263">
        <f t="shared" si="11"/>
        <v>7.209702107583528E-2</v>
      </c>
      <c r="W38" s="263">
        <f t="shared" si="11"/>
        <v>7.2457506181214451E-2</v>
      </c>
      <c r="X38" s="263">
        <f t="shared" si="11"/>
        <v>7.2819793712120509E-2</v>
      </c>
      <c r="Y38" s="263">
        <f t="shared" si="7"/>
        <v>7.2819793712120509E-2</v>
      </c>
    </row>
    <row r="40" spans="3:25" x14ac:dyDescent="0.15">
      <c r="L40" s="21" t="s">
        <v>135</v>
      </c>
      <c r="M40" s="24">
        <f>M11</f>
        <v>3747535.9077967093</v>
      </c>
      <c r="N40" s="24">
        <f>M40*(1+$M$7)</f>
        <v>4017358.4931580727</v>
      </c>
      <c r="O40" s="24">
        <f t="shared" ref="O40:X40" si="12">N40*(1+$M$7)</f>
        <v>4306608.3046654537</v>
      </c>
      <c r="P40" s="24">
        <f t="shared" si="12"/>
        <v>4616684.102601367</v>
      </c>
      <c r="Q40" s="24">
        <f t="shared" si="12"/>
        <v>4949085.3579886658</v>
      </c>
      <c r="R40" s="24">
        <f t="shared" si="12"/>
        <v>5305419.5037638498</v>
      </c>
      <c r="S40" s="24">
        <f t="shared" si="12"/>
        <v>5687409.7080348469</v>
      </c>
      <c r="T40" s="24">
        <f t="shared" si="12"/>
        <v>6096903.2070133565</v>
      </c>
      <c r="U40" s="24">
        <f t="shared" si="12"/>
        <v>6535880.2379183182</v>
      </c>
      <c r="V40" s="24">
        <f t="shared" si="12"/>
        <v>7006463.6150484374</v>
      </c>
      <c r="W40" s="24">
        <f t="shared" si="12"/>
        <v>7510928.9953319253</v>
      </c>
      <c r="X40" s="24">
        <f t="shared" si="12"/>
        <v>8051715.8829958243</v>
      </c>
      <c r="Y40" s="24">
        <f>SUM(M40:X40)</f>
        <v>67831993.316316828</v>
      </c>
    </row>
    <row r="41" spans="3:25" x14ac:dyDescent="0.15">
      <c r="L41" s="21" t="s">
        <v>170</v>
      </c>
      <c r="M41" s="24">
        <f t="shared" ref="M41:X41" si="13">M40*$M$8</f>
        <v>97435.933602714445</v>
      </c>
      <c r="N41" s="24">
        <f t="shared" si="13"/>
        <v>104451.32082210989</v>
      </c>
      <c r="O41" s="24">
        <f t="shared" si="13"/>
        <v>111971.81592130179</v>
      </c>
      <c r="P41" s="24">
        <f t="shared" si="13"/>
        <v>120033.78666763553</v>
      </c>
      <c r="Q41" s="24">
        <f t="shared" si="13"/>
        <v>128676.21930770531</v>
      </c>
      <c r="R41" s="24">
        <f t="shared" si="13"/>
        <v>137940.90709786009</v>
      </c>
      <c r="S41" s="24">
        <f t="shared" si="13"/>
        <v>147872.65240890603</v>
      </c>
      <c r="T41" s="24">
        <f t="shared" si="13"/>
        <v>158519.48338234727</v>
      </c>
      <c r="U41" s="24">
        <f t="shared" si="13"/>
        <v>169932.88618587627</v>
      </c>
      <c r="V41" s="24">
        <f t="shared" si="13"/>
        <v>182168.05399125937</v>
      </c>
      <c r="W41" s="24">
        <f t="shared" si="13"/>
        <v>195284.15387863005</v>
      </c>
      <c r="X41" s="24">
        <f t="shared" si="13"/>
        <v>209344.61295789143</v>
      </c>
      <c r="Y41" s="24">
        <f>SUM(M41:X41)</f>
        <v>1763631.8262242377</v>
      </c>
    </row>
    <row r="42" spans="3:25" x14ac:dyDescent="0.15">
      <c r="L42" s="21" t="s">
        <v>171</v>
      </c>
      <c r="M42" s="24">
        <f t="shared" ref="M42:X42" si="14">M104</f>
        <v>4012.7170996345385</v>
      </c>
      <c r="N42" s="24">
        <f t="shared" si="14"/>
        <v>4250.7663199938188</v>
      </c>
      <c r="O42" s="24">
        <f t="shared" si="14"/>
        <v>4491.4760178332572</v>
      </c>
      <c r="P42" s="24">
        <f t="shared" si="14"/>
        <v>4734.8461931528518</v>
      </c>
      <c r="Q42" s="24">
        <f t="shared" si="14"/>
        <v>4980.8768459526054</v>
      </c>
      <c r="R42" s="24">
        <f t="shared" si="14"/>
        <v>5229.5679762325153</v>
      </c>
      <c r="S42" s="24">
        <f t="shared" si="14"/>
        <v>5480.9195839925833</v>
      </c>
      <c r="T42" s="24">
        <f t="shared" si="14"/>
        <v>5726.359019574521</v>
      </c>
      <c r="U42" s="24">
        <f t="shared" si="14"/>
        <v>5956.7224161022359</v>
      </c>
      <c r="V42" s="24">
        <f t="shared" si="14"/>
        <v>6162.2546894818133</v>
      </c>
      <c r="W42" s="24">
        <f t="shared" si="14"/>
        <v>6352.4448760591513</v>
      </c>
      <c r="X42" s="24">
        <f t="shared" si="14"/>
        <v>6537.4914728415179</v>
      </c>
      <c r="Y42" s="24">
        <f>SUM(M42:X42)</f>
        <v>63916.442510851411</v>
      </c>
    </row>
    <row r="43" spans="3:25" x14ac:dyDescent="0.15">
      <c r="L43" s="21" t="s">
        <v>138</v>
      </c>
      <c r="M43" s="24">
        <f>(M41+M42)*M38</f>
        <v>7098.5104402227007</v>
      </c>
      <c r="N43" s="24">
        <f t="shared" ref="N43:X43" si="15">(N41+N42)*N38</f>
        <v>7606.0439947709883</v>
      </c>
      <c r="O43" s="24">
        <f t="shared" si="15"/>
        <v>8149.106843798686</v>
      </c>
      <c r="P43" s="24">
        <f t="shared" si="15"/>
        <v>8730.2436931683351</v>
      </c>
      <c r="Q43" s="24">
        <f t="shared" si="15"/>
        <v>9398.9433799023918</v>
      </c>
      <c r="R43" s="24">
        <f t="shared" si="15"/>
        <v>10118.276423459367</v>
      </c>
      <c r="S43" s="24">
        <f t="shared" si="15"/>
        <v>10892.135409215784</v>
      </c>
      <c r="T43" s="24">
        <f t="shared" si="15"/>
        <v>11724.101840320465</v>
      </c>
      <c r="U43" s="24">
        <f t="shared" si="15"/>
        <v>12618.026684972401</v>
      </c>
      <c r="V43" s="24">
        <f t="shared" si="15"/>
        <v>13578.05423417396</v>
      </c>
      <c r="W43" s="24">
        <f t="shared" si="15"/>
        <v>14610.085100626951</v>
      </c>
      <c r="X43" s="24">
        <f t="shared" si="15"/>
        <v>15720.490310784431</v>
      </c>
      <c r="Y43" s="24">
        <f t="shared" ref="Y43" si="16">Y41*Y38</f>
        <v>128427.30576977936</v>
      </c>
    </row>
    <row r="44" spans="3:25" x14ac:dyDescent="0.15">
      <c r="L44" s="59" t="s">
        <v>139</v>
      </c>
      <c r="M44" s="11">
        <f t="shared" ref="M44:X44" si="17">M43*($M$17*$M$22)</f>
        <v>7012192553.2695923</v>
      </c>
      <c r="N44" s="11">
        <f t="shared" si="17"/>
        <v>7513554499.7945728</v>
      </c>
      <c r="O44" s="11">
        <f t="shared" si="17"/>
        <v>8050013704.5780935</v>
      </c>
      <c r="P44" s="11">
        <f t="shared" si="17"/>
        <v>8624083929.8594074</v>
      </c>
      <c r="Q44" s="11">
        <f t="shared" si="17"/>
        <v>9284652228.4027786</v>
      </c>
      <c r="R44" s="11">
        <f t="shared" si="17"/>
        <v>9995238182.1501007</v>
      </c>
      <c r="S44" s="11">
        <f t="shared" si="17"/>
        <v>10759687042.639719</v>
      </c>
      <c r="T44" s="11">
        <f t="shared" si="17"/>
        <v>11581536761.942169</v>
      </c>
      <c r="U44" s="11">
        <f t="shared" si="17"/>
        <v>12464591480.483137</v>
      </c>
      <c r="V44" s="11">
        <f t="shared" si="17"/>
        <v>13412945094.686405</v>
      </c>
      <c r="W44" s="11">
        <f t="shared" si="17"/>
        <v>14432426465.803328</v>
      </c>
      <c r="X44" s="11">
        <f t="shared" si="17"/>
        <v>15529329148.605293</v>
      </c>
      <c r="Y44" s="11">
        <f>SUM(M44:X44)</f>
        <v>128660251092.2146</v>
      </c>
    </row>
    <row r="45" spans="3:25" x14ac:dyDescent="0.15">
      <c r="L45" s="78" t="s">
        <v>113</v>
      </c>
      <c r="M45" s="76">
        <f>('ContabilidaddeInnovación Año3'!M43+'ContabilidaddeInnovación Año3'!M45)*M105</f>
        <v>5569.8109372633417</v>
      </c>
      <c r="N45" s="76">
        <f>('ContabilidaddeInnovación Año3'!N43+'ContabilidaddeInnovación Año3'!N45)*N105</f>
        <v>6037.7889252620334</v>
      </c>
      <c r="O45" s="76">
        <f>('ContabilidaddeInnovación Año3'!O43+'ContabilidaddeInnovación Año3'!O45)*O105</f>
        <v>6660.8799569922285</v>
      </c>
      <c r="P45" s="76">
        <f>('ContabilidaddeInnovación Año3'!P43+'ContabilidaddeInnovación Año3'!P45)*P105</f>
        <v>7209.4105922170529</v>
      </c>
      <c r="Q45" s="76">
        <f>('ContabilidaddeInnovación Año3'!Q43+'ContabilidaddeInnovación Año3'!Q45)*Q105</f>
        <v>7802.1431023206642</v>
      </c>
      <c r="R45" s="76">
        <f>('ContabilidaddeInnovación Año3'!R43+'ContabilidaddeInnovación Año3'!R45)*R105</f>
        <v>8449.6471295201791</v>
      </c>
      <c r="S45" s="76">
        <f>('ContabilidaddeInnovación Año3'!S43+'ContabilidaddeInnovación Año3'!S45)*S105</f>
        <v>9145.5355583963174</v>
      </c>
      <c r="T45" s="76">
        <f>('ContabilidaddeInnovación Año3'!T43+'ContabilidaddeInnovación Año3'!T45)*T105</f>
        <v>9903.8825997484273</v>
      </c>
      <c r="U45" s="76">
        <f>('ContabilidaddeInnovación Año3'!U43+'ContabilidaddeInnovación Año3'!U45)*U105</f>
        <v>10835.864904587082</v>
      </c>
      <c r="V45" s="76">
        <f>('ContabilidaddeInnovación Año3'!V43+'ContabilidaddeInnovación Año3'!V45)*V105</f>
        <v>12580.385189473625</v>
      </c>
      <c r="W45" s="76">
        <f>('ContabilidaddeInnovación Año3'!W43+'ContabilidaddeInnovación Año3'!W45)*W105</f>
        <v>19658.973986636425</v>
      </c>
      <c r="X45" s="76">
        <f>('ContabilidaddeInnovación Año3'!X43+'ContabilidaddeInnovación Año3'!X45)*X105</f>
        <v>13522.125208671381</v>
      </c>
      <c r="Y45" s="24">
        <f>SUM(M45:X45)</f>
        <v>117376.44809108877</v>
      </c>
    </row>
    <row r="46" spans="3:25" x14ac:dyDescent="0.15">
      <c r="L46" s="78" t="s">
        <v>203</v>
      </c>
      <c r="M46" s="17">
        <f t="shared" ref="M46:X46" si="18">M45*($M$17*$M$22)</f>
        <v>5502082036.2662191</v>
      </c>
      <c r="N46" s="17">
        <f t="shared" si="18"/>
        <v>5964369411.9308472</v>
      </c>
      <c r="O46" s="17">
        <f t="shared" si="18"/>
        <v>6579883656.7152033</v>
      </c>
      <c r="P46" s="17">
        <f t="shared" si="18"/>
        <v>7121744159.4156933</v>
      </c>
      <c r="Q46" s="17">
        <f t="shared" si="18"/>
        <v>7707269042.1964445</v>
      </c>
      <c r="R46" s="17">
        <f t="shared" si="18"/>
        <v>8346899420.4252138</v>
      </c>
      <c r="S46" s="17">
        <f t="shared" si="18"/>
        <v>9034325846.006218</v>
      </c>
      <c r="T46" s="17">
        <f t="shared" si="18"/>
        <v>9783451387.3354874</v>
      </c>
      <c r="U46" s="17">
        <f t="shared" si="18"/>
        <v>10704100787.347303</v>
      </c>
      <c r="V46" s="17">
        <f t="shared" si="18"/>
        <v>12427407705.569626</v>
      </c>
      <c r="W46" s="17">
        <f t="shared" si="18"/>
        <v>19419920862.958927</v>
      </c>
      <c r="X46" s="17">
        <f t="shared" si="18"/>
        <v>13357696166.133938</v>
      </c>
      <c r="Y46" s="11">
        <f>SUM(M46:X46)</f>
        <v>115949150482.30112</v>
      </c>
    </row>
    <row r="47" spans="3:25" x14ac:dyDescent="0.15">
      <c r="L47" s="77" t="s">
        <v>140</v>
      </c>
      <c r="M47" s="11">
        <f t="shared" ref="M47:X47" si="19">(M44*$M$19)+(M46*$M$19)</f>
        <v>1877141188.4303718</v>
      </c>
      <c r="N47" s="11">
        <f t="shared" si="19"/>
        <v>2021688586.7588129</v>
      </c>
      <c r="O47" s="11">
        <f t="shared" si="19"/>
        <v>2194484604.1939945</v>
      </c>
      <c r="P47" s="11">
        <f t="shared" si="19"/>
        <v>2361874213.3912649</v>
      </c>
      <c r="Q47" s="11">
        <f t="shared" si="19"/>
        <v>2548788190.5898833</v>
      </c>
      <c r="R47" s="11">
        <f t="shared" si="19"/>
        <v>2751320640.3862972</v>
      </c>
      <c r="S47" s="11">
        <f t="shared" si="19"/>
        <v>2969101933.2968903</v>
      </c>
      <c r="T47" s="11">
        <f t="shared" si="19"/>
        <v>3204748222.3916483</v>
      </c>
      <c r="U47" s="11">
        <f t="shared" si="19"/>
        <v>3475303840.1745658</v>
      </c>
      <c r="V47" s="11">
        <f t="shared" si="19"/>
        <v>3876052920.0384045</v>
      </c>
      <c r="W47" s="11">
        <f t="shared" si="19"/>
        <v>5077852099.3143387</v>
      </c>
      <c r="X47" s="11">
        <f t="shared" si="19"/>
        <v>4333053797.2108841</v>
      </c>
      <c r="Y47" s="11">
        <f>SUM(M47:X47)</f>
        <v>36691410236.177353</v>
      </c>
    </row>
    <row r="48" spans="3:25" x14ac:dyDescent="0.15">
      <c r="M48" s="75"/>
      <c r="N48" s="75"/>
      <c r="O48" s="75"/>
      <c r="P48" s="75"/>
      <c r="Q48" s="75"/>
      <c r="R48" s="75"/>
      <c r="S48" s="75"/>
      <c r="T48" s="75"/>
      <c r="U48" s="75"/>
      <c r="V48" s="75"/>
      <c r="W48" s="75"/>
      <c r="X48" s="75"/>
      <c r="Y48" s="75"/>
    </row>
    <row r="49" spans="8:25" ht="16" x14ac:dyDescent="0.2">
      <c r="L49" s="20" t="s">
        <v>118</v>
      </c>
      <c r="M49" s="3"/>
      <c r="N49" s="3"/>
      <c r="O49" s="3"/>
      <c r="P49" s="3"/>
      <c r="Q49" s="3"/>
      <c r="R49" s="3"/>
    </row>
    <row r="50" spans="8:25" x14ac:dyDescent="0.15">
      <c r="L50" s="21" t="s">
        <v>149</v>
      </c>
      <c r="M50" s="25">
        <f>'ContabilidaddeInnovación Año2'!Y49</f>
        <v>0.51262562656406219</v>
      </c>
      <c r="N50" s="25">
        <f>M50</f>
        <v>0.51262562656406219</v>
      </c>
      <c r="O50" s="25">
        <f>N50</f>
        <v>0.51262562656406219</v>
      </c>
      <c r="P50" s="22">
        <f>O50*(1+$P$9)</f>
        <v>0.51262562656406219</v>
      </c>
      <c r="Q50" s="22">
        <f t="shared" ref="Q50:X50" si="20">P50*(1+$P$9)</f>
        <v>0.51262562656406219</v>
      </c>
      <c r="R50" s="22">
        <f t="shared" si="20"/>
        <v>0.51262562656406219</v>
      </c>
      <c r="S50" s="22">
        <f t="shared" si="20"/>
        <v>0.51262562656406219</v>
      </c>
      <c r="T50" s="22">
        <f t="shared" si="20"/>
        <v>0.51262562656406219</v>
      </c>
      <c r="U50" s="22">
        <f t="shared" si="20"/>
        <v>0.51262562656406219</v>
      </c>
      <c r="V50" s="22">
        <f t="shared" si="20"/>
        <v>0.51262562656406219</v>
      </c>
      <c r="W50" s="22">
        <f t="shared" si="20"/>
        <v>0.51262562656406219</v>
      </c>
      <c r="X50" s="22">
        <f t="shared" si="20"/>
        <v>0.51262562656406219</v>
      </c>
      <c r="Y50" s="22">
        <f>MAX(M50:X50)</f>
        <v>0.51262562656406219</v>
      </c>
    </row>
    <row r="51" spans="8:25" x14ac:dyDescent="0.15">
      <c r="L51" s="21" t="s">
        <v>143</v>
      </c>
      <c r="M51" s="25">
        <f>'ContabilidaddeInnovación Año2'!Y50</f>
        <v>0.71056318928366957</v>
      </c>
      <c r="N51" s="25">
        <f t="shared" ref="N51:O55" si="21">M51</f>
        <v>0.71056318928366957</v>
      </c>
      <c r="O51" s="25">
        <f t="shared" si="21"/>
        <v>0.71056318928366957</v>
      </c>
      <c r="P51" s="22">
        <f>O51*(1+$Q$9)</f>
        <v>0.71056318928366957</v>
      </c>
      <c r="Q51" s="22">
        <f t="shared" ref="Q51:X51" si="22">P51*(1+$Q$9)</f>
        <v>0.71056318928366957</v>
      </c>
      <c r="R51" s="22">
        <f t="shared" si="22"/>
        <v>0.71056318928366957</v>
      </c>
      <c r="S51" s="22">
        <f t="shared" si="22"/>
        <v>0.71056318928366957</v>
      </c>
      <c r="T51" s="22">
        <f t="shared" si="22"/>
        <v>0.71056318928366957</v>
      </c>
      <c r="U51" s="22">
        <f t="shared" si="22"/>
        <v>0.71056318928366957</v>
      </c>
      <c r="V51" s="22">
        <f t="shared" si="22"/>
        <v>0.71056318928366957</v>
      </c>
      <c r="W51" s="22">
        <f t="shared" si="22"/>
        <v>0.71056318928366957</v>
      </c>
      <c r="X51" s="22">
        <f t="shared" si="22"/>
        <v>0.71056318928366957</v>
      </c>
      <c r="Y51" s="22">
        <f t="shared" ref="Y51:Y56" si="23">MAX(M51:X51)</f>
        <v>0.71056318928366957</v>
      </c>
    </row>
    <row r="52" spans="8:25" x14ac:dyDescent="0.15">
      <c r="H52" s="8"/>
      <c r="I52" s="8"/>
      <c r="J52" s="16"/>
      <c r="K52" s="9"/>
      <c r="L52" s="21" t="s">
        <v>144</v>
      </c>
      <c r="M52" s="25">
        <f>'ContabilidaddeInnovación Año2'!Y51</f>
        <v>0.5</v>
      </c>
      <c r="N52" s="25">
        <f t="shared" si="21"/>
        <v>0.5</v>
      </c>
      <c r="O52" s="25">
        <f t="shared" si="21"/>
        <v>0.5</v>
      </c>
      <c r="P52" s="22">
        <f>O52*(1+$R$6)</f>
        <v>0.5</v>
      </c>
      <c r="Q52" s="22">
        <f t="shared" ref="Q52:X52" si="24">P52*(1+$R$6)</f>
        <v>0.5</v>
      </c>
      <c r="R52" s="22">
        <f t="shared" si="24"/>
        <v>0.5</v>
      </c>
      <c r="S52" s="22">
        <f t="shared" si="24"/>
        <v>0.5</v>
      </c>
      <c r="T52" s="22">
        <f t="shared" si="24"/>
        <v>0.5</v>
      </c>
      <c r="U52" s="22">
        <f t="shared" si="24"/>
        <v>0.5</v>
      </c>
      <c r="V52" s="22">
        <f t="shared" si="24"/>
        <v>0.5</v>
      </c>
      <c r="W52" s="22">
        <f t="shared" si="24"/>
        <v>0.5</v>
      </c>
      <c r="X52" s="22">
        <f t="shared" si="24"/>
        <v>0.5</v>
      </c>
      <c r="Y52" s="22">
        <f t="shared" si="23"/>
        <v>0.5</v>
      </c>
    </row>
    <row r="53" spans="8:25" x14ac:dyDescent="0.15">
      <c r="H53" s="8"/>
      <c r="I53" s="8"/>
      <c r="J53" s="16"/>
      <c r="L53" s="21" t="s">
        <v>145</v>
      </c>
      <c r="M53" s="25">
        <f>'ContabilidaddeInnovación Año2'!Y52</f>
        <v>1</v>
      </c>
      <c r="N53" s="25">
        <f t="shared" si="21"/>
        <v>1</v>
      </c>
      <c r="O53" s="25">
        <f t="shared" si="21"/>
        <v>1</v>
      </c>
      <c r="P53" s="22">
        <f>O53</f>
        <v>1</v>
      </c>
      <c r="Q53" s="22">
        <f t="shared" ref="Q53:X54" si="25">P53</f>
        <v>1</v>
      </c>
      <c r="R53" s="22">
        <f t="shared" si="25"/>
        <v>1</v>
      </c>
      <c r="S53" s="22">
        <f t="shared" si="25"/>
        <v>1</v>
      </c>
      <c r="T53" s="22">
        <f t="shared" si="25"/>
        <v>1</v>
      </c>
      <c r="U53" s="22">
        <f t="shared" si="25"/>
        <v>1</v>
      </c>
      <c r="V53" s="22">
        <f t="shared" si="25"/>
        <v>1</v>
      </c>
      <c r="W53" s="22">
        <f t="shared" si="25"/>
        <v>1</v>
      </c>
      <c r="X53" s="22">
        <f t="shared" si="25"/>
        <v>1</v>
      </c>
      <c r="Y53" s="22">
        <f t="shared" si="23"/>
        <v>1</v>
      </c>
    </row>
    <row r="54" spans="8:25" x14ac:dyDescent="0.15">
      <c r="L54" s="21" t="s">
        <v>146</v>
      </c>
      <c r="M54" s="25">
        <f>'ContabilidaddeInnovación Año2'!Y53</f>
        <v>1</v>
      </c>
      <c r="N54" s="25">
        <f t="shared" si="21"/>
        <v>1</v>
      </c>
      <c r="O54" s="25">
        <f t="shared" si="21"/>
        <v>1</v>
      </c>
      <c r="P54" s="22">
        <f>O54</f>
        <v>1</v>
      </c>
      <c r="Q54" s="22">
        <f t="shared" si="25"/>
        <v>1</v>
      </c>
      <c r="R54" s="22">
        <f t="shared" si="25"/>
        <v>1</v>
      </c>
      <c r="S54" s="22">
        <f t="shared" si="25"/>
        <v>1</v>
      </c>
      <c r="T54" s="22">
        <f t="shared" si="25"/>
        <v>1</v>
      </c>
      <c r="U54" s="22">
        <f t="shared" si="25"/>
        <v>1</v>
      </c>
      <c r="V54" s="22">
        <f t="shared" si="25"/>
        <v>1</v>
      </c>
      <c r="W54" s="22">
        <f t="shared" si="25"/>
        <v>1</v>
      </c>
      <c r="X54" s="22">
        <f t="shared" si="25"/>
        <v>1</v>
      </c>
      <c r="Y54" s="22">
        <f t="shared" si="23"/>
        <v>1</v>
      </c>
    </row>
    <row r="55" spans="8:25" x14ac:dyDescent="0.15">
      <c r="L55" s="21" t="s">
        <v>147</v>
      </c>
      <c r="M55" s="25">
        <f>'ContabilidaddeInnovación Año2'!Y54</f>
        <v>0.4</v>
      </c>
      <c r="N55" s="25">
        <f t="shared" si="21"/>
        <v>0.4</v>
      </c>
      <c r="O55" s="25">
        <f t="shared" si="21"/>
        <v>0.4</v>
      </c>
      <c r="P55" s="22">
        <f>O55</f>
        <v>0.4</v>
      </c>
      <c r="Q55" s="22">
        <f>P55*(1+$R$8)</f>
        <v>0.40199999999999997</v>
      </c>
      <c r="R55" s="22">
        <f t="shared" ref="R55:X55" si="26">Q55*(1+$R$8)</f>
        <v>0.40400999999999992</v>
      </c>
      <c r="S55" s="22">
        <f t="shared" si="26"/>
        <v>0.40603004999999986</v>
      </c>
      <c r="T55" s="22">
        <f t="shared" si="26"/>
        <v>0.40806020024999984</v>
      </c>
      <c r="U55" s="22">
        <f t="shared" si="26"/>
        <v>0.4101005012512498</v>
      </c>
      <c r="V55" s="22">
        <f t="shared" si="26"/>
        <v>0.41215100375750602</v>
      </c>
      <c r="W55" s="22">
        <f t="shared" si="26"/>
        <v>0.41421175877629351</v>
      </c>
      <c r="X55" s="22">
        <f t="shared" si="26"/>
        <v>0.41628281757017493</v>
      </c>
      <c r="Y55" s="22">
        <f t="shared" si="23"/>
        <v>0.41628281757017493</v>
      </c>
    </row>
    <row r="56" spans="8:25" x14ac:dyDescent="0.15">
      <c r="L56" s="21" t="s">
        <v>142</v>
      </c>
      <c r="M56" s="25">
        <f t="shared" ref="M56:X56" si="27">M50*M51*M52*M53*M54*M55</f>
        <v>7.2850580023979886E-2</v>
      </c>
      <c r="N56" s="25">
        <f t="shared" si="27"/>
        <v>7.2850580023979886E-2</v>
      </c>
      <c r="O56" s="25">
        <f t="shared" si="27"/>
        <v>7.2850580023979886E-2</v>
      </c>
      <c r="P56" s="26">
        <f t="shared" si="27"/>
        <v>7.2850580023979886E-2</v>
      </c>
      <c r="Q56" s="26">
        <f t="shared" si="27"/>
        <v>7.3214832924099776E-2</v>
      </c>
      <c r="R56" s="26">
        <f t="shared" si="27"/>
        <v>7.3580907088720268E-2</v>
      </c>
      <c r="S56" s="26">
        <f t="shared" si="27"/>
        <v>7.3948811624163863E-2</v>
      </c>
      <c r="T56" s="26">
        <f t="shared" si="27"/>
        <v>7.4318555682284668E-2</v>
      </c>
      <c r="U56" s="26">
        <f t="shared" si="27"/>
        <v>7.469014846069609E-2</v>
      </c>
      <c r="V56" s="26">
        <f t="shared" si="27"/>
        <v>7.506359920299957E-2</v>
      </c>
      <c r="W56" s="26">
        <f t="shared" si="27"/>
        <v>7.5438917199014549E-2</v>
      </c>
      <c r="X56" s="26">
        <f t="shared" si="27"/>
        <v>7.5816111785009618E-2</v>
      </c>
      <c r="Y56" s="22">
        <f t="shared" si="23"/>
        <v>7.5816111785009618E-2</v>
      </c>
    </row>
    <row r="58" spans="8:25" x14ac:dyDescent="0.15">
      <c r="L58" s="21" t="s">
        <v>152</v>
      </c>
      <c r="M58" s="24">
        <f>M11</f>
        <v>3747535.9077967093</v>
      </c>
      <c r="N58" s="24">
        <f>M58*(1+$M$7)</f>
        <v>4017358.4931580727</v>
      </c>
      <c r="O58" s="24">
        <f t="shared" ref="O58:X58" si="28">N58*(1+$M$7)</f>
        <v>4306608.3046654537</v>
      </c>
      <c r="P58" s="24">
        <f t="shared" si="28"/>
        <v>4616684.102601367</v>
      </c>
      <c r="Q58" s="24">
        <f t="shared" si="28"/>
        <v>4949085.3579886658</v>
      </c>
      <c r="R58" s="24">
        <f t="shared" si="28"/>
        <v>5305419.5037638498</v>
      </c>
      <c r="S58" s="24">
        <f t="shared" si="28"/>
        <v>5687409.7080348469</v>
      </c>
      <c r="T58" s="24">
        <f t="shared" si="28"/>
        <v>6096903.2070133565</v>
      </c>
      <c r="U58" s="24">
        <f t="shared" si="28"/>
        <v>6535880.2379183182</v>
      </c>
      <c r="V58" s="24">
        <f t="shared" si="28"/>
        <v>7006463.6150484374</v>
      </c>
      <c r="W58" s="24">
        <f t="shared" si="28"/>
        <v>7510928.9953319253</v>
      </c>
      <c r="X58" s="24">
        <f t="shared" si="28"/>
        <v>8051715.8829958243</v>
      </c>
      <c r="Y58" s="24">
        <f t="shared" ref="Y58:Y65" si="29">SUM(M58:X58)</f>
        <v>67831993.316316828</v>
      </c>
    </row>
    <row r="59" spans="8:25" x14ac:dyDescent="0.15">
      <c r="L59" s="21" t="s">
        <v>136</v>
      </c>
      <c r="M59" s="24">
        <f>M58*$M$8</f>
        <v>97435.933602714445</v>
      </c>
      <c r="N59" s="24">
        <f t="shared" ref="N59:X59" si="30">N58*$M$8</f>
        <v>104451.32082210989</v>
      </c>
      <c r="O59" s="24">
        <f t="shared" si="30"/>
        <v>111971.81592130179</v>
      </c>
      <c r="P59" s="24">
        <f t="shared" si="30"/>
        <v>120033.78666763553</v>
      </c>
      <c r="Q59" s="24">
        <f t="shared" si="30"/>
        <v>128676.21930770531</v>
      </c>
      <c r="R59" s="24">
        <f t="shared" si="30"/>
        <v>137940.90709786009</v>
      </c>
      <c r="S59" s="24">
        <f t="shared" si="30"/>
        <v>147872.65240890603</v>
      </c>
      <c r="T59" s="24">
        <f t="shared" si="30"/>
        <v>158519.48338234727</v>
      </c>
      <c r="U59" s="24">
        <f t="shared" si="30"/>
        <v>169932.88618587627</v>
      </c>
      <c r="V59" s="24">
        <f t="shared" si="30"/>
        <v>182168.05399125937</v>
      </c>
      <c r="W59" s="24">
        <f t="shared" si="30"/>
        <v>195284.15387863005</v>
      </c>
      <c r="X59" s="24">
        <f t="shared" si="30"/>
        <v>209344.61295789143</v>
      </c>
      <c r="Y59" s="24">
        <f t="shared" si="29"/>
        <v>1763631.8262242377</v>
      </c>
    </row>
    <row r="60" spans="8:25" x14ac:dyDescent="0.15">
      <c r="L60" s="21" t="s">
        <v>171</v>
      </c>
      <c r="M60" s="24">
        <f>M104</f>
        <v>4012.7170996345385</v>
      </c>
      <c r="N60" s="24">
        <f t="shared" ref="N60:X60" si="31">N104</f>
        <v>4250.7663199938188</v>
      </c>
      <c r="O60" s="24">
        <f t="shared" si="31"/>
        <v>4491.4760178332572</v>
      </c>
      <c r="P60" s="24">
        <f t="shared" si="31"/>
        <v>4734.8461931528518</v>
      </c>
      <c r="Q60" s="24">
        <f t="shared" si="31"/>
        <v>4980.8768459526054</v>
      </c>
      <c r="R60" s="24">
        <f t="shared" si="31"/>
        <v>5229.5679762325153</v>
      </c>
      <c r="S60" s="24">
        <f t="shared" si="31"/>
        <v>5480.9195839925833</v>
      </c>
      <c r="T60" s="24">
        <f t="shared" si="31"/>
        <v>5726.359019574521</v>
      </c>
      <c r="U60" s="24">
        <f t="shared" si="31"/>
        <v>5956.7224161022359</v>
      </c>
      <c r="V60" s="24">
        <f t="shared" si="31"/>
        <v>6162.2546894818133</v>
      </c>
      <c r="W60" s="24">
        <f t="shared" si="31"/>
        <v>6352.4448760591513</v>
      </c>
      <c r="X60" s="24">
        <f t="shared" si="31"/>
        <v>6537.4914728415179</v>
      </c>
      <c r="Y60" s="24">
        <f t="shared" si="29"/>
        <v>63916.442510851411</v>
      </c>
    </row>
    <row r="61" spans="8:25" x14ac:dyDescent="0.15">
      <c r="L61" s="21" t="s">
        <v>138</v>
      </c>
      <c r="M61" s="24">
        <f>(M59+M60)*M56</f>
        <v>7390.5930463162576</v>
      </c>
      <c r="N61" s="24">
        <f t="shared" ref="N61:X61" si="32">(N59+N60)*N56</f>
        <v>7919.0100981194619</v>
      </c>
      <c r="O61" s="24">
        <f t="shared" si="32"/>
        <v>8484.418369268089</v>
      </c>
      <c r="P61" s="24">
        <f t="shared" si="32"/>
        <v>9089.4672727074303</v>
      </c>
      <c r="Q61" s="24">
        <f t="shared" si="32"/>
        <v>9785.6819640104022</v>
      </c>
      <c r="R61" s="24">
        <f t="shared" si="32"/>
        <v>10534.613424274748</v>
      </c>
      <c r="S61" s="24">
        <f t="shared" si="32"/>
        <v>11340.314407195512</v>
      </c>
      <c r="T61" s="24">
        <f t="shared" si="32"/>
        <v>12206.513784130979</v>
      </c>
      <c r="U61" s="24">
        <f t="shared" si="32"/>
        <v>13137.220979175503</v>
      </c>
      <c r="V61" s="24">
        <f t="shared" si="32"/>
        <v>14136.750808588346</v>
      </c>
      <c r="W61" s="24">
        <f t="shared" si="32"/>
        <v>15211.246677745919</v>
      </c>
      <c r="X61" s="24">
        <f t="shared" si="32"/>
        <v>16367.34176190357</v>
      </c>
      <c r="Y61" s="24">
        <f t="shared" si="29"/>
        <v>135603.1725934362</v>
      </c>
    </row>
    <row r="62" spans="8:25" x14ac:dyDescent="0.15">
      <c r="L62" s="21" t="s">
        <v>139</v>
      </c>
      <c r="M62" s="29">
        <f t="shared" ref="M62:X62" si="33">M61*$M$20</f>
        <v>2486343312.6417155</v>
      </c>
      <c r="N62" s="29">
        <f t="shared" si="33"/>
        <v>2664113377.2093492</v>
      </c>
      <c r="O62" s="29">
        <f t="shared" si="33"/>
        <v>2854328027.7891707</v>
      </c>
      <c r="P62" s="29">
        <f t="shared" si="33"/>
        <v>3057878579.8842335</v>
      </c>
      <c r="Q62" s="29">
        <f t="shared" si="33"/>
        <v>3292099126.3323793</v>
      </c>
      <c r="R62" s="29">
        <f t="shared" si="33"/>
        <v>3544054648.1945109</v>
      </c>
      <c r="S62" s="29">
        <f t="shared" si="33"/>
        <v>3815108572.8687143</v>
      </c>
      <c r="T62" s="29">
        <f t="shared" si="33"/>
        <v>4106515367.2573438</v>
      </c>
      <c r="U62" s="29">
        <f t="shared" si="33"/>
        <v>4419623881.8142223</v>
      </c>
      <c r="V62" s="29">
        <f t="shared" si="33"/>
        <v>4755885707.0252914</v>
      </c>
      <c r="W62" s="29">
        <f t="shared" si="33"/>
        <v>5117367607.327282</v>
      </c>
      <c r="X62" s="29">
        <f t="shared" si="33"/>
        <v>5506301115.5395994</v>
      </c>
      <c r="Y62" s="11">
        <f t="shared" si="29"/>
        <v>45619619323.883804</v>
      </c>
    </row>
    <row r="63" spans="8:25" x14ac:dyDescent="0.15">
      <c r="L63" s="78" t="s">
        <v>113</v>
      </c>
      <c r="M63" s="74">
        <f>('ContabilidaddeInnovación Año3'!M61+'ContabilidaddeInnovación Año3'!M63)*M105</f>
        <v>4359.5944673765571</v>
      </c>
      <c r="N63" s="74">
        <f>('ContabilidaddeInnovación Año3'!N61+'ContabilidaddeInnovación Año3'!N63)*N105</f>
        <v>4666.053687673244</v>
      </c>
      <c r="O63" s="74">
        <f>('ContabilidaddeInnovación Año3'!O61+'ContabilidaddeInnovación Año3'!O63)*O105</f>
        <v>4993.3377928864311</v>
      </c>
      <c r="P63" s="74">
        <f>('ContabilidaddeInnovación Año3'!P61+'ContabilidaddeInnovación Año3'!P63)*P105</f>
        <v>5391.1221487441053</v>
      </c>
      <c r="Q63" s="74">
        <f>('ContabilidaddeInnovación Año3'!Q61+'ContabilidaddeInnovación Año3'!Q63)*Q105</f>
        <v>5819.9722943222387</v>
      </c>
      <c r="R63" s="74">
        <f>('ContabilidaddeInnovación Año3'!R61+'ContabilidaddeInnovación Año3'!R63)*R105</f>
        <v>9920.022900702108</v>
      </c>
      <c r="S63" s="74">
        <f>('ContabilidaddeInnovación Año3'!S61+'ContabilidaddeInnovación Año3'!S63)*S105</f>
        <v>10680.925314922459</v>
      </c>
      <c r="T63" s="74">
        <f>('ContabilidaddeInnovación Año3'!T61+'ContabilidaddeInnovación Año3'!T63)*T105</f>
        <v>11514.741171035635</v>
      </c>
      <c r="U63" s="74">
        <f>('ContabilidaddeInnovación Año3'!U61+'ContabilidaddeInnovación Año3'!U63)*U105</f>
        <v>12405.67664463194</v>
      </c>
      <c r="V63" s="74">
        <f>('ContabilidaddeInnovación Año3'!V61+'ContabilidaddeInnovación Año3'!V63)*V105</f>
        <v>13357.666874553322</v>
      </c>
      <c r="W63" s="74">
        <f>('ContabilidaddeInnovación Año3'!W61+'ContabilidaddeInnovación Año3'!W63)*W105</f>
        <v>14376.350540353478</v>
      </c>
      <c r="X63" s="74">
        <f>('ContabilidaddeInnovación Año3'!X61+'ContabilidaddeInnovación Año3'!X63)*X105</f>
        <v>15467.842870408091</v>
      </c>
      <c r="Y63" s="24">
        <f t="shared" si="29"/>
        <v>112953.3067076096</v>
      </c>
    </row>
    <row r="64" spans="8:25" x14ac:dyDescent="0.15">
      <c r="L64" s="78" t="s">
        <v>203</v>
      </c>
      <c r="M64" s="29">
        <f t="shared" ref="M64:X64" si="34">M63*($M$20)</f>
        <v>1466654770.7148213</v>
      </c>
      <c r="N64" s="29">
        <f t="shared" si="34"/>
        <v>1569753781.6070328</v>
      </c>
      <c r="O64" s="29">
        <f t="shared" si="34"/>
        <v>1679858700.2828531</v>
      </c>
      <c r="P64" s="29">
        <f t="shared" si="34"/>
        <v>1813681313.2804918</v>
      </c>
      <c r="Q64" s="29">
        <f t="shared" si="34"/>
        <v>1957955079.2558875</v>
      </c>
      <c r="R64" s="29">
        <f t="shared" si="34"/>
        <v>3337294104.2542033</v>
      </c>
      <c r="S64" s="29">
        <f t="shared" si="34"/>
        <v>3593276894.4462137</v>
      </c>
      <c r="T64" s="29">
        <f t="shared" si="34"/>
        <v>3873789224.7598085</v>
      </c>
      <c r="U64" s="29">
        <f t="shared" si="34"/>
        <v>4173517736.787077</v>
      </c>
      <c r="V64" s="29">
        <f t="shared" si="34"/>
        <v>4493786289.9372292</v>
      </c>
      <c r="W64" s="29">
        <f t="shared" si="34"/>
        <v>4836491848.785717</v>
      </c>
      <c r="X64" s="29">
        <f t="shared" si="34"/>
        <v>5203691698.4626894</v>
      </c>
      <c r="Y64" s="11">
        <f t="shared" si="29"/>
        <v>37999751442.574028</v>
      </c>
    </row>
    <row r="65" spans="3:25" x14ac:dyDescent="0.15">
      <c r="L65" s="21" t="s">
        <v>140</v>
      </c>
      <c r="M65" s="29">
        <f t="shared" ref="M65:X65" si="35">(M62*$M$21)+(M64*$M$21)</f>
        <v>197649904.16782686</v>
      </c>
      <c r="N65" s="29">
        <f t="shared" si="35"/>
        <v>211693357.94081908</v>
      </c>
      <c r="O65" s="29">
        <f t="shared" si="35"/>
        <v>226709336.4036012</v>
      </c>
      <c r="P65" s="29">
        <f t="shared" si="35"/>
        <v>243577994.65823627</v>
      </c>
      <c r="Q65" s="29">
        <f t="shared" si="35"/>
        <v>262502710.27941334</v>
      </c>
      <c r="R65" s="29">
        <f t="shared" si="35"/>
        <v>344067437.62243569</v>
      </c>
      <c r="S65" s="29">
        <f t="shared" si="35"/>
        <v>370419273.36574638</v>
      </c>
      <c r="T65" s="29">
        <f t="shared" si="35"/>
        <v>399015229.60085762</v>
      </c>
      <c r="U65" s="29">
        <f t="shared" si="35"/>
        <v>429657080.93006498</v>
      </c>
      <c r="V65" s="29">
        <f t="shared" si="35"/>
        <v>462483599.84812605</v>
      </c>
      <c r="W65" s="29">
        <f t="shared" si="35"/>
        <v>497692972.80565</v>
      </c>
      <c r="X65" s="29">
        <f t="shared" si="35"/>
        <v>535499640.70011449</v>
      </c>
      <c r="Y65" s="24">
        <f t="shared" si="29"/>
        <v>4180968538.3228922</v>
      </c>
    </row>
    <row r="66" spans="3:25" ht="16" x14ac:dyDescent="0.15">
      <c r="C66" s="1"/>
    </row>
    <row r="67" spans="3:25" ht="16" x14ac:dyDescent="0.2">
      <c r="C67" s="1"/>
      <c r="L67" s="20" t="s">
        <v>158</v>
      </c>
    </row>
    <row r="68" spans="3:25" ht="16" x14ac:dyDescent="0.15">
      <c r="C68" s="5"/>
      <c r="L68" s="21" t="s">
        <v>149</v>
      </c>
      <c r="M68" s="25">
        <f>'ContabilidaddeInnovación Año2'!Y65</f>
        <v>0.50501249999999986</v>
      </c>
      <c r="N68" s="25">
        <f>M68</f>
        <v>0.50501249999999986</v>
      </c>
      <c r="O68" s="26">
        <f>N68</f>
        <v>0.50501249999999986</v>
      </c>
      <c r="P68" s="22">
        <f>O68*(1+$P$9)</f>
        <v>0.50501249999999986</v>
      </c>
      <c r="Q68" s="22">
        <f t="shared" ref="Q68:X68" si="36">P68*(1+$P$9)</f>
        <v>0.50501249999999986</v>
      </c>
      <c r="R68" s="22">
        <f t="shared" si="36"/>
        <v>0.50501249999999986</v>
      </c>
      <c r="S68" s="22">
        <f t="shared" si="36"/>
        <v>0.50501249999999986</v>
      </c>
      <c r="T68" s="22">
        <f t="shared" si="36"/>
        <v>0.50501249999999986</v>
      </c>
      <c r="U68" s="22">
        <f t="shared" si="36"/>
        <v>0.50501249999999986</v>
      </c>
      <c r="V68" s="22">
        <f t="shared" si="36"/>
        <v>0.50501249999999986</v>
      </c>
      <c r="W68" s="22">
        <f t="shared" si="36"/>
        <v>0.50501249999999986</v>
      </c>
      <c r="X68" s="22">
        <f t="shared" si="36"/>
        <v>0.50501249999999986</v>
      </c>
      <c r="Y68" s="22">
        <f t="shared" ref="Y68:Y74" si="37">MAX(M68:X68)</f>
        <v>0.50501249999999986</v>
      </c>
    </row>
    <row r="69" spans="3:25" ht="16" x14ac:dyDescent="0.15">
      <c r="C69" s="1"/>
      <c r="L69" s="21" t="s">
        <v>143</v>
      </c>
      <c r="M69" s="25">
        <f>'ContabilidaddeInnovación Año2'!Y66</f>
        <v>0.70042006299999982</v>
      </c>
      <c r="N69" s="25">
        <f t="shared" ref="N69:O73" si="38">M69</f>
        <v>0.70042006299999982</v>
      </c>
      <c r="O69" s="26">
        <f t="shared" si="38"/>
        <v>0.70042006299999982</v>
      </c>
      <c r="P69" s="22">
        <f>O69*(1+$Q$9)</f>
        <v>0.70042006299999982</v>
      </c>
      <c r="Q69" s="22">
        <f t="shared" ref="Q69:X69" si="39">P69*(1+$Q$9)</f>
        <v>0.70042006299999982</v>
      </c>
      <c r="R69" s="22">
        <f t="shared" si="39"/>
        <v>0.70042006299999982</v>
      </c>
      <c r="S69" s="22">
        <f t="shared" si="39"/>
        <v>0.70042006299999982</v>
      </c>
      <c r="T69" s="22">
        <f t="shared" si="39"/>
        <v>0.70042006299999982</v>
      </c>
      <c r="U69" s="22">
        <f t="shared" si="39"/>
        <v>0.70042006299999982</v>
      </c>
      <c r="V69" s="22">
        <f t="shared" si="39"/>
        <v>0.70042006299999982</v>
      </c>
      <c r="W69" s="22">
        <f t="shared" si="39"/>
        <v>0.70042006299999982</v>
      </c>
      <c r="X69" s="22">
        <f t="shared" si="39"/>
        <v>0.70042006299999982</v>
      </c>
      <c r="Y69" s="22">
        <f t="shared" si="37"/>
        <v>0.70042006299999982</v>
      </c>
    </row>
    <row r="70" spans="3:25" ht="16" x14ac:dyDescent="0.15">
      <c r="C70" s="5"/>
      <c r="L70" s="21" t="s">
        <v>144</v>
      </c>
      <c r="M70" s="25">
        <f>'ContabilidaddeInnovación Año2'!Y67</f>
        <v>0.7</v>
      </c>
      <c r="N70" s="25">
        <f t="shared" si="38"/>
        <v>0.7</v>
      </c>
      <c r="O70" s="26">
        <f t="shared" si="38"/>
        <v>0.7</v>
      </c>
      <c r="P70" s="22">
        <f>O70*(1+$R$6)</f>
        <v>0.7</v>
      </c>
      <c r="Q70" s="22">
        <f t="shared" ref="Q70:X70" si="40">P70*(1+$R$6)</f>
        <v>0.7</v>
      </c>
      <c r="R70" s="22">
        <f t="shared" si="40"/>
        <v>0.7</v>
      </c>
      <c r="S70" s="22">
        <f t="shared" si="40"/>
        <v>0.7</v>
      </c>
      <c r="T70" s="22">
        <f t="shared" si="40"/>
        <v>0.7</v>
      </c>
      <c r="U70" s="22">
        <f t="shared" si="40"/>
        <v>0.7</v>
      </c>
      <c r="V70" s="22">
        <f t="shared" si="40"/>
        <v>0.7</v>
      </c>
      <c r="W70" s="22">
        <f t="shared" si="40"/>
        <v>0.7</v>
      </c>
      <c r="X70" s="22">
        <f t="shared" si="40"/>
        <v>0.7</v>
      </c>
      <c r="Y70" s="22">
        <f t="shared" si="37"/>
        <v>0.7</v>
      </c>
    </row>
    <row r="71" spans="3:25" ht="16" x14ac:dyDescent="0.15">
      <c r="C71" s="5"/>
      <c r="L71" s="21" t="s">
        <v>145</v>
      </c>
      <c r="M71" s="25">
        <f>'ContabilidaddeInnovación Año2'!Y68</f>
        <v>0.7</v>
      </c>
      <c r="N71" s="25">
        <f t="shared" si="38"/>
        <v>0.7</v>
      </c>
      <c r="O71" s="26">
        <f t="shared" si="38"/>
        <v>0.7</v>
      </c>
      <c r="P71" s="22">
        <f>O71</f>
        <v>0.7</v>
      </c>
      <c r="Q71" s="22">
        <f t="shared" ref="Q71:X72" si="41">P71</f>
        <v>0.7</v>
      </c>
      <c r="R71" s="22">
        <f t="shared" si="41"/>
        <v>0.7</v>
      </c>
      <c r="S71" s="22">
        <f t="shared" si="41"/>
        <v>0.7</v>
      </c>
      <c r="T71" s="22">
        <f t="shared" si="41"/>
        <v>0.7</v>
      </c>
      <c r="U71" s="22">
        <f t="shared" si="41"/>
        <v>0.7</v>
      </c>
      <c r="V71" s="22">
        <f t="shared" si="41"/>
        <v>0.7</v>
      </c>
      <c r="W71" s="22">
        <f t="shared" si="41"/>
        <v>0.7</v>
      </c>
      <c r="X71" s="22">
        <f t="shared" si="41"/>
        <v>0.7</v>
      </c>
      <c r="Y71" s="22">
        <f t="shared" si="37"/>
        <v>0.7</v>
      </c>
    </row>
    <row r="72" spans="3:25" x14ac:dyDescent="0.15">
      <c r="L72" s="21" t="s">
        <v>146</v>
      </c>
      <c r="M72" s="25">
        <f>'ContabilidaddeInnovación Año2'!Y69</f>
        <v>0.59899999999999998</v>
      </c>
      <c r="N72" s="25">
        <f t="shared" si="38"/>
        <v>0.59899999999999998</v>
      </c>
      <c r="O72" s="26">
        <f t="shared" si="38"/>
        <v>0.59899999999999998</v>
      </c>
      <c r="P72" s="22">
        <f>O72</f>
        <v>0.59899999999999998</v>
      </c>
      <c r="Q72" s="22">
        <f t="shared" si="41"/>
        <v>0.59899999999999998</v>
      </c>
      <c r="R72" s="22">
        <f t="shared" si="41"/>
        <v>0.59899999999999998</v>
      </c>
      <c r="S72" s="22">
        <f t="shared" si="41"/>
        <v>0.59899999999999998</v>
      </c>
      <c r="T72" s="22">
        <f t="shared" si="41"/>
        <v>0.59899999999999998</v>
      </c>
      <c r="U72" s="22">
        <f t="shared" si="41"/>
        <v>0.59899999999999998</v>
      </c>
      <c r="V72" s="22">
        <f t="shared" si="41"/>
        <v>0.59899999999999998</v>
      </c>
      <c r="W72" s="22">
        <f t="shared" si="41"/>
        <v>0.59899999999999998</v>
      </c>
      <c r="X72" s="22">
        <f t="shared" si="41"/>
        <v>0.59899999999999998</v>
      </c>
      <c r="Y72" s="22">
        <f t="shared" si="37"/>
        <v>0.59899999999999998</v>
      </c>
    </row>
    <row r="73" spans="3:25" x14ac:dyDescent="0.15">
      <c r="L73" s="21" t="s">
        <v>147</v>
      </c>
      <c r="M73" s="25">
        <f>'ContabilidaddeInnovación Año2'!Y70</f>
        <v>0.4</v>
      </c>
      <c r="N73" s="25">
        <f t="shared" si="38"/>
        <v>0.4</v>
      </c>
      <c r="O73" s="26">
        <f t="shared" si="38"/>
        <v>0.4</v>
      </c>
      <c r="P73" s="22">
        <f>O73</f>
        <v>0.4</v>
      </c>
      <c r="Q73" s="22">
        <f>P73*(1+$R$8)</f>
        <v>0.40199999999999997</v>
      </c>
      <c r="R73" s="22">
        <f t="shared" ref="R73:X73" si="42">Q73*(1+$R$8)</f>
        <v>0.40400999999999992</v>
      </c>
      <c r="S73" s="22">
        <f t="shared" si="42"/>
        <v>0.40603004999999986</v>
      </c>
      <c r="T73" s="22">
        <f t="shared" si="42"/>
        <v>0.40806020024999984</v>
      </c>
      <c r="U73" s="22">
        <f t="shared" si="42"/>
        <v>0.4101005012512498</v>
      </c>
      <c r="V73" s="22">
        <f t="shared" si="42"/>
        <v>0.41215100375750602</v>
      </c>
      <c r="W73" s="22">
        <f t="shared" si="42"/>
        <v>0.41421175877629351</v>
      </c>
      <c r="X73" s="22">
        <f t="shared" si="42"/>
        <v>0.41628281757017493</v>
      </c>
      <c r="Y73" s="22">
        <f t="shared" si="37"/>
        <v>0.41628281757017493</v>
      </c>
    </row>
    <row r="74" spans="3:25" x14ac:dyDescent="0.15">
      <c r="L74" s="21" t="s">
        <v>142</v>
      </c>
      <c r="M74" s="26">
        <f t="shared" ref="M74:U74" si="43">M68*M69*M70*M71*M72*M73</f>
        <v>4.1528247025071685E-2</v>
      </c>
      <c r="N74" s="26">
        <f t="shared" si="43"/>
        <v>4.1528247025071685E-2</v>
      </c>
      <c r="O74" s="26">
        <f t="shared" si="43"/>
        <v>4.1528247025071685E-2</v>
      </c>
      <c r="P74" s="26">
        <f t="shared" si="43"/>
        <v>4.1528247025071685E-2</v>
      </c>
      <c r="Q74" s="26">
        <f t="shared" si="43"/>
        <v>4.1735888260197043E-2</v>
      </c>
      <c r="R74" s="26">
        <f t="shared" si="43"/>
        <v>4.1944567701498021E-2</v>
      </c>
      <c r="S74" s="26">
        <f t="shared" si="43"/>
        <v>4.2154290540005503E-2</v>
      </c>
      <c r="T74" s="26">
        <f t="shared" si="43"/>
        <v>4.2365061992705531E-2</v>
      </c>
      <c r="U74" s="26">
        <f t="shared" si="43"/>
        <v>4.2576887302669057E-2</v>
      </c>
      <c r="V74" s="26">
        <f>V68*V69*V70*V72*V71*V73</f>
        <v>4.2789771739182393E-2</v>
      </c>
      <c r="W74" s="26">
        <f>W68*W69*W70*W72*W71*W73</f>
        <v>4.3003720597878305E-2</v>
      </c>
      <c r="X74" s="26">
        <f>X68*X69*X70*X72*X71*X73</f>
        <v>4.321873920086769E-2</v>
      </c>
      <c r="Y74" s="22">
        <f t="shared" si="37"/>
        <v>4.321873920086769E-2</v>
      </c>
    </row>
    <row r="76" spans="3:25" x14ac:dyDescent="0.15">
      <c r="L76" s="21" t="s">
        <v>152</v>
      </c>
      <c r="M76" s="29">
        <f>M11</f>
        <v>3747535.9077967093</v>
      </c>
      <c r="N76" s="24">
        <f>M76*(1+$M$7)</f>
        <v>4017358.4931580727</v>
      </c>
      <c r="O76" s="24">
        <f t="shared" ref="O76:X76" si="44">N76*(1+$M$7)</f>
        <v>4306608.3046654537</v>
      </c>
      <c r="P76" s="24">
        <f t="shared" si="44"/>
        <v>4616684.102601367</v>
      </c>
      <c r="Q76" s="24">
        <f t="shared" si="44"/>
        <v>4949085.3579886658</v>
      </c>
      <c r="R76" s="24">
        <f t="shared" si="44"/>
        <v>5305419.5037638498</v>
      </c>
      <c r="S76" s="24">
        <f t="shared" si="44"/>
        <v>5687409.7080348469</v>
      </c>
      <c r="T76" s="24">
        <f t="shared" si="44"/>
        <v>6096903.2070133565</v>
      </c>
      <c r="U76" s="24">
        <f t="shared" si="44"/>
        <v>6535880.2379183182</v>
      </c>
      <c r="V76" s="24">
        <f t="shared" si="44"/>
        <v>7006463.6150484374</v>
      </c>
      <c r="W76" s="24">
        <f t="shared" si="44"/>
        <v>7510928.9953319253</v>
      </c>
      <c r="X76" s="24">
        <f t="shared" si="44"/>
        <v>8051715.8829958243</v>
      </c>
      <c r="Y76" s="24">
        <f t="shared" ref="Y76:Y83" si="45">SUM(M76:X76)</f>
        <v>67831993.316316828</v>
      </c>
    </row>
    <row r="77" spans="3:25" x14ac:dyDescent="0.15">
      <c r="L77" s="21" t="s">
        <v>136</v>
      </c>
      <c r="M77" s="24">
        <f>M76*$M$8</f>
        <v>97435.933602714445</v>
      </c>
      <c r="N77" s="24">
        <f t="shared" ref="N77:X77" si="46">N76*$M$8</f>
        <v>104451.32082210989</v>
      </c>
      <c r="O77" s="24">
        <f t="shared" si="46"/>
        <v>111971.81592130179</v>
      </c>
      <c r="P77" s="24">
        <f t="shared" si="46"/>
        <v>120033.78666763553</v>
      </c>
      <c r="Q77" s="24">
        <f t="shared" si="46"/>
        <v>128676.21930770531</v>
      </c>
      <c r="R77" s="24">
        <f t="shared" si="46"/>
        <v>137940.90709786009</v>
      </c>
      <c r="S77" s="24">
        <f t="shared" si="46"/>
        <v>147872.65240890603</v>
      </c>
      <c r="T77" s="24">
        <f t="shared" si="46"/>
        <v>158519.48338234727</v>
      </c>
      <c r="U77" s="24">
        <f t="shared" si="46"/>
        <v>169932.88618587627</v>
      </c>
      <c r="V77" s="24">
        <f t="shared" si="46"/>
        <v>182168.05399125937</v>
      </c>
      <c r="W77" s="24">
        <f t="shared" si="46"/>
        <v>195284.15387863005</v>
      </c>
      <c r="X77" s="24">
        <f t="shared" si="46"/>
        <v>209344.61295789143</v>
      </c>
      <c r="Y77" s="24">
        <f t="shared" si="45"/>
        <v>1763631.8262242377</v>
      </c>
    </row>
    <row r="78" spans="3:25" x14ac:dyDescent="0.15">
      <c r="L78" s="21" t="s">
        <v>171</v>
      </c>
      <c r="M78" s="24">
        <f>M104</f>
        <v>4012.7170996345385</v>
      </c>
      <c r="N78" s="24">
        <f t="shared" ref="N78:X78" si="47">N104</f>
        <v>4250.7663199938188</v>
      </c>
      <c r="O78" s="24">
        <f t="shared" si="47"/>
        <v>4491.4760178332572</v>
      </c>
      <c r="P78" s="24">
        <f t="shared" si="47"/>
        <v>4734.8461931528518</v>
      </c>
      <c r="Q78" s="24">
        <f t="shared" si="47"/>
        <v>4980.8768459526054</v>
      </c>
      <c r="R78" s="24">
        <f t="shared" si="47"/>
        <v>5229.5679762325153</v>
      </c>
      <c r="S78" s="24">
        <f t="shared" si="47"/>
        <v>5480.9195839925833</v>
      </c>
      <c r="T78" s="24">
        <f t="shared" si="47"/>
        <v>5726.359019574521</v>
      </c>
      <c r="U78" s="24">
        <f t="shared" si="47"/>
        <v>5956.7224161022359</v>
      </c>
      <c r="V78" s="24">
        <f t="shared" si="47"/>
        <v>6162.2546894818133</v>
      </c>
      <c r="W78" s="24">
        <f t="shared" si="47"/>
        <v>6352.4448760591513</v>
      </c>
      <c r="X78" s="24">
        <f t="shared" si="47"/>
        <v>6537.4914728415179</v>
      </c>
      <c r="Y78" s="24">
        <f t="shared" si="45"/>
        <v>63916.442510851411</v>
      </c>
    </row>
    <row r="79" spans="3:25" x14ac:dyDescent="0.15">
      <c r="L79" s="21" t="s">
        <v>138</v>
      </c>
      <c r="M79" s="24">
        <f>(M77+M78)*M74</f>
        <v>4212.9846267273606</v>
      </c>
      <c r="N79" s="24">
        <f t="shared" ref="N79:X79" si="48">(N77+N78)*N74</f>
        <v>4514.2071269781518</v>
      </c>
      <c r="O79" s="24">
        <f t="shared" si="48"/>
        <v>4836.5163570014402</v>
      </c>
      <c r="P79" s="24">
        <f t="shared" si="48"/>
        <v>5181.4226064232971</v>
      </c>
      <c r="Q79" s="24">
        <f t="shared" si="48"/>
        <v>5578.2976302514789</v>
      </c>
      <c r="R79" s="24">
        <f t="shared" si="48"/>
        <v>6005.2236846009118</v>
      </c>
      <c r="S79" s="24">
        <f t="shared" si="48"/>
        <v>6464.5110291362989</v>
      </c>
      <c r="T79" s="24">
        <f t="shared" si="48"/>
        <v>6958.2852954015598</v>
      </c>
      <c r="U79" s="24">
        <f t="shared" si="48"/>
        <v>7488.8320431570091</v>
      </c>
      <c r="V79" s="24">
        <f t="shared" si="48"/>
        <v>8058.6109200186756</v>
      </c>
      <c r="W79" s="24">
        <f t="shared" si="48"/>
        <v>8671.1239551531507</v>
      </c>
      <c r="X79" s="24">
        <f t="shared" si="48"/>
        <v>9330.1523695263313</v>
      </c>
      <c r="Y79" s="24">
        <f t="shared" si="45"/>
        <v>77300.167644375673</v>
      </c>
    </row>
    <row r="80" spans="3:25" x14ac:dyDescent="0.15">
      <c r="L80" s="21" t="s">
        <v>139</v>
      </c>
      <c r="M80" s="29">
        <f t="shared" ref="M80:X80" si="49">M79*$M$20</f>
        <v>1417332288.1236186</v>
      </c>
      <c r="N80" s="29">
        <f t="shared" si="49"/>
        <v>1518669561.6579897</v>
      </c>
      <c r="O80" s="29">
        <f t="shared" si="49"/>
        <v>1627100832.8224244</v>
      </c>
      <c r="P80" s="29">
        <f t="shared" si="49"/>
        <v>1743134193.2529256</v>
      </c>
      <c r="Q80" s="29">
        <f t="shared" si="49"/>
        <v>1876650888.7692025</v>
      </c>
      <c r="R80" s="29">
        <f t="shared" si="49"/>
        <v>2020277351.9734387</v>
      </c>
      <c r="S80" s="29">
        <f t="shared" si="49"/>
        <v>2174790800.4220338</v>
      </c>
      <c r="T80" s="29">
        <f t="shared" si="49"/>
        <v>2340906339.0789928</v>
      </c>
      <c r="U80" s="29">
        <f t="shared" si="49"/>
        <v>2519392875.9588809</v>
      </c>
      <c r="V80" s="29">
        <f t="shared" si="49"/>
        <v>2711077885.7126827</v>
      </c>
      <c r="W80" s="29">
        <f t="shared" si="49"/>
        <v>2917139520.9926229</v>
      </c>
      <c r="X80" s="29">
        <f t="shared" si="49"/>
        <v>3138849860.1560483</v>
      </c>
      <c r="Y80" s="11">
        <f t="shared" si="45"/>
        <v>26005322398.920856</v>
      </c>
    </row>
    <row r="81" spans="12:25" x14ac:dyDescent="0.15">
      <c r="L81" s="78" t="s">
        <v>113</v>
      </c>
      <c r="M81" s="74">
        <f>('ContabilidaddeInnovación Año3'!M79+'ContabilidaddeInnovación Año3'!M81)*M105</f>
        <v>2485.173294581255</v>
      </c>
      <c r="N81" s="74">
        <f>('ContabilidaddeInnovación Año3'!N79+'ContabilidaddeInnovación Año3'!N81)*N105</f>
        <v>2659.8694219065628</v>
      </c>
      <c r="O81" s="74">
        <f>('ContabilidaddeInnovación Año3'!O79+'ContabilidaddeInnovación Año3'!O81)*O105</f>
        <v>2846.4367102411088</v>
      </c>
      <c r="P81" s="74">
        <f>('ContabilidaddeInnovación Año3'!P79+'ContabilidaddeInnovación Año3'!P81)*P105</f>
        <v>3073.1924476330278</v>
      </c>
      <c r="Q81" s="74">
        <f>('ContabilidaddeInnovación Año3'!Q79+'ContabilidaddeInnovación Año3'!Q81)*Q105</f>
        <v>3317.657142031404</v>
      </c>
      <c r="R81" s="74">
        <f>('ContabilidaddeInnovación Año3'!R79+'ContabilidaddeInnovación Año3'!R81)*R105</f>
        <v>3581.2417390150654</v>
      </c>
      <c r="S81" s="74">
        <f>('ContabilidaddeInnovación Año3'!S79+'ContabilidaddeInnovación Año3'!S81)*S105</f>
        <v>3865.4706618920932</v>
      </c>
      <c r="T81" s="74">
        <f>('ContabilidaddeInnovación Año3'!T79+'ContabilidaddeInnovación Año3'!T81)*T105</f>
        <v>4171.6558352482971</v>
      </c>
      <c r="U81" s="74">
        <f>('ContabilidaddeInnovación Año3'!U79+'ContabilidaddeInnovación Año3'!U81)*U105</f>
        <v>4501.2062799890955</v>
      </c>
      <c r="V81" s="74">
        <f>('ContabilidaddeInnovación Año3'!V79+'ContabilidaddeInnovación Año3'!V81)*V105</f>
        <v>6305.9678186012216</v>
      </c>
      <c r="W81" s="74">
        <f>('ContabilidaddeInnovación Año3'!W79+'ContabilidaddeInnovación Año3'!W81)*W105</f>
        <v>6798.0352780173616</v>
      </c>
      <c r="X81" s="74">
        <f>('ContabilidaddeInnovación Año3'!X79+'ContabilidaddeInnovación Año3'!X81)*X105</f>
        <v>7328.244469957518</v>
      </c>
      <c r="Y81" s="24">
        <f t="shared" si="45"/>
        <v>50934.151099114017</v>
      </c>
    </row>
    <row r="82" spans="12:25" x14ac:dyDescent="0.15">
      <c r="L82" s="78" t="s">
        <v>203</v>
      </c>
      <c r="M82" s="29">
        <f t="shared" ref="M82:X82" si="50">M81*($M$18*$M$23)</f>
        <v>2301518988.1117005</v>
      </c>
      <c r="N82" s="29">
        <f t="shared" si="50"/>
        <v>2463305071.6276679</v>
      </c>
      <c r="O82" s="29">
        <f t="shared" si="50"/>
        <v>2636085037.354291</v>
      </c>
      <c r="P82" s="29">
        <f t="shared" si="50"/>
        <v>2846083525.7529469</v>
      </c>
      <c r="Q82" s="29">
        <f t="shared" si="50"/>
        <v>3072482279.2352834</v>
      </c>
      <c r="R82" s="29">
        <f t="shared" si="50"/>
        <v>3316587974.501852</v>
      </c>
      <c r="S82" s="29">
        <f t="shared" si="50"/>
        <v>3579812379.9782677</v>
      </c>
      <c r="T82" s="29">
        <f t="shared" si="50"/>
        <v>3863370469.023448</v>
      </c>
      <c r="U82" s="29">
        <f t="shared" si="50"/>
        <v>4168567135.8979015</v>
      </c>
      <c r="V82" s="29">
        <f t="shared" si="50"/>
        <v>5839956796.806591</v>
      </c>
      <c r="W82" s="29">
        <f t="shared" si="50"/>
        <v>6295660470.971879</v>
      </c>
      <c r="X82" s="29">
        <f t="shared" si="50"/>
        <v>6786687203.6276579</v>
      </c>
      <c r="Y82" s="11">
        <f t="shared" si="45"/>
        <v>47170117332.889488</v>
      </c>
    </row>
    <row r="83" spans="12:25" x14ac:dyDescent="0.15">
      <c r="L83" s="21" t="s">
        <v>140</v>
      </c>
      <c r="M83" s="29">
        <f t="shared" ref="M83:X83" si="51">(M80*$M$21)+(M82*$M$21)</f>
        <v>185942563.81176597</v>
      </c>
      <c r="N83" s="29">
        <f t="shared" si="51"/>
        <v>199098731.66428292</v>
      </c>
      <c r="O83" s="29">
        <f t="shared" si="51"/>
        <v>213159293.50883579</v>
      </c>
      <c r="P83" s="29">
        <f t="shared" si="51"/>
        <v>229460885.95029363</v>
      </c>
      <c r="Q83" s="29">
        <f t="shared" si="51"/>
        <v>247456658.40022433</v>
      </c>
      <c r="R83" s="29">
        <f t="shared" si="51"/>
        <v>266843266.32376456</v>
      </c>
      <c r="S83" s="29">
        <f t="shared" si="51"/>
        <v>287730159.02001512</v>
      </c>
      <c r="T83" s="29">
        <f t="shared" si="51"/>
        <v>310213840.40512204</v>
      </c>
      <c r="U83" s="29">
        <f t="shared" si="51"/>
        <v>334398000.59283912</v>
      </c>
      <c r="V83" s="29">
        <f t="shared" si="51"/>
        <v>427551734.12596369</v>
      </c>
      <c r="W83" s="29">
        <f t="shared" si="51"/>
        <v>460639999.59822512</v>
      </c>
      <c r="X83" s="29">
        <f t="shared" si="51"/>
        <v>496276853.18918532</v>
      </c>
      <c r="Y83" s="11">
        <f t="shared" si="45"/>
        <v>3658771986.5905175</v>
      </c>
    </row>
    <row r="86" spans="12:25" ht="16" x14ac:dyDescent="0.2">
      <c r="L86" s="20"/>
    </row>
    <row r="95" spans="12:25" x14ac:dyDescent="0.15">
      <c r="M95" s="33">
        <v>1</v>
      </c>
      <c r="N95" s="33">
        <v>2</v>
      </c>
      <c r="O95" s="33">
        <v>3</v>
      </c>
      <c r="P95" s="33">
        <v>4</v>
      </c>
      <c r="Q95" s="33">
        <v>5</v>
      </c>
      <c r="R95" s="33">
        <v>6</v>
      </c>
      <c r="S95" s="33">
        <v>7</v>
      </c>
      <c r="T95" s="33">
        <v>8</v>
      </c>
      <c r="U95" s="33">
        <v>9</v>
      </c>
      <c r="V95" s="33">
        <v>10</v>
      </c>
      <c r="W95" s="33">
        <v>11</v>
      </c>
      <c r="X95" s="33">
        <v>12</v>
      </c>
    </row>
    <row r="96" spans="12:25" ht="21" thickBot="1" x14ac:dyDescent="0.25">
      <c r="L96" s="10"/>
    </row>
    <row r="97" spans="12:25" ht="16" x14ac:dyDescent="0.2">
      <c r="L97" s="20" t="s">
        <v>154</v>
      </c>
    </row>
    <row r="98" spans="12:25" x14ac:dyDescent="0.15">
      <c r="L98" s="81" t="s">
        <v>174</v>
      </c>
      <c r="M98" s="82">
        <f>(M43+M45)+(M61+M63)+(M79+M81)</f>
        <v>31116.66681248747</v>
      </c>
      <c r="N98" s="82">
        <f t="shared" ref="N98:X98" si="52">(N43+N45)+(N61+N63)+(N79+N81)</f>
        <v>33402.973254710443</v>
      </c>
      <c r="O98" s="82">
        <f t="shared" si="52"/>
        <v>35970.696030187981</v>
      </c>
      <c r="P98" s="82">
        <f t="shared" si="52"/>
        <v>38674.85876089325</v>
      </c>
      <c r="Q98" s="82">
        <f t="shared" si="52"/>
        <v>41702.695512838589</v>
      </c>
      <c r="R98" s="82">
        <f t="shared" si="52"/>
        <v>48609.025301572379</v>
      </c>
      <c r="S98" s="82">
        <f t="shared" si="52"/>
        <v>52388.892380758465</v>
      </c>
      <c r="T98" s="82">
        <f t="shared" si="52"/>
        <v>56479.180525885364</v>
      </c>
      <c r="U98" s="82">
        <f t="shared" si="52"/>
        <v>60986.827536513025</v>
      </c>
      <c r="V98" s="82">
        <f t="shared" si="52"/>
        <v>68017.435845409156</v>
      </c>
      <c r="W98" s="82">
        <f t="shared" si="52"/>
        <v>79325.815538533294</v>
      </c>
      <c r="X98" s="82">
        <f t="shared" si="52"/>
        <v>77736.196991251316</v>
      </c>
      <c r="Y98" s="82">
        <f>SUM(M98:X98)</f>
        <v>624411.26449104073</v>
      </c>
    </row>
    <row r="99" spans="12:25" x14ac:dyDescent="0.15">
      <c r="L99" s="81" t="s">
        <v>183</v>
      </c>
      <c r="M99" s="82">
        <f>M43+M61+M79</f>
        <v>18702.08811326632</v>
      </c>
      <c r="N99" s="82">
        <f t="shared" ref="N99:X99" si="53">N43+N61+N79</f>
        <v>20039.261219868604</v>
      </c>
      <c r="O99" s="82">
        <f t="shared" si="53"/>
        <v>21470.041570068217</v>
      </c>
      <c r="P99" s="82">
        <f t="shared" si="53"/>
        <v>23001.133572299063</v>
      </c>
      <c r="Q99" s="82">
        <f t="shared" si="53"/>
        <v>24762.922974164274</v>
      </c>
      <c r="R99" s="82">
        <f t="shared" si="53"/>
        <v>26658.113532335025</v>
      </c>
      <c r="S99" s="82">
        <f t="shared" si="53"/>
        <v>28696.960845547594</v>
      </c>
      <c r="T99" s="82">
        <f t="shared" si="53"/>
        <v>30888.900919853004</v>
      </c>
      <c r="U99" s="82">
        <f t="shared" si="53"/>
        <v>33244.079707304911</v>
      </c>
      <c r="V99" s="82">
        <f t="shared" si="53"/>
        <v>35773.415962780979</v>
      </c>
      <c r="W99" s="82">
        <f t="shared" si="53"/>
        <v>38492.455733526018</v>
      </c>
      <c r="X99" s="82">
        <f t="shared" si="53"/>
        <v>41417.984442214336</v>
      </c>
      <c r="Y99" s="82">
        <f>SUM(M99:X99)</f>
        <v>343147.35859322839</v>
      </c>
    </row>
    <row r="100" spans="12:25" x14ac:dyDescent="0.15">
      <c r="L100" s="56" t="s">
        <v>172</v>
      </c>
      <c r="M100" s="79">
        <f>M45+M63+M81</f>
        <v>12414.578699221154</v>
      </c>
      <c r="N100" s="79">
        <f t="shared" ref="N100:X100" si="54">N45+N63+N81</f>
        <v>13363.712034841839</v>
      </c>
      <c r="O100" s="79">
        <f t="shared" si="54"/>
        <v>14500.654460119767</v>
      </c>
      <c r="P100" s="79">
        <f t="shared" si="54"/>
        <v>15673.725188594186</v>
      </c>
      <c r="Q100" s="79">
        <f t="shared" si="54"/>
        <v>16939.772538674308</v>
      </c>
      <c r="R100" s="79">
        <f t="shared" si="54"/>
        <v>21950.911769237355</v>
      </c>
      <c r="S100" s="79">
        <f t="shared" si="54"/>
        <v>23691.931535210872</v>
      </c>
      <c r="T100" s="79">
        <f t="shared" si="54"/>
        <v>25590.27960603236</v>
      </c>
      <c r="U100" s="79">
        <f t="shared" si="54"/>
        <v>27742.747829208118</v>
      </c>
      <c r="V100" s="79">
        <f t="shared" si="54"/>
        <v>32244.019882628167</v>
      </c>
      <c r="W100" s="79">
        <f t="shared" si="54"/>
        <v>40833.359805007269</v>
      </c>
      <c r="X100" s="79">
        <f t="shared" si="54"/>
        <v>36318.212549036994</v>
      </c>
      <c r="Y100" s="80">
        <f>SUM(M100:X100)</f>
        <v>281263.90589781239</v>
      </c>
    </row>
    <row r="101" spans="12:25" x14ac:dyDescent="0.15">
      <c r="L101" s="71" t="s">
        <v>112</v>
      </c>
      <c r="M101" s="69">
        <v>0.77666666666666695</v>
      </c>
      <c r="N101" s="69">
        <v>0.79166666666666696</v>
      </c>
      <c r="O101" s="69">
        <v>0.80666666666666698</v>
      </c>
      <c r="P101" s="69">
        <v>0.82166666666666699</v>
      </c>
      <c r="Q101" s="69">
        <v>0.836666666666667</v>
      </c>
      <c r="R101" s="69">
        <v>0.85166666666666702</v>
      </c>
      <c r="S101" s="69">
        <v>0.86666666666666703</v>
      </c>
      <c r="T101" s="69">
        <v>0.88</v>
      </c>
      <c r="U101" s="69">
        <v>0.89</v>
      </c>
      <c r="V101" s="69">
        <v>0.89500000000000002</v>
      </c>
      <c r="W101" s="69">
        <v>0.89700000000000002</v>
      </c>
      <c r="X101" s="69">
        <v>0.89800000000000002</v>
      </c>
      <c r="Y101" s="76">
        <f>AVERAGE(M101:X101)</f>
        <v>0.85097222222222235</v>
      </c>
    </row>
    <row r="102" spans="12:25" x14ac:dyDescent="0.15">
      <c r="L102" s="54" t="s">
        <v>155</v>
      </c>
      <c r="M102" s="265">
        <v>5.0999999999999997E-2</v>
      </c>
      <c r="N102" s="265">
        <v>5.1999999999999998E-2</v>
      </c>
      <c r="O102" s="265">
        <v>5.2999999999999999E-2</v>
      </c>
      <c r="P102" s="265">
        <v>5.3999999999999999E-2</v>
      </c>
      <c r="Q102" s="265">
        <v>5.5E-2</v>
      </c>
      <c r="R102" s="265">
        <v>5.6000000000000001E-2</v>
      </c>
      <c r="S102" s="265">
        <v>5.7000000000000002E-2</v>
      </c>
      <c r="T102" s="265">
        <v>5.8000000000000003E-2</v>
      </c>
      <c r="U102" s="265">
        <v>5.8999999999999997E-2</v>
      </c>
      <c r="V102" s="265">
        <v>0.06</v>
      </c>
      <c r="W102" s="265">
        <v>6.0999999999999999E-2</v>
      </c>
      <c r="X102" s="265">
        <v>6.2E-2</v>
      </c>
      <c r="Y102" s="76">
        <f>AVERAGE(M102:X102)</f>
        <v>5.6499999999999995E-2</v>
      </c>
    </row>
    <row r="103" spans="12:25" x14ac:dyDescent="0.15">
      <c r="L103" s="58" t="s">
        <v>157</v>
      </c>
      <c r="M103" s="69">
        <v>500</v>
      </c>
      <c r="N103" s="69">
        <v>600</v>
      </c>
      <c r="O103" s="69">
        <v>700</v>
      </c>
      <c r="P103" s="69">
        <v>800</v>
      </c>
      <c r="Q103" s="69">
        <v>900</v>
      </c>
      <c r="R103" s="69">
        <v>1000</v>
      </c>
      <c r="S103" s="69">
        <v>1100</v>
      </c>
      <c r="T103" s="69">
        <v>1200</v>
      </c>
      <c r="U103" s="69">
        <v>1300</v>
      </c>
      <c r="V103" s="69">
        <v>1400</v>
      </c>
      <c r="W103" s="69">
        <v>1500</v>
      </c>
      <c r="X103" s="69">
        <v>1600</v>
      </c>
      <c r="Y103" s="76"/>
    </row>
    <row r="104" spans="12:25" x14ac:dyDescent="0.15">
      <c r="L104" s="56" t="s">
        <v>156</v>
      </c>
      <c r="M104" s="79">
        <f t="shared" ref="M104:X104" si="55">M103+($M$10*(M101*M102))</f>
        <v>4012.7170996345385</v>
      </c>
      <c r="N104" s="79">
        <f t="shared" si="55"/>
        <v>4250.7663199938188</v>
      </c>
      <c r="O104" s="79">
        <f t="shared" si="55"/>
        <v>4491.4760178332572</v>
      </c>
      <c r="P104" s="79">
        <f t="shared" si="55"/>
        <v>4734.8461931528518</v>
      </c>
      <c r="Q104" s="79">
        <f t="shared" si="55"/>
        <v>4980.8768459526054</v>
      </c>
      <c r="R104" s="79">
        <f t="shared" si="55"/>
        <v>5229.5679762325153</v>
      </c>
      <c r="S104" s="79">
        <f t="shared" si="55"/>
        <v>5480.9195839925833</v>
      </c>
      <c r="T104" s="79">
        <f t="shared" si="55"/>
        <v>5726.359019574521</v>
      </c>
      <c r="U104" s="79">
        <f t="shared" si="55"/>
        <v>5956.7224161022359</v>
      </c>
      <c r="V104" s="79">
        <f t="shared" si="55"/>
        <v>6162.2546894818133</v>
      </c>
      <c r="W104" s="79">
        <f t="shared" si="55"/>
        <v>6352.4448760591513</v>
      </c>
      <c r="X104" s="79">
        <f t="shared" si="55"/>
        <v>6537.4914728415179</v>
      </c>
      <c r="Y104" s="76"/>
    </row>
    <row r="105" spans="12:25" x14ac:dyDescent="0.15">
      <c r="L105" s="49" t="s">
        <v>113</v>
      </c>
      <c r="M105" s="69">
        <v>0.9</v>
      </c>
      <c r="N105" s="69">
        <v>0.9</v>
      </c>
      <c r="O105" s="69">
        <v>0.9</v>
      </c>
      <c r="P105" s="69">
        <v>0.9</v>
      </c>
      <c r="Q105" s="69">
        <v>0.9</v>
      </c>
      <c r="R105" s="69">
        <v>0.9</v>
      </c>
      <c r="S105" s="69">
        <v>0.9</v>
      </c>
      <c r="T105" s="69">
        <v>0.9</v>
      </c>
      <c r="U105" s="69">
        <v>0.9</v>
      </c>
      <c r="V105" s="69">
        <v>0.9</v>
      </c>
      <c r="W105" s="69">
        <v>0.9</v>
      </c>
      <c r="X105" s="69">
        <v>0.9</v>
      </c>
      <c r="Y105" s="76"/>
    </row>
    <row r="107" spans="12:25" ht="21" thickBot="1" x14ac:dyDescent="0.25">
      <c r="L107" s="10" t="s">
        <v>265</v>
      </c>
      <c r="M107" s="29">
        <f t="shared" ref="M107:X107" si="56">M83+M65+M47</f>
        <v>2260733656.4099646</v>
      </c>
      <c r="N107" s="29">
        <f t="shared" si="56"/>
        <v>2432480676.363915</v>
      </c>
      <c r="O107" s="29">
        <f t="shared" si="56"/>
        <v>2634353234.1064315</v>
      </c>
      <c r="P107" s="29">
        <f t="shared" si="56"/>
        <v>2834913093.999795</v>
      </c>
      <c r="Q107" s="29">
        <f t="shared" si="56"/>
        <v>3058747559.2695208</v>
      </c>
      <c r="R107" s="29">
        <f t="shared" si="56"/>
        <v>3362231344.3324976</v>
      </c>
      <c r="S107" s="29">
        <f t="shared" si="56"/>
        <v>3627251365.6826515</v>
      </c>
      <c r="T107" s="29">
        <f t="shared" si="56"/>
        <v>3913977292.3976278</v>
      </c>
      <c r="U107" s="29">
        <f t="shared" si="56"/>
        <v>4239358921.6974697</v>
      </c>
      <c r="V107" s="29">
        <f t="shared" si="56"/>
        <v>4766088254.0124941</v>
      </c>
      <c r="W107" s="29">
        <f t="shared" si="56"/>
        <v>6036185071.718214</v>
      </c>
      <c r="X107" s="29">
        <f t="shared" si="56"/>
        <v>5364830291.1001835</v>
      </c>
      <c r="Y107" s="11">
        <f>SUM(M107:X107)</f>
        <v>44531150761.090759</v>
      </c>
    </row>
    <row r="109" spans="12:25" ht="20" x14ac:dyDescent="0.2">
      <c r="L109" s="32" t="s">
        <v>65</v>
      </c>
    </row>
    <row r="110" spans="12:25" ht="16" x14ac:dyDescent="0.2">
      <c r="L110" s="46" t="s">
        <v>159</v>
      </c>
      <c r="M110" s="21"/>
      <c r="N110" s="21"/>
      <c r="O110" s="21"/>
      <c r="P110" s="21"/>
      <c r="Q110" s="21"/>
      <c r="R110" s="21"/>
      <c r="S110" s="21"/>
      <c r="T110" s="21"/>
      <c r="U110" s="21"/>
      <c r="V110" s="21"/>
      <c r="W110" s="21"/>
      <c r="X110" s="21"/>
      <c r="Y110" s="21"/>
    </row>
    <row r="111" spans="12:25" x14ac:dyDescent="0.15">
      <c r="L111" s="45" t="s">
        <v>160</v>
      </c>
      <c r="M111" s="264">
        <f>H22</f>
        <v>182921252.090249</v>
      </c>
      <c r="N111" s="264">
        <f>M111</f>
        <v>182921252.090249</v>
      </c>
      <c r="O111" s="264">
        <f t="shared" ref="O111:X111" si="57">N111</f>
        <v>182921252.090249</v>
      </c>
      <c r="P111" s="264">
        <f t="shared" si="57"/>
        <v>182921252.090249</v>
      </c>
      <c r="Q111" s="264">
        <f t="shared" si="57"/>
        <v>182921252.090249</v>
      </c>
      <c r="R111" s="264">
        <f t="shared" si="57"/>
        <v>182921252.090249</v>
      </c>
      <c r="S111" s="264">
        <f t="shared" si="57"/>
        <v>182921252.090249</v>
      </c>
      <c r="T111" s="264">
        <f t="shared" si="57"/>
        <v>182921252.090249</v>
      </c>
      <c r="U111" s="264">
        <f t="shared" si="57"/>
        <v>182921252.090249</v>
      </c>
      <c r="V111" s="264">
        <f t="shared" si="57"/>
        <v>182921252.090249</v>
      </c>
      <c r="W111" s="264">
        <f t="shared" si="57"/>
        <v>182921252.090249</v>
      </c>
      <c r="X111" s="264">
        <f t="shared" si="57"/>
        <v>182921252.090249</v>
      </c>
      <c r="Y111" s="264">
        <f>SUM(M111:X111)</f>
        <v>2195055025.0829883</v>
      </c>
    </row>
    <row r="112" spans="12:25" x14ac:dyDescent="0.15">
      <c r="L112" s="45" t="s">
        <v>14</v>
      </c>
      <c r="M112" s="264">
        <f>'ContabilidaddeInnovación Año3'!X112</f>
        <v>5871463.6455926998</v>
      </c>
      <c r="N112" s="264">
        <f>M112*(1+$D$37)</f>
        <v>6341180.7372401161</v>
      </c>
      <c r="O112" s="264">
        <f t="shared" ref="O112:W112" si="58">N112*(1+$D$37)</f>
        <v>6848475.196219326</v>
      </c>
      <c r="P112" s="264">
        <f t="shared" si="58"/>
        <v>7396353.2119168723</v>
      </c>
      <c r="Q112" s="264">
        <f t="shared" si="58"/>
        <v>7988061.4688702226</v>
      </c>
      <c r="R112" s="264">
        <f t="shared" si="58"/>
        <v>8627106.3863798417</v>
      </c>
      <c r="S112" s="264">
        <f t="shared" si="58"/>
        <v>9317274.8972902298</v>
      </c>
      <c r="T112" s="264">
        <f t="shared" si="58"/>
        <v>10062656.889073448</v>
      </c>
      <c r="U112" s="264">
        <f t="shared" si="58"/>
        <v>10867669.440199325</v>
      </c>
      <c r="V112" s="264">
        <f t="shared" si="58"/>
        <v>11737082.995415272</v>
      </c>
      <c r="W112" s="264">
        <f t="shared" si="58"/>
        <v>12676049.635048496</v>
      </c>
      <c r="X112" s="264">
        <f>W112*(1+$D$37)</f>
        <v>13690133.605852377</v>
      </c>
      <c r="Y112" s="264">
        <f>SUM(M112:X112)</f>
        <v>111423508.10909823</v>
      </c>
    </row>
    <row r="113" spans="12:25" x14ac:dyDescent="0.15">
      <c r="L113" s="45" t="s">
        <v>13</v>
      </c>
      <c r="M113" s="64">
        <f>M111*50%</f>
        <v>91460626.045124501</v>
      </c>
      <c r="N113" s="64">
        <f t="shared" ref="N113:X113" si="59">N111*50%</f>
        <v>91460626.045124501</v>
      </c>
      <c r="O113" s="64">
        <f t="shared" si="59"/>
        <v>91460626.045124501</v>
      </c>
      <c r="P113" s="64">
        <f t="shared" si="59"/>
        <v>91460626.045124501</v>
      </c>
      <c r="Q113" s="64">
        <f t="shared" si="59"/>
        <v>91460626.045124501</v>
      </c>
      <c r="R113" s="64">
        <f t="shared" si="59"/>
        <v>91460626.045124501</v>
      </c>
      <c r="S113" s="64">
        <f t="shared" si="59"/>
        <v>91460626.045124501</v>
      </c>
      <c r="T113" s="64">
        <f t="shared" si="59"/>
        <v>91460626.045124501</v>
      </c>
      <c r="U113" s="64">
        <f t="shared" si="59"/>
        <v>91460626.045124501</v>
      </c>
      <c r="V113" s="64">
        <f t="shared" si="59"/>
        <v>91460626.045124501</v>
      </c>
      <c r="W113" s="64">
        <f t="shared" si="59"/>
        <v>91460626.045124501</v>
      </c>
      <c r="X113" s="64">
        <f t="shared" si="59"/>
        <v>91460626.045124501</v>
      </c>
      <c r="Y113" s="264">
        <f>SUM(M113:X113)</f>
        <v>1097527512.5414941</v>
      </c>
    </row>
    <row r="114" spans="12:25" x14ac:dyDescent="0.15">
      <c r="L114" s="45" t="s">
        <v>166</v>
      </c>
      <c r="M114" s="264">
        <f>'Costos y Gastos Fijos'!E12</f>
        <v>1500000</v>
      </c>
      <c r="N114" s="264">
        <f>M114*(1+$D$37)</f>
        <v>1620000</v>
      </c>
      <c r="O114" s="264">
        <f t="shared" ref="O114:X114" si="60">N114*(1+$D$37)</f>
        <v>1749600</v>
      </c>
      <c r="P114" s="264">
        <f t="shared" si="60"/>
        <v>1889568.0000000002</v>
      </c>
      <c r="Q114" s="264">
        <f t="shared" si="60"/>
        <v>2040733.4400000004</v>
      </c>
      <c r="R114" s="264">
        <f t="shared" si="60"/>
        <v>2203992.1152000008</v>
      </c>
      <c r="S114" s="264">
        <f t="shared" si="60"/>
        <v>2380311.484416001</v>
      </c>
      <c r="T114" s="264">
        <f t="shared" si="60"/>
        <v>2570736.4031692813</v>
      </c>
      <c r="U114" s="264">
        <f t="shared" si="60"/>
        <v>2776395.3154228241</v>
      </c>
      <c r="V114" s="264">
        <f t="shared" si="60"/>
        <v>2998506.9406566503</v>
      </c>
      <c r="W114" s="264">
        <f t="shared" si="60"/>
        <v>3238387.4959091824</v>
      </c>
      <c r="X114" s="264">
        <f t="shared" si="60"/>
        <v>3497458.495581917</v>
      </c>
      <c r="Y114" s="264">
        <f>SUM(M114:X114)</f>
        <v>28465689.69035586</v>
      </c>
    </row>
    <row r="115" spans="12:25" x14ac:dyDescent="0.15">
      <c r="L115" s="21" t="s">
        <v>168</v>
      </c>
      <c r="M115" s="264">
        <f t="shared" ref="M115:X115" si="61">SUM(M111:M114)</f>
        <v>281753341.78096616</v>
      </c>
      <c r="N115" s="264">
        <f t="shared" si="61"/>
        <v>282343058.87261361</v>
      </c>
      <c r="O115" s="264">
        <f t="shared" si="61"/>
        <v>282979953.3315928</v>
      </c>
      <c r="P115" s="264">
        <f t="shared" si="61"/>
        <v>283667799.3472904</v>
      </c>
      <c r="Q115" s="264">
        <f t="shared" si="61"/>
        <v>284410673.04424375</v>
      </c>
      <c r="R115" s="264">
        <f t="shared" si="61"/>
        <v>285212976.63695329</v>
      </c>
      <c r="S115" s="264">
        <f t="shared" si="61"/>
        <v>286079464.51707971</v>
      </c>
      <c r="T115" s="264">
        <f t="shared" si="61"/>
        <v>287015271.42761624</v>
      </c>
      <c r="U115" s="264">
        <f t="shared" si="61"/>
        <v>288025942.89099568</v>
      </c>
      <c r="V115" s="264">
        <f t="shared" si="61"/>
        <v>289117468.07144547</v>
      </c>
      <c r="W115" s="264">
        <f t="shared" si="61"/>
        <v>290296315.26633114</v>
      </c>
      <c r="X115" s="264">
        <f t="shared" si="61"/>
        <v>291569470.23680776</v>
      </c>
      <c r="Y115" s="264">
        <f>SUM(M115:X115)</f>
        <v>3432471735.4239359</v>
      </c>
    </row>
    <row r="116" spans="12:25" ht="16" x14ac:dyDescent="0.2">
      <c r="L116" s="48" t="s">
        <v>102</v>
      </c>
      <c r="M116" s="264"/>
      <c r="N116" s="264"/>
      <c r="O116" s="264"/>
      <c r="P116" s="264"/>
      <c r="Q116" s="264"/>
      <c r="R116" s="264"/>
      <c r="S116" s="264"/>
      <c r="T116" s="264"/>
      <c r="U116" s="264"/>
      <c r="V116" s="264"/>
      <c r="W116" s="264"/>
      <c r="X116" s="264"/>
      <c r="Y116" s="264"/>
    </row>
    <row r="117" spans="12:25" x14ac:dyDescent="0.15">
      <c r="L117" s="45" t="s">
        <v>103</v>
      </c>
      <c r="M117" s="264">
        <f t="shared" ref="M117:X117" si="62">M107*$D$29</f>
        <v>67822009.692298934</v>
      </c>
      <c r="N117" s="264">
        <f t="shared" si="62"/>
        <v>72974420.290917441</v>
      </c>
      <c r="O117" s="264">
        <f t="shared" si="62"/>
        <v>79030597.023192942</v>
      </c>
      <c r="P117" s="264">
        <f t="shared" si="62"/>
        <v>85047392.819993839</v>
      </c>
      <c r="Q117" s="264">
        <f t="shared" si="62"/>
        <v>91762426.778085619</v>
      </c>
      <c r="R117" s="264">
        <f t="shared" si="62"/>
        <v>100866940.32997492</v>
      </c>
      <c r="S117" s="264">
        <f t="shared" si="62"/>
        <v>108817540.97047955</v>
      </c>
      <c r="T117" s="264">
        <f t="shared" si="62"/>
        <v>117419318.77192883</v>
      </c>
      <c r="U117" s="264">
        <f t="shared" si="62"/>
        <v>127180767.65092409</v>
      </c>
      <c r="V117" s="264">
        <f t="shared" si="62"/>
        <v>142982647.62037483</v>
      </c>
      <c r="W117" s="264">
        <f t="shared" si="62"/>
        <v>181085552.15154642</v>
      </c>
      <c r="X117" s="264">
        <f t="shared" si="62"/>
        <v>160944908.73300549</v>
      </c>
      <c r="Y117" s="264">
        <f t="shared" ref="Y117:Y123" si="63">SUM(M117:X117)</f>
        <v>1335934522.8327229</v>
      </c>
    </row>
    <row r="118" spans="12:25" x14ac:dyDescent="0.15">
      <c r="L118" s="45" t="s">
        <v>104</v>
      </c>
      <c r="M118" s="264">
        <f t="shared" ref="M118:X118" si="64">M107*$D$30</f>
        <v>452146731.28199291</v>
      </c>
      <c r="N118" s="264">
        <f t="shared" si="64"/>
        <v>486496135.27278304</v>
      </c>
      <c r="O118" s="264">
        <f t="shared" si="64"/>
        <v>526870646.82128632</v>
      </c>
      <c r="P118" s="264">
        <f t="shared" si="64"/>
        <v>566982618.79995906</v>
      </c>
      <c r="Q118" s="264">
        <f t="shared" si="64"/>
        <v>611749511.85390413</v>
      </c>
      <c r="R118" s="264">
        <f t="shared" si="64"/>
        <v>672446268.86649954</v>
      </c>
      <c r="S118" s="264">
        <f t="shared" si="64"/>
        <v>725450273.1365304</v>
      </c>
      <c r="T118" s="264">
        <f t="shared" si="64"/>
        <v>782795458.47952557</v>
      </c>
      <c r="U118" s="264">
        <f t="shared" si="64"/>
        <v>847871784.33949399</v>
      </c>
      <c r="V118" s="264">
        <f t="shared" si="64"/>
        <v>953217650.80249882</v>
      </c>
      <c r="W118" s="264">
        <f t="shared" si="64"/>
        <v>1207237014.343643</v>
      </c>
      <c r="X118" s="264">
        <f t="shared" si="64"/>
        <v>1072966058.2200367</v>
      </c>
      <c r="Y118" s="264">
        <f t="shared" si="63"/>
        <v>8906230152.2181549</v>
      </c>
    </row>
    <row r="119" spans="12:25" x14ac:dyDescent="0.15">
      <c r="L119" s="45" t="s">
        <v>107</v>
      </c>
      <c r="M119" s="264">
        <f t="shared" ref="M119:X119" si="65">M107*$D$31</f>
        <v>124340351.10254805</v>
      </c>
      <c r="N119" s="264">
        <f t="shared" si="65"/>
        <v>133786437.20001532</v>
      </c>
      <c r="O119" s="264">
        <f t="shared" si="65"/>
        <v>144889427.87585375</v>
      </c>
      <c r="P119" s="264">
        <f t="shared" si="65"/>
        <v>155920220.16998872</v>
      </c>
      <c r="Q119" s="264">
        <f t="shared" si="65"/>
        <v>168231115.75982365</v>
      </c>
      <c r="R119" s="264">
        <f t="shared" si="65"/>
        <v>184922723.93828738</v>
      </c>
      <c r="S119" s="264">
        <f t="shared" si="65"/>
        <v>199498825.11254585</v>
      </c>
      <c r="T119" s="264">
        <f t="shared" si="65"/>
        <v>215268751.08186954</v>
      </c>
      <c r="U119" s="264">
        <f t="shared" si="65"/>
        <v>233164740.69336084</v>
      </c>
      <c r="V119" s="264">
        <f t="shared" si="65"/>
        <v>262134853.97068718</v>
      </c>
      <c r="W119" s="264">
        <f t="shared" si="65"/>
        <v>331990178.94450176</v>
      </c>
      <c r="X119" s="264">
        <f t="shared" si="65"/>
        <v>295065666.01051009</v>
      </c>
      <c r="Y119" s="264">
        <f t="shared" si="63"/>
        <v>2449213291.859992</v>
      </c>
    </row>
    <row r="120" spans="12:25" x14ac:dyDescent="0.15">
      <c r="L120" s="45" t="s">
        <v>105</v>
      </c>
      <c r="M120" s="264">
        <f t="shared" ref="M120:X120" si="66">M107*$D$32</f>
        <v>361717385.02559435</v>
      </c>
      <c r="N120" s="264">
        <f t="shared" si="66"/>
        <v>389196908.21822637</v>
      </c>
      <c r="O120" s="264">
        <f t="shared" si="66"/>
        <v>421496517.45702904</v>
      </c>
      <c r="P120" s="264">
        <f t="shared" si="66"/>
        <v>453586095.03996718</v>
      </c>
      <c r="Q120" s="264">
        <f t="shared" si="66"/>
        <v>489399609.4831233</v>
      </c>
      <c r="R120" s="264">
        <f t="shared" si="66"/>
        <v>537957015.09319961</v>
      </c>
      <c r="S120" s="264">
        <f t="shared" si="66"/>
        <v>580360218.5092243</v>
      </c>
      <c r="T120" s="264">
        <f t="shared" si="66"/>
        <v>626236366.78362048</v>
      </c>
      <c r="U120" s="264">
        <f t="shared" si="66"/>
        <v>678297427.47159517</v>
      </c>
      <c r="V120" s="264">
        <f t="shared" si="66"/>
        <v>762574120.64199913</v>
      </c>
      <c r="W120" s="264">
        <f t="shared" si="66"/>
        <v>965789611.47491431</v>
      </c>
      <c r="X120" s="264">
        <f t="shared" si="66"/>
        <v>858372846.57602942</v>
      </c>
      <c r="Y120" s="264">
        <f t="shared" si="63"/>
        <v>7124984121.7745237</v>
      </c>
    </row>
    <row r="121" spans="12:25" x14ac:dyDescent="0.15">
      <c r="L121" s="45" t="s">
        <v>123</v>
      </c>
      <c r="M121" s="264">
        <f t="shared" ref="M121:X121" si="67">M107*$D$33</f>
        <v>135644019.38459787</v>
      </c>
      <c r="N121" s="264">
        <f t="shared" si="67"/>
        <v>145948840.58183488</v>
      </c>
      <c r="O121" s="264">
        <f t="shared" si="67"/>
        <v>158061194.04638588</v>
      </c>
      <c r="P121" s="264">
        <f t="shared" si="67"/>
        <v>170094785.63998768</v>
      </c>
      <c r="Q121" s="264">
        <f t="shared" si="67"/>
        <v>183524853.55617124</v>
      </c>
      <c r="R121" s="264">
        <f t="shared" si="67"/>
        <v>201733880.65994984</v>
      </c>
      <c r="S121" s="264">
        <f t="shared" si="67"/>
        <v>217635081.9409591</v>
      </c>
      <c r="T121" s="264">
        <f t="shared" si="67"/>
        <v>234838637.54385766</v>
      </c>
      <c r="U121" s="264">
        <f t="shared" si="67"/>
        <v>254361535.30184817</v>
      </c>
      <c r="V121" s="264">
        <f t="shared" si="67"/>
        <v>285965295.24074966</v>
      </c>
      <c r="W121" s="264">
        <f t="shared" si="67"/>
        <v>362171104.30309284</v>
      </c>
      <c r="X121" s="264">
        <f t="shared" si="67"/>
        <v>321889817.46601099</v>
      </c>
      <c r="Y121" s="264">
        <f t="shared" si="63"/>
        <v>2671869045.6654458</v>
      </c>
    </row>
    <row r="122" spans="12:25" x14ac:dyDescent="0.15">
      <c r="L122" s="45" t="s">
        <v>80</v>
      </c>
      <c r="M122" s="264">
        <f t="shared" ref="M122:X122" si="68">M107*$D$34</f>
        <v>339110048.46149468</v>
      </c>
      <c r="N122" s="264">
        <f t="shared" si="68"/>
        <v>364872101.45458722</v>
      </c>
      <c r="O122" s="264">
        <f t="shared" si="68"/>
        <v>395152985.11596471</v>
      </c>
      <c r="P122" s="264">
        <f t="shared" si="68"/>
        <v>425236964.09996921</v>
      </c>
      <c r="Q122" s="264">
        <f t="shared" si="68"/>
        <v>458812133.89042813</v>
      </c>
      <c r="R122" s="264">
        <f t="shared" si="68"/>
        <v>504334701.64987463</v>
      </c>
      <c r="S122" s="264">
        <f t="shared" si="68"/>
        <v>544087704.85239768</v>
      </c>
      <c r="T122" s="264">
        <f t="shared" si="68"/>
        <v>587096593.85964417</v>
      </c>
      <c r="U122" s="264">
        <f t="shared" si="68"/>
        <v>635903838.25462043</v>
      </c>
      <c r="V122" s="264">
        <f t="shared" si="68"/>
        <v>714913238.10187411</v>
      </c>
      <c r="W122" s="264">
        <f t="shared" si="68"/>
        <v>905427760.75773203</v>
      </c>
      <c r="X122" s="264">
        <f t="shared" si="68"/>
        <v>804724543.6650275</v>
      </c>
      <c r="Y122" s="264">
        <f t="shared" si="63"/>
        <v>6679672614.1636152</v>
      </c>
    </row>
    <row r="123" spans="12:25" x14ac:dyDescent="0.15">
      <c r="L123" s="21" t="s">
        <v>161</v>
      </c>
      <c r="M123" s="264">
        <f>SUM(M117:M122)</f>
        <v>1480780544.9485269</v>
      </c>
      <c r="N123" s="264">
        <f t="shared" ref="N123:X123" si="69">SUM(N117:N122)</f>
        <v>1593274843.0183642</v>
      </c>
      <c r="O123" s="264">
        <f t="shared" si="69"/>
        <v>1725501368.3397129</v>
      </c>
      <c r="P123" s="264">
        <f t="shared" si="69"/>
        <v>1856868076.5698657</v>
      </c>
      <c r="Q123" s="264">
        <f t="shared" si="69"/>
        <v>2003479651.3215358</v>
      </c>
      <c r="R123" s="264">
        <f t="shared" si="69"/>
        <v>2202261530.537786</v>
      </c>
      <c r="S123" s="264">
        <f t="shared" si="69"/>
        <v>2375849644.5221367</v>
      </c>
      <c r="T123" s="264">
        <f t="shared" si="69"/>
        <v>2563655126.5204458</v>
      </c>
      <c r="U123" s="264">
        <f t="shared" si="69"/>
        <v>2776780093.7118425</v>
      </c>
      <c r="V123" s="264">
        <f t="shared" si="69"/>
        <v>3121787806.3781843</v>
      </c>
      <c r="W123" s="264">
        <f t="shared" si="69"/>
        <v>3953701221.97543</v>
      </c>
      <c r="X123" s="264">
        <f t="shared" si="69"/>
        <v>3513963840.6706204</v>
      </c>
      <c r="Y123" s="264">
        <f t="shared" si="63"/>
        <v>29167903748.51445</v>
      </c>
    </row>
    <row r="127" spans="12:25" ht="20" x14ac:dyDescent="0.2">
      <c r="L127" s="32" t="s">
        <v>175</v>
      </c>
    </row>
    <row r="128" spans="12:25" x14ac:dyDescent="0.15">
      <c r="L128" s="78" t="s">
        <v>176</v>
      </c>
      <c r="M128" s="83">
        <f t="shared" ref="M128:X128" si="70">(M123+M111)/M98</f>
        <v>53466.581336118994</v>
      </c>
      <c r="N128" s="83">
        <f t="shared" si="70"/>
        <v>53174.790206980644</v>
      </c>
      <c r="O128" s="83">
        <f t="shared" si="70"/>
        <v>53054.926121761469</v>
      </c>
      <c r="P128" s="83">
        <f t="shared" si="70"/>
        <v>52741.998135560949</v>
      </c>
      <c r="Q128" s="83">
        <f t="shared" si="70"/>
        <v>52428.287345087308</v>
      </c>
      <c r="R128" s="83">
        <f t="shared" si="70"/>
        <v>49068.722687407608</v>
      </c>
      <c r="S128" s="83">
        <f t="shared" si="70"/>
        <v>48841.859034076049</v>
      </c>
      <c r="T128" s="83">
        <f t="shared" si="70"/>
        <v>48629.890749776241</v>
      </c>
      <c r="U128" s="83">
        <f t="shared" si="70"/>
        <v>48530.173897471679</v>
      </c>
      <c r="V128" s="83">
        <f t="shared" si="70"/>
        <v>48586.204660514042</v>
      </c>
      <c r="W128" s="83">
        <f t="shared" si="70"/>
        <v>52147.241676403239</v>
      </c>
      <c r="X128" s="83">
        <f t="shared" si="70"/>
        <v>47556.804112464226</v>
      </c>
      <c r="Y128" s="84">
        <f>SUM(M128:X128)</f>
        <v>608227.47996362241</v>
      </c>
    </row>
    <row r="129" spans="12:25" x14ac:dyDescent="0.15">
      <c r="L129" s="78" t="s">
        <v>178</v>
      </c>
      <c r="M129" s="78"/>
      <c r="N129" s="78"/>
      <c r="O129" s="78"/>
      <c r="P129" s="78"/>
      <c r="Q129" s="78"/>
      <c r="R129" s="78"/>
      <c r="S129" s="78"/>
      <c r="T129" s="78"/>
      <c r="U129" s="78"/>
      <c r="V129" s="78"/>
      <c r="W129" s="78"/>
      <c r="X129" s="78"/>
      <c r="Y129" s="78"/>
    </row>
    <row r="130" spans="12:25" x14ac:dyDescent="0.15">
      <c r="L130" s="78" t="s">
        <v>179</v>
      </c>
      <c r="M130" s="85">
        <f t="shared" ref="M130:X130" si="71">(M123+M115)/M98</f>
        <v>56642.759886549553</v>
      </c>
      <c r="N130" s="85">
        <f t="shared" si="71"/>
        <v>56151.226047713601</v>
      </c>
      <c r="O130" s="85">
        <f t="shared" si="71"/>
        <v>55836.598768778662</v>
      </c>
      <c r="P130" s="85">
        <f t="shared" si="71"/>
        <v>55346.960389719534</v>
      </c>
      <c r="Q130" s="85">
        <f t="shared" si="71"/>
        <v>54861.929096679843</v>
      </c>
      <c r="R130" s="85">
        <f t="shared" si="71"/>
        <v>51173.099887157703</v>
      </c>
      <c r="S130" s="85">
        <f t="shared" si="71"/>
        <v>50810.944611932609</v>
      </c>
      <c r="T130" s="85">
        <f t="shared" si="71"/>
        <v>50472.941912490242</v>
      </c>
      <c r="U130" s="85">
        <f t="shared" si="71"/>
        <v>50253.573769973984</v>
      </c>
      <c r="V130" s="85">
        <f t="shared" si="71"/>
        <v>50147.513384685306</v>
      </c>
      <c r="W130" s="85">
        <f t="shared" si="71"/>
        <v>53500.837128868821</v>
      </c>
      <c r="X130" s="85">
        <f t="shared" si="71"/>
        <v>48954.456973701905</v>
      </c>
      <c r="Y130" s="84">
        <f>SUM(M130:X130)</f>
        <v>634152.84185825172</v>
      </c>
    </row>
    <row r="134" spans="12:25" ht="21" thickBot="1" x14ac:dyDescent="0.25">
      <c r="L134" s="10" t="s">
        <v>177</v>
      </c>
    </row>
    <row r="137" spans="12:25" x14ac:dyDescent="0.15">
      <c r="L137" s="2" t="s">
        <v>180</v>
      </c>
      <c r="M137" s="63">
        <f>Y107</f>
        <v>44531150761.090759</v>
      </c>
    </row>
    <row r="138" spans="12:25" x14ac:dyDescent="0.15">
      <c r="L138" s="2" t="s">
        <v>181</v>
      </c>
      <c r="M138" s="61">
        <f>Y98</f>
        <v>624411.26449104073</v>
      </c>
    </row>
    <row r="139" spans="12:25" x14ac:dyDescent="0.15">
      <c r="L139" s="2" t="s">
        <v>182</v>
      </c>
      <c r="M139" s="63">
        <f>M137/M138</f>
        <v>71317.020197238468</v>
      </c>
    </row>
    <row r="140" spans="12:25" x14ac:dyDescent="0.15">
      <c r="L140" s="2" t="s">
        <v>185</v>
      </c>
      <c r="M140" s="61">
        <f>Y99</f>
        <v>343147.35859322839</v>
      </c>
    </row>
    <row r="141" spans="12:25" x14ac:dyDescent="0.15">
      <c r="L141" s="2" t="s">
        <v>184</v>
      </c>
      <c r="M141" s="65">
        <f>M138/M140</f>
        <v>1.8196592480002927</v>
      </c>
    </row>
    <row r="142" spans="12:25" x14ac:dyDescent="0.15">
      <c r="L142" s="2" t="s">
        <v>186</v>
      </c>
      <c r="M142" s="62">
        <f>M139*(M141-1)</f>
        <v>58455.655144490163</v>
      </c>
    </row>
    <row r="143" spans="12:25" x14ac:dyDescent="0.15">
      <c r="L143" s="2" t="s">
        <v>190</v>
      </c>
      <c r="M143" s="2">
        <v>3</v>
      </c>
      <c r="N143" s="2" t="s">
        <v>187</v>
      </c>
    </row>
    <row r="144" spans="12:25" x14ac:dyDescent="0.15">
      <c r="L144" s="2" t="s">
        <v>188</v>
      </c>
      <c r="M144" s="62">
        <f>M142*M143</f>
        <v>175366.9654334705</v>
      </c>
    </row>
  </sheetData>
  <scenarios current="0" show="0" sqref="M93:X93">
    <scenario name="Supuestos de Conversion - Pesimista" locked="1" count="5" user="Carlos Fidel Tonguino Rosero" comment="Creado por Carlos Fidel Tonguino Rosero el 2/04/2022_x000a_Modificado por Carlos Fidel Tonguino Rosero el 2/04/2022">
      <inputCells r="M6" val="15000000" numFmtId="3"/>
      <inputCells r="M7" val="0,05" numFmtId="165"/>
      <inputCells r="M8" val="0,015" numFmtId="10"/>
      <inputCells r="M9" val="0,035" numFmtId="10"/>
      <inputCells r="M10" val="8000"/>
    </scenario>
  </scenarios>
  <mergeCells count="3">
    <mergeCell ref="L2:W2"/>
    <mergeCell ref="C22:G22"/>
    <mergeCell ref="Y29:Y30"/>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30686-BB8A-AD41-A897-879CF39C3C47}">
  <dimension ref="C3:N51"/>
  <sheetViews>
    <sheetView showGridLines="0" topLeftCell="D23" zoomScale="140" zoomScaleNormal="140" workbookViewId="0">
      <selection activeCell="L25" sqref="L25:N27"/>
    </sheetView>
  </sheetViews>
  <sheetFormatPr baseColWidth="10" defaultRowHeight="16" x14ac:dyDescent="0.2"/>
  <cols>
    <col min="1" max="2" width="10.83203125" style="315"/>
    <col min="3" max="3" width="36.1640625" style="315" bestFit="1" customWidth="1"/>
    <col min="4" max="4" width="10.83203125" style="315"/>
    <col min="5" max="5" width="12.33203125" style="315" bestFit="1" customWidth="1"/>
    <col min="6" max="6" width="10.83203125" style="315"/>
    <col min="7" max="7" width="12.33203125" style="315" bestFit="1" customWidth="1"/>
    <col min="8" max="8" width="11.5" style="315" bestFit="1" customWidth="1"/>
    <col min="9" max="9" width="12.1640625" style="315" bestFit="1" customWidth="1"/>
    <col min="10" max="11" width="10.83203125" style="315"/>
    <col min="12" max="12" width="41.33203125" style="315" bestFit="1" customWidth="1"/>
    <col min="13" max="13" width="10.83203125" style="315"/>
    <col min="14" max="14" width="12.5" style="315" bestFit="1" customWidth="1"/>
    <col min="15" max="16384" width="10.83203125" style="315"/>
  </cols>
  <sheetData>
    <row r="3" spans="3:14" x14ac:dyDescent="0.2">
      <c r="G3" s="316"/>
      <c r="H3" s="317"/>
      <c r="I3" s="317"/>
    </row>
    <row r="4" spans="3:14" x14ac:dyDescent="0.2">
      <c r="G4" s="318"/>
      <c r="H4" s="319"/>
      <c r="I4" s="319"/>
    </row>
    <row r="5" spans="3:14" x14ac:dyDescent="0.2">
      <c r="G5" s="320"/>
      <c r="H5" s="319"/>
      <c r="I5" s="319"/>
    </row>
    <row r="6" spans="3:14" x14ac:dyDescent="0.2">
      <c r="G6" s="320"/>
      <c r="H6" s="319"/>
      <c r="I6" s="319"/>
      <c r="L6" s="374" t="s">
        <v>517</v>
      </c>
      <c r="M6" s="375"/>
      <c r="N6" s="375"/>
    </row>
    <row r="7" spans="3:14" x14ac:dyDescent="0.2">
      <c r="C7" s="374" t="s">
        <v>517</v>
      </c>
      <c r="D7" s="375"/>
      <c r="E7" s="375"/>
      <c r="F7" s="375"/>
      <c r="G7" s="377"/>
      <c r="H7" s="319"/>
      <c r="I7" s="319"/>
      <c r="L7" s="375"/>
      <c r="M7" s="374" t="s">
        <v>498</v>
      </c>
      <c r="N7" s="376" t="s">
        <v>497</v>
      </c>
    </row>
    <row r="8" spans="3:14" x14ac:dyDescent="0.2">
      <c r="C8" s="378"/>
      <c r="D8" s="379" t="s">
        <v>498</v>
      </c>
      <c r="E8" s="380" t="s">
        <v>497</v>
      </c>
      <c r="F8" s="381" t="s">
        <v>499</v>
      </c>
      <c r="G8" s="382">
        <v>43171</v>
      </c>
      <c r="L8" s="391"/>
      <c r="M8" s="391"/>
      <c r="N8" s="391"/>
    </row>
    <row r="9" spans="3:14" x14ac:dyDescent="0.2">
      <c r="D9" s="319"/>
      <c r="E9" s="321"/>
      <c r="F9" s="319"/>
      <c r="G9" s="319"/>
      <c r="L9" s="395" t="s">
        <v>516</v>
      </c>
      <c r="M9" s="396">
        <v>-367900</v>
      </c>
      <c r="N9" s="396">
        <v>-141400</v>
      </c>
    </row>
    <row r="10" spans="3:14" x14ac:dyDescent="0.2">
      <c r="C10" s="322" t="s">
        <v>516</v>
      </c>
      <c r="D10" s="319">
        <v>-241300</v>
      </c>
      <c r="E10" s="321">
        <v>-122300</v>
      </c>
      <c r="F10" s="319">
        <v>-108500</v>
      </c>
      <c r="G10" s="319">
        <v>-52900</v>
      </c>
      <c r="L10" s="395" t="s">
        <v>515</v>
      </c>
      <c r="M10" s="396">
        <v>11000</v>
      </c>
      <c r="N10" s="396">
        <v>6700</v>
      </c>
    </row>
    <row r="11" spans="3:14" x14ac:dyDescent="0.2">
      <c r="C11" s="322" t="s">
        <v>515</v>
      </c>
      <c r="D11" s="319">
        <v>-4200</v>
      </c>
      <c r="E11" s="321">
        <v>-400</v>
      </c>
      <c r="F11" s="319">
        <v>-500</v>
      </c>
      <c r="G11" s="319">
        <v>0</v>
      </c>
      <c r="L11" s="395" t="s">
        <v>511</v>
      </c>
      <c r="M11" s="396">
        <v>-34400</v>
      </c>
      <c r="N11" s="396">
        <v>-4700</v>
      </c>
    </row>
    <row r="12" spans="3:14" x14ac:dyDescent="0.2">
      <c r="C12" s="322" t="s">
        <v>514</v>
      </c>
      <c r="D12" s="319">
        <v>0</v>
      </c>
      <c r="E12" s="323">
        <v>100</v>
      </c>
      <c r="F12" s="319">
        <v>0</v>
      </c>
      <c r="G12" s="319">
        <v>0</v>
      </c>
      <c r="L12" s="395" t="s">
        <v>513</v>
      </c>
      <c r="M12" s="396">
        <v>24300</v>
      </c>
      <c r="N12" s="396">
        <v>17200</v>
      </c>
    </row>
    <row r="13" spans="3:14" x14ac:dyDescent="0.2">
      <c r="C13" s="322" t="s">
        <v>513</v>
      </c>
      <c r="D13" s="319">
        <v>44100</v>
      </c>
      <c r="E13" s="319">
        <v>10600</v>
      </c>
      <c r="F13" s="319">
        <v>4300</v>
      </c>
      <c r="G13" s="319">
        <v>2100</v>
      </c>
      <c r="L13" s="395" t="s">
        <v>512</v>
      </c>
      <c r="M13" s="396">
        <v>26100</v>
      </c>
      <c r="N13" s="396">
        <v>0</v>
      </c>
    </row>
    <row r="14" spans="3:14" x14ac:dyDescent="0.2">
      <c r="C14" s="322" t="s">
        <v>511</v>
      </c>
      <c r="D14" s="319">
        <v>9900</v>
      </c>
      <c r="E14" s="319">
        <v>16100</v>
      </c>
      <c r="F14" s="319">
        <v>1500</v>
      </c>
      <c r="G14" s="319">
        <v>299.99999999999955</v>
      </c>
      <c r="L14" s="395" t="s">
        <v>510</v>
      </c>
      <c r="M14" s="396">
        <v>172700</v>
      </c>
      <c r="N14" s="396">
        <v>22400</v>
      </c>
    </row>
    <row r="15" spans="3:14" x14ac:dyDescent="0.2">
      <c r="C15" s="322" t="s">
        <v>509</v>
      </c>
      <c r="D15" s="319">
        <v>46900</v>
      </c>
      <c r="E15" s="319">
        <v>4200</v>
      </c>
      <c r="F15" s="319">
        <v>25100</v>
      </c>
      <c r="G15" s="319">
        <v>9700</v>
      </c>
      <c r="L15" s="395" t="s">
        <v>508</v>
      </c>
      <c r="M15" s="396">
        <v>43700</v>
      </c>
      <c r="N15" s="396">
        <v>25000</v>
      </c>
    </row>
    <row r="16" spans="3:14" x14ac:dyDescent="0.2">
      <c r="C16" s="315" t="s">
        <v>507</v>
      </c>
      <c r="D16" s="319">
        <f>SUM(D10:D15)</f>
        <v>-144600</v>
      </c>
      <c r="E16" s="319">
        <f>SUM(E10:E15)</f>
        <v>-91700</v>
      </c>
      <c r="F16" s="319">
        <f>SUM(F10:F15)</f>
        <v>-78100</v>
      </c>
      <c r="G16" s="319">
        <f>SUM(G10:G15)</f>
        <v>-40800</v>
      </c>
      <c r="L16" s="391" t="s">
        <v>507</v>
      </c>
      <c r="M16" s="396">
        <f>SUM(M9:M15)</f>
        <v>-124500</v>
      </c>
      <c r="N16" s="396">
        <f>SUM(N9:N15)</f>
        <v>-74800</v>
      </c>
    </row>
    <row r="17" spans="3:14" x14ac:dyDescent="0.2">
      <c r="C17" s="315" t="s">
        <v>506</v>
      </c>
      <c r="D17" s="319">
        <v>-804900</v>
      </c>
      <c r="E17" s="319">
        <v>50100</v>
      </c>
      <c r="F17" s="319">
        <v>-54100</v>
      </c>
      <c r="G17" s="319">
        <v>6400</v>
      </c>
      <c r="L17" s="391" t="s">
        <v>506</v>
      </c>
      <c r="M17" s="396">
        <v>-30000</v>
      </c>
      <c r="N17" s="396">
        <v>-2300</v>
      </c>
    </row>
    <row r="18" spans="3:14" x14ac:dyDescent="0.2">
      <c r="C18" s="315" t="s">
        <v>505</v>
      </c>
      <c r="D18" s="319">
        <v>649600</v>
      </c>
      <c r="E18" s="319">
        <v>341100</v>
      </c>
      <c r="F18" s="319">
        <v>300100</v>
      </c>
      <c r="G18" s="319">
        <v>119100</v>
      </c>
      <c r="L18" s="391" t="s">
        <v>505</v>
      </c>
      <c r="M18" s="396">
        <v>480800</v>
      </c>
      <c r="N18" s="396">
        <v>518100</v>
      </c>
    </row>
    <row r="19" spans="3:14" x14ac:dyDescent="0.2">
      <c r="C19" s="315" t="s">
        <v>262</v>
      </c>
      <c r="D19" s="319">
        <v>3200</v>
      </c>
      <c r="E19" s="319">
        <v>1600</v>
      </c>
      <c r="F19" s="319">
        <v>500</v>
      </c>
      <c r="G19" s="319">
        <v>200</v>
      </c>
      <c r="L19" s="391" t="s">
        <v>504</v>
      </c>
      <c r="M19" s="396">
        <v>-17400</v>
      </c>
      <c r="N19" s="396">
        <v>-9400</v>
      </c>
    </row>
    <row r="20" spans="3:14" x14ac:dyDescent="0.2">
      <c r="C20" s="315" t="s">
        <v>504</v>
      </c>
      <c r="D20" s="319">
        <v>-9400</v>
      </c>
      <c r="E20" s="319">
        <v>-4400</v>
      </c>
      <c r="F20" s="319">
        <v>-3300</v>
      </c>
      <c r="G20" s="319">
        <v>-700</v>
      </c>
      <c r="L20" s="391" t="s">
        <v>503</v>
      </c>
      <c r="M20" s="396"/>
      <c r="N20" s="396">
        <v>154600</v>
      </c>
    </row>
    <row r="21" spans="3:14" x14ac:dyDescent="0.2">
      <c r="C21" s="315" t="s">
        <v>503</v>
      </c>
      <c r="D21" s="319">
        <v>640300</v>
      </c>
      <c r="E21" s="319">
        <v>339300</v>
      </c>
      <c r="F21" s="319">
        <v>299400</v>
      </c>
      <c r="G21" s="319">
        <v>119800</v>
      </c>
      <c r="L21" s="391" t="s">
        <v>502</v>
      </c>
      <c r="M21" s="396"/>
      <c r="N21" s="396">
        <v>365000</v>
      </c>
    </row>
    <row r="22" spans="3:14" x14ac:dyDescent="0.2">
      <c r="C22" s="315" t="s">
        <v>501</v>
      </c>
      <c r="D22" s="319">
        <v>-154000</v>
      </c>
      <c r="E22" s="319">
        <v>-96100</v>
      </c>
      <c r="F22" s="319">
        <v>-81400</v>
      </c>
      <c r="G22" s="319">
        <v>-41500</v>
      </c>
      <c r="L22" s="391" t="s">
        <v>501</v>
      </c>
      <c r="M22" s="396">
        <v>-141900</v>
      </c>
      <c r="N22" s="396">
        <v>-74800</v>
      </c>
    </row>
    <row r="23" spans="3:14" x14ac:dyDescent="0.2">
      <c r="M23" s="319"/>
      <c r="N23" s="319"/>
    </row>
    <row r="24" spans="3:14" x14ac:dyDescent="0.2">
      <c r="D24" s="319"/>
      <c r="E24" s="319"/>
      <c r="F24" s="319"/>
      <c r="G24" s="319"/>
    </row>
    <row r="25" spans="3:14" x14ac:dyDescent="0.2">
      <c r="D25" s="319"/>
      <c r="E25" s="319"/>
      <c r="F25" s="319"/>
      <c r="G25" s="319"/>
      <c r="L25" s="374" t="s">
        <v>500</v>
      </c>
      <c r="M25" s="375"/>
      <c r="N25" s="375"/>
    </row>
    <row r="26" spans="3:14" x14ac:dyDescent="0.2">
      <c r="C26" s="374" t="s">
        <v>500</v>
      </c>
      <c r="D26" s="383"/>
      <c r="E26" s="383"/>
      <c r="F26" s="383"/>
      <c r="G26" s="383"/>
      <c r="L26" s="375"/>
      <c r="M26" s="375"/>
      <c r="N26" s="375"/>
    </row>
    <row r="27" spans="3:14" x14ac:dyDescent="0.2">
      <c r="C27" s="378"/>
      <c r="D27" s="379" t="s">
        <v>498</v>
      </c>
      <c r="E27" s="380" t="s">
        <v>497</v>
      </c>
      <c r="F27" s="381" t="s">
        <v>499</v>
      </c>
      <c r="G27" s="382">
        <v>43171</v>
      </c>
      <c r="L27" s="397"/>
      <c r="M27" s="398" t="s">
        <v>498</v>
      </c>
      <c r="N27" s="399" t="s">
        <v>497</v>
      </c>
    </row>
    <row r="28" spans="3:14" x14ac:dyDescent="0.2">
      <c r="D28" s="319"/>
      <c r="E28" s="319"/>
      <c r="F28" s="319"/>
      <c r="G28" s="319"/>
      <c r="L28" s="391" t="s">
        <v>66</v>
      </c>
      <c r="M28" s="396">
        <v>91200</v>
      </c>
      <c r="N28" s="396">
        <v>51600</v>
      </c>
    </row>
    <row r="29" spans="3:14" x14ac:dyDescent="0.2">
      <c r="C29" s="315" t="s">
        <v>66</v>
      </c>
      <c r="D29" s="319">
        <v>149200</v>
      </c>
      <c r="E29" s="319">
        <v>128400</v>
      </c>
      <c r="F29" s="319">
        <v>94400</v>
      </c>
      <c r="G29" s="319">
        <v>67300</v>
      </c>
      <c r="L29" s="391" t="s">
        <v>485</v>
      </c>
      <c r="M29" s="396">
        <v>458400</v>
      </c>
      <c r="N29" s="396">
        <v>194800</v>
      </c>
    </row>
    <row r="30" spans="3:14" x14ac:dyDescent="0.2">
      <c r="C30" s="315" t="s">
        <v>485</v>
      </c>
      <c r="D30" s="319">
        <v>407300</v>
      </c>
      <c r="E30" s="319">
        <v>362000</v>
      </c>
      <c r="F30" s="319">
        <v>215200</v>
      </c>
      <c r="G30" s="319">
        <v>175200</v>
      </c>
      <c r="L30" s="391" t="s">
        <v>496</v>
      </c>
      <c r="M30" s="396">
        <f>M28-M29</f>
        <v>-367200</v>
      </c>
      <c r="N30" s="396">
        <f>N28-N29</f>
        <v>-143200</v>
      </c>
    </row>
    <row r="31" spans="3:14" x14ac:dyDescent="0.2">
      <c r="C31" s="315" t="s">
        <v>496</v>
      </c>
      <c r="D31" s="319">
        <f>D29-D30</f>
        <v>-258100</v>
      </c>
      <c r="E31" s="319">
        <f>E29-E30</f>
        <v>-233600</v>
      </c>
      <c r="F31" s="319">
        <f>F29-F30</f>
        <v>-120800</v>
      </c>
      <c r="G31" s="319">
        <f>G29-G30</f>
        <v>-107900</v>
      </c>
      <c r="L31" s="391" t="s">
        <v>495</v>
      </c>
      <c r="M31" s="396">
        <v>700</v>
      </c>
      <c r="N31" s="396">
        <v>-1800</v>
      </c>
    </row>
    <row r="32" spans="3:14" x14ac:dyDescent="0.2">
      <c r="C32" s="315" t="s">
        <v>495</v>
      </c>
      <c r="D32" s="319">
        <v>9000</v>
      </c>
      <c r="E32" s="319">
        <v>7700</v>
      </c>
      <c r="F32" s="319">
        <v>1500</v>
      </c>
      <c r="G32" s="319">
        <v>600</v>
      </c>
      <c r="L32" s="391" t="s">
        <v>494</v>
      </c>
      <c r="M32" s="396">
        <f>M30-M31</f>
        <v>-367900</v>
      </c>
      <c r="N32" s="396">
        <f>N30-N31</f>
        <v>-141400</v>
      </c>
    </row>
    <row r="33" spans="3:14" x14ac:dyDescent="0.2">
      <c r="C33" s="315" t="s">
        <v>494</v>
      </c>
      <c r="D33" s="319">
        <f>D31-D32</f>
        <v>-267100</v>
      </c>
      <c r="E33" s="319">
        <f>E31-E32</f>
        <v>-241300</v>
      </c>
      <c r="F33" s="319">
        <f>F31-F32</f>
        <v>-122300</v>
      </c>
      <c r="G33" s="319">
        <f>G31-G32</f>
        <v>-108500</v>
      </c>
    </row>
    <row r="34" spans="3:14" x14ac:dyDescent="0.2">
      <c r="D34" s="319"/>
      <c r="E34" s="319"/>
      <c r="F34" s="319"/>
      <c r="G34" s="319"/>
      <c r="H34" s="319"/>
      <c r="I34" s="319"/>
    </row>
    <row r="35" spans="3:14" x14ac:dyDescent="0.2">
      <c r="D35" s="319"/>
      <c r="E35" s="319"/>
      <c r="F35" s="319"/>
      <c r="G35" s="319"/>
      <c r="H35" s="319"/>
      <c r="I35" s="319"/>
    </row>
    <row r="36" spans="3:14" x14ac:dyDescent="0.2">
      <c r="D36" s="319"/>
      <c r="E36" s="319"/>
      <c r="F36" s="319"/>
      <c r="G36" s="319"/>
      <c r="H36" s="319"/>
      <c r="I36" s="319"/>
    </row>
    <row r="37" spans="3:14" x14ac:dyDescent="0.2">
      <c r="D37" s="319"/>
      <c r="E37" s="319"/>
      <c r="F37" s="319"/>
      <c r="G37" s="319"/>
      <c r="H37" s="319"/>
      <c r="I37" s="319"/>
    </row>
    <row r="38" spans="3:14" x14ac:dyDescent="0.2">
      <c r="C38" s="374" t="s">
        <v>493</v>
      </c>
      <c r="D38" s="374"/>
      <c r="E38" s="374"/>
      <c r="F38" s="374"/>
      <c r="G38" s="374"/>
      <c r="H38" s="374"/>
      <c r="I38" s="374"/>
      <c r="J38" s="374"/>
      <c r="K38" s="374"/>
    </row>
    <row r="39" spans="3:14" x14ac:dyDescent="0.2">
      <c r="C39" s="374"/>
      <c r="D39" s="374"/>
      <c r="E39" s="374"/>
      <c r="F39" s="374"/>
      <c r="G39" s="374"/>
      <c r="H39" s="374"/>
      <c r="I39" s="374"/>
      <c r="J39" s="374"/>
      <c r="K39" s="374"/>
    </row>
    <row r="40" spans="3:14" ht="34" x14ac:dyDescent="0.2">
      <c r="C40" s="384" t="s">
        <v>491</v>
      </c>
      <c r="D40" s="384" t="s">
        <v>490</v>
      </c>
      <c r="E40" s="385" t="s">
        <v>523</v>
      </c>
      <c r="F40" s="384" t="s">
        <v>519</v>
      </c>
      <c r="G40" s="384" t="s">
        <v>518</v>
      </c>
      <c r="H40" s="384" t="s">
        <v>489</v>
      </c>
      <c r="I40" s="384" t="s">
        <v>488</v>
      </c>
      <c r="J40" s="384" t="s">
        <v>521</v>
      </c>
      <c r="K40" s="384" t="s">
        <v>522</v>
      </c>
    </row>
    <row r="41" spans="3:14" x14ac:dyDescent="0.2">
      <c r="C41" s="386">
        <v>2019</v>
      </c>
      <c r="D41" s="387">
        <f>'Analisis de Insurtechs'!F29</f>
        <v>94400</v>
      </c>
      <c r="E41" s="388">
        <f>-G31</f>
        <v>107900</v>
      </c>
      <c r="F41" s="389">
        <v>0</v>
      </c>
      <c r="G41" s="389">
        <f>D41/$D$44</f>
        <v>0.25376344086021507</v>
      </c>
      <c r="H41" s="387">
        <f>-'Analisis de Insurtechs'!F20</f>
        <v>3300</v>
      </c>
      <c r="I41" s="387">
        <f>'Analisis de Insurtechs'!F15</f>
        <v>25100</v>
      </c>
      <c r="J41" s="390">
        <f>H41/E41</f>
        <v>3.0583873957367932E-2</v>
      </c>
      <c r="K41" s="390">
        <f>I41/E41</f>
        <v>0.23262279888785914</v>
      </c>
      <c r="N41" s="324"/>
    </row>
    <row r="42" spans="3:14" x14ac:dyDescent="0.2">
      <c r="C42" s="386">
        <v>2020</v>
      </c>
      <c r="D42" s="387">
        <f>'Analisis de Insurtechs'!E29</f>
        <v>128400</v>
      </c>
      <c r="E42" s="388">
        <f>-F31</f>
        <v>120800</v>
      </c>
      <c r="F42" s="389">
        <f>(D42-D41)/D42</f>
        <v>0.26479750778816197</v>
      </c>
      <c r="G42" s="389">
        <f>D42/$D$44</f>
        <v>0.34516129032258064</v>
      </c>
      <c r="H42" s="387">
        <f>-'Analisis de Insurtechs'!E20</f>
        <v>4400</v>
      </c>
      <c r="I42" s="387">
        <f>'Analisis de Insurtechs'!E15</f>
        <v>4200</v>
      </c>
      <c r="J42" s="390">
        <f t="shared" ref="J42:J43" si="0">H42/E42</f>
        <v>3.6423841059602648E-2</v>
      </c>
      <c r="K42" s="390">
        <f t="shared" ref="K42:K43" si="1">I42/E42</f>
        <v>3.4768211920529798E-2</v>
      </c>
      <c r="N42" s="324"/>
    </row>
    <row r="43" spans="3:14" x14ac:dyDescent="0.2">
      <c r="C43" s="386">
        <v>2021</v>
      </c>
      <c r="D43" s="387">
        <f>'Analisis de Insurtechs'!D29</f>
        <v>149200</v>
      </c>
      <c r="E43" s="388">
        <f>-E31</f>
        <v>233600</v>
      </c>
      <c r="F43" s="389">
        <f>(D43-D42)/D43</f>
        <v>0.13941018766756033</v>
      </c>
      <c r="G43" s="389">
        <f>D43/$D$44</f>
        <v>0.40107526881720429</v>
      </c>
      <c r="H43" s="387">
        <f>-'Analisis de Insurtechs'!D20</f>
        <v>9400</v>
      </c>
      <c r="I43" s="387">
        <f>'Analisis de Insurtechs'!D15</f>
        <v>46900</v>
      </c>
      <c r="J43" s="390">
        <f t="shared" si="0"/>
        <v>4.0239726027397262E-2</v>
      </c>
      <c r="K43" s="390">
        <f t="shared" si="1"/>
        <v>0.20077054794520549</v>
      </c>
      <c r="N43" s="325"/>
    </row>
    <row r="44" spans="3:14" x14ac:dyDescent="0.2">
      <c r="C44" s="391"/>
      <c r="D44" s="388">
        <f>SUM(D41:D43)</f>
        <v>372000</v>
      </c>
      <c r="E44" s="391"/>
      <c r="F44" s="392">
        <f>SUMPRODUCT(F41:F43,D41:D43)/SUM(D41:D43)</f>
        <v>0.14731182795698924</v>
      </c>
      <c r="G44" s="393">
        <f>SUM(G41:G43)</f>
        <v>1</v>
      </c>
      <c r="H44" s="391"/>
      <c r="I44" s="391"/>
      <c r="J44" s="394">
        <f>SUMPRODUCT(J41:J43,F41:F43)/SUM(J41:J43)</f>
        <v>0.1422390123743347</v>
      </c>
      <c r="K44" s="394">
        <f>SUMPRODUCT(K41:K43,F41:F43)/SUM(K41:K43)</f>
        <v>7.945119572182599E-2</v>
      </c>
    </row>
    <row r="47" spans="3:14" x14ac:dyDescent="0.2">
      <c r="C47" s="374" t="s">
        <v>492</v>
      </c>
      <c r="D47" s="374"/>
      <c r="E47" s="374"/>
      <c r="F47" s="374"/>
      <c r="G47" s="374"/>
      <c r="H47" s="374"/>
      <c r="I47" s="374"/>
    </row>
    <row r="48" spans="3:14" x14ac:dyDescent="0.2">
      <c r="C48" s="374"/>
      <c r="D48" s="374"/>
      <c r="E48" s="374"/>
      <c r="F48" s="374"/>
      <c r="G48" s="374"/>
      <c r="H48" s="374"/>
      <c r="I48" s="374"/>
    </row>
    <row r="49" spans="3:9" ht="34" x14ac:dyDescent="0.2">
      <c r="C49" s="384" t="s">
        <v>491</v>
      </c>
      <c r="D49" s="384" t="s">
        <v>490</v>
      </c>
      <c r="E49" s="384" t="s">
        <v>523</v>
      </c>
      <c r="F49" s="384" t="s">
        <v>489</v>
      </c>
      <c r="G49" s="384" t="s">
        <v>488</v>
      </c>
      <c r="H49" s="384" t="s">
        <v>521</v>
      </c>
      <c r="I49" s="384" t="s">
        <v>522</v>
      </c>
    </row>
    <row r="50" spans="3:9" x14ac:dyDescent="0.2">
      <c r="C50" s="386">
        <v>2020</v>
      </c>
      <c r="D50" s="387">
        <f>'Analisis de Insurtechs'!N28</f>
        <v>51600</v>
      </c>
      <c r="E50" s="387">
        <f>-N30</f>
        <v>143200</v>
      </c>
      <c r="F50" s="387">
        <f>-'Analisis de Insurtechs'!N19</f>
        <v>9400</v>
      </c>
      <c r="G50" s="387">
        <f>'Analisis de Insurtechs'!N15</f>
        <v>25000</v>
      </c>
      <c r="H50" s="390">
        <f>F50/E50</f>
        <v>6.5642458100558659E-2</v>
      </c>
      <c r="I50" s="390">
        <f>G50/E50</f>
        <v>0.17458100558659218</v>
      </c>
    </row>
    <row r="51" spans="3:9" x14ac:dyDescent="0.2">
      <c r="C51" s="386">
        <v>2021</v>
      </c>
      <c r="D51" s="387">
        <f>'Analisis de Insurtechs'!M28</f>
        <v>91200</v>
      </c>
      <c r="E51" s="387">
        <f>-M32</f>
        <v>367900</v>
      </c>
      <c r="F51" s="387">
        <f>-'Analisis de Insurtechs'!M19</f>
        <v>17400</v>
      </c>
      <c r="G51" s="387">
        <f>'Analisis de Insurtechs'!M15</f>
        <v>43700</v>
      </c>
      <c r="H51" s="390">
        <f>F51/E51</f>
        <v>4.7295460723022563E-2</v>
      </c>
      <c r="I51" s="390">
        <f>G51/E51</f>
        <v>0.1187822777928785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E59D5-73C7-4F9B-8EF4-599E612EBEBB}">
  <dimension ref="D2:J45"/>
  <sheetViews>
    <sheetView showGridLines="0" topLeftCell="C1" workbookViewId="0">
      <selection activeCell="D38" sqref="D38:D41"/>
    </sheetView>
  </sheetViews>
  <sheetFormatPr baseColWidth="10" defaultRowHeight="14" x14ac:dyDescent="0.15"/>
  <cols>
    <col min="1" max="3" width="10.83203125" style="2"/>
    <col min="4" max="4" width="70" style="2" bestFit="1" customWidth="1"/>
    <col min="5" max="5" width="28.6640625" style="2" bestFit="1" customWidth="1"/>
    <col min="6" max="6" width="16.5" style="2" customWidth="1"/>
    <col min="7" max="7" width="27.1640625" style="2" bestFit="1" customWidth="1"/>
    <col min="8" max="8" width="16.1640625" style="2" customWidth="1"/>
    <col min="9" max="9" width="17.6640625" style="2" bestFit="1" customWidth="1"/>
    <col min="10" max="16384" width="10.83203125" style="2"/>
  </cols>
  <sheetData>
    <row r="2" spans="4:9" x14ac:dyDescent="0.15">
      <c r="D2" s="351" t="s">
        <v>218</v>
      </c>
    </row>
    <row r="3" spans="4:9" x14ac:dyDescent="0.15">
      <c r="D3" s="351" t="s">
        <v>259</v>
      </c>
      <c r="E3" s="304">
        <f>'Costo de Capital'!tCol</f>
        <v>0.39</v>
      </c>
    </row>
    <row r="4" spans="4:9" x14ac:dyDescent="0.15">
      <c r="D4" s="351" t="s">
        <v>525</v>
      </c>
      <c r="E4" s="304">
        <v>0.79290000000000005</v>
      </c>
      <c r="F4" s="2" t="s">
        <v>526</v>
      </c>
      <c r="G4" s="2" t="s">
        <v>527</v>
      </c>
    </row>
    <row r="5" spans="4:9" x14ac:dyDescent="0.15">
      <c r="G5" s="326"/>
    </row>
    <row r="6" spans="4:9" x14ac:dyDescent="0.15">
      <c r="G6" s="62"/>
    </row>
    <row r="8" spans="4:9" x14ac:dyDescent="0.15">
      <c r="E8" s="351" t="s">
        <v>257</v>
      </c>
      <c r="F8" s="351" t="s">
        <v>252</v>
      </c>
      <c r="G8" s="351" t="s">
        <v>253</v>
      </c>
      <c r="H8" s="351" t="s">
        <v>254</v>
      </c>
      <c r="I8" s="351" t="s">
        <v>524</v>
      </c>
    </row>
    <row r="9" spans="4:9" x14ac:dyDescent="0.15">
      <c r="D9" s="328" t="s">
        <v>66</v>
      </c>
      <c r="E9" s="328"/>
      <c r="F9" s="328"/>
      <c r="G9" s="328"/>
      <c r="H9" s="328"/>
      <c r="I9" s="328"/>
    </row>
    <row r="10" spans="4:9" x14ac:dyDescent="0.15">
      <c r="D10" s="329" t="s">
        <v>255</v>
      </c>
      <c r="E10" s="330">
        <f>'Hipótesis de Ingresos MVP '!H63</f>
        <v>1565835263.9999998</v>
      </c>
      <c r="F10" s="330">
        <f>'ContabilidaddeInnovación Año2'!Y93</f>
        <v>7046598681.5774193</v>
      </c>
      <c r="G10" s="330">
        <f>'ContabilidaddeInnovación Año3'!Y107</f>
        <v>21609842574.584564</v>
      </c>
      <c r="H10" s="330">
        <f>'ContabilidaddeInnovación Año 4'!Y107</f>
        <v>44531150761.090759</v>
      </c>
      <c r="I10" s="331">
        <f>H10*(1+'Analisis de Insurtechs'!$F$44)</f>
        <v>51091115980.735306</v>
      </c>
    </row>
    <row r="11" spans="4:9" x14ac:dyDescent="0.15">
      <c r="D11" s="329" t="s">
        <v>55</v>
      </c>
      <c r="E11" s="330">
        <f>'Hipótesis de Ingresos MVP '!F30</f>
        <v>1063214596.6784997</v>
      </c>
      <c r="F11" s="330">
        <v>0</v>
      </c>
      <c r="G11" s="330"/>
      <c r="H11" s="330"/>
      <c r="I11" s="331">
        <f>H11*(1+'Analisis de Insurtechs'!$F$44)</f>
        <v>0</v>
      </c>
    </row>
    <row r="12" spans="4:9" x14ac:dyDescent="0.15">
      <c r="D12" s="328" t="s">
        <v>256</v>
      </c>
      <c r="E12" s="331">
        <f>SUM(E10:E11)</f>
        <v>2629049860.6784992</v>
      </c>
      <c r="F12" s="331">
        <f>SUM(F10:F11)</f>
        <v>7046598681.5774193</v>
      </c>
      <c r="G12" s="331">
        <f>SUM(G10:G11)</f>
        <v>21609842574.584564</v>
      </c>
      <c r="H12" s="331">
        <f>SUM(H10:H11)</f>
        <v>44531150761.090759</v>
      </c>
      <c r="I12" s="331">
        <f>H12*(1+'Analisis de Insurtechs'!$F$44)</f>
        <v>51091115980.735306</v>
      </c>
    </row>
    <row r="13" spans="4:9" x14ac:dyDescent="0.15">
      <c r="D13" s="328" t="s">
        <v>58</v>
      </c>
      <c r="E13" s="331"/>
      <c r="F13" s="331"/>
      <c r="G13" s="331"/>
      <c r="H13" s="331"/>
      <c r="I13" s="331">
        <f>H13*(1+'Analisis de Insurtechs'!$F$44)</f>
        <v>0</v>
      </c>
    </row>
    <row r="14" spans="4:9" x14ac:dyDescent="0.15">
      <c r="D14" s="329" t="s">
        <v>258</v>
      </c>
      <c r="E14" s="330">
        <f>'Costos y Gastos Fijos'!E20</f>
        <v>1518877995.2549999</v>
      </c>
      <c r="F14" s="331">
        <f>'ContabilidaddeInnovación Año2'!Y101</f>
        <v>2073992684.1722565</v>
      </c>
      <c r="G14" s="331">
        <f>'ContabilidaddeInnovación Año3'!Y115</f>
        <v>3255261974.8638573</v>
      </c>
      <c r="H14" s="331">
        <f>'ContabilidaddeInnovación Año 4'!Y115</f>
        <v>3432471735.4239359</v>
      </c>
      <c r="I14" s="331">
        <f>H14*(1+'Analisis de Insurtechs'!$F$44)</f>
        <v>3938115421.179935</v>
      </c>
    </row>
    <row r="15" spans="4:9" x14ac:dyDescent="0.15">
      <c r="D15" s="329" t="s">
        <v>268</v>
      </c>
      <c r="E15" s="331">
        <f>E10*3%</f>
        <v>46975057.919999994</v>
      </c>
      <c r="F15" s="331">
        <f>'ContabilidaddeInnovación Año2'!Y109</f>
        <v>2994804439.670403</v>
      </c>
      <c r="G15" s="331">
        <f>'ContabilidaddeInnovación Año3'!Y123</f>
        <v>13073954757.623661</v>
      </c>
      <c r="H15" s="331">
        <f>'ContabilidaddeInnovación Año 4'!Y123</f>
        <v>29167903748.51445</v>
      </c>
      <c r="I15" s="331">
        <f>H15*(1+'Analisis de Insurtechs'!$F$44)</f>
        <v>33464680967.38163</v>
      </c>
    </row>
    <row r="16" spans="4:9" x14ac:dyDescent="0.15">
      <c r="D16" s="329" t="s">
        <v>260</v>
      </c>
      <c r="E16" s="330"/>
      <c r="F16" s="330">
        <f>F24*$E$4</f>
        <v>136066024.37957174</v>
      </c>
      <c r="G16" s="330">
        <f t="shared" ref="G16:I16" si="0">G24*$E$4</f>
        <v>363289108.4346754</v>
      </c>
      <c r="H16" s="330">
        <f t="shared" si="0"/>
        <v>820796784.88447964</v>
      </c>
      <c r="I16" s="330">
        <f t="shared" si="0"/>
        <v>941709859.64703178</v>
      </c>
    </row>
    <row r="17" spans="4:9" x14ac:dyDescent="0.15">
      <c r="D17" s="332" t="s">
        <v>269</v>
      </c>
      <c r="E17" s="331">
        <f>SUM(E14:E16)</f>
        <v>1565853053.175</v>
      </c>
      <c r="F17" s="331">
        <f>SUM(F14:F16)</f>
        <v>5204863148.2222309</v>
      </c>
      <c r="G17" s="331">
        <f>SUM(G14:G16)</f>
        <v>16692505840.922194</v>
      </c>
      <c r="H17" s="331">
        <f>SUM(H14:H16)</f>
        <v>33421172268.822865</v>
      </c>
      <c r="I17" s="331">
        <f>H17*(1+'Analisis de Insurtechs'!$F$44)</f>
        <v>38344506248.208595</v>
      </c>
    </row>
    <row r="18" spans="4:9" x14ac:dyDescent="0.15">
      <c r="D18" s="332" t="s">
        <v>261</v>
      </c>
      <c r="E18" s="331">
        <f>E12-E17</f>
        <v>1063196807.5034993</v>
      </c>
      <c r="F18" s="331">
        <f>F12-F17</f>
        <v>1841735533.3551884</v>
      </c>
      <c r="G18" s="331">
        <f>G12-G17</f>
        <v>4917336733.6623707</v>
      </c>
      <c r="H18" s="331">
        <f>H12-H17</f>
        <v>11109978492.267895</v>
      </c>
      <c r="I18" s="331">
        <f>H18*(1+'Analisis de Insurtechs'!$F$44)</f>
        <v>12746609732.526712</v>
      </c>
    </row>
    <row r="19" spans="4:9" x14ac:dyDescent="0.15">
      <c r="D19" s="329" t="s">
        <v>262</v>
      </c>
      <c r="E19" s="331">
        <f>E18*$E$3</f>
        <v>414646754.92636472</v>
      </c>
      <c r="F19" s="331">
        <f>F18*$E$3</f>
        <v>718276858.00852346</v>
      </c>
      <c r="G19" s="331">
        <f>G18*$E$3</f>
        <v>1917761326.1283247</v>
      </c>
      <c r="H19" s="331">
        <f>H18*$E$3</f>
        <v>4332891611.984479</v>
      </c>
      <c r="I19" s="331">
        <f>H19*(1+'Analisis de Insurtechs'!$F$44)</f>
        <v>4971177795.6854181</v>
      </c>
    </row>
    <row r="20" spans="4:9" x14ac:dyDescent="0.15">
      <c r="D20" s="332" t="s">
        <v>263</v>
      </c>
      <c r="E20" s="331">
        <f>E18-E19</f>
        <v>648550052.57713461</v>
      </c>
      <c r="F20" s="331">
        <f>F18-F19</f>
        <v>1123458675.3466649</v>
      </c>
      <c r="G20" s="331">
        <f>G18-G19</f>
        <v>2999575407.5340462</v>
      </c>
      <c r="H20" s="331">
        <f>H18-H19</f>
        <v>6777086880.2834158</v>
      </c>
      <c r="I20" s="331">
        <f>H20*(1+'Analisis de Insurtechs'!$F$44)</f>
        <v>7775431936.8412943</v>
      </c>
    </row>
    <row r="21" spans="4:9" x14ac:dyDescent="0.15">
      <c r="D21" s="329" t="s">
        <v>260</v>
      </c>
      <c r="E21" s="330">
        <v>0</v>
      </c>
      <c r="F21" s="330">
        <f>F24*$E$4</f>
        <v>136066024.37957174</v>
      </c>
      <c r="G21" s="330">
        <f t="shared" ref="G21:I21" si="1">G24*$E$4</f>
        <v>363289108.4346754</v>
      </c>
      <c r="H21" s="330">
        <f t="shared" si="1"/>
        <v>820796784.88447964</v>
      </c>
      <c r="I21" s="330">
        <f t="shared" si="1"/>
        <v>941709859.64703178</v>
      </c>
    </row>
    <row r="22" spans="4:9" x14ac:dyDescent="0.15">
      <c r="D22" s="332" t="s">
        <v>264</v>
      </c>
      <c r="E22" s="331">
        <f>E20+E21</f>
        <v>648550052.57713461</v>
      </c>
      <c r="F22" s="331">
        <f>F20+F21</f>
        <v>1259524699.7262366</v>
      </c>
      <c r="G22" s="331">
        <f>G20+G21</f>
        <v>3362864515.9687214</v>
      </c>
      <c r="H22" s="331">
        <f>H20+H21</f>
        <v>7597883665.1678953</v>
      </c>
      <c r="I22" s="331">
        <f>H22*(1+'Analisis de Insurtechs'!$F$44)</f>
        <v>8717141796.488327</v>
      </c>
    </row>
    <row r="23" spans="4:9" x14ac:dyDescent="0.15">
      <c r="D23" s="329" t="s">
        <v>520</v>
      </c>
      <c r="E23" s="331">
        <v>0</v>
      </c>
      <c r="F23" s="333">
        <v>95854606.184135228</v>
      </c>
      <c r="G23" s="333">
        <v>255926742.76165262</v>
      </c>
      <c r="H23" s="333">
        <v>578227760.61147511</v>
      </c>
      <c r="I23" s="333">
        <v>663407549.00262785</v>
      </c>
    </row>
    <row r="24" spans="4:9" x14ac:dyDescent="0.15">
      <c r="D24" s="329" t="s">
        <v>489</v>
      </c>
      <c r="E24" s="331">
        <v>0</v>
      </c>
      <c r="F24" s="333">
        <v>171605529.54921395</v>
      </c>
      <c r="G24" s="333">
        <v>458177712.74394673</v>
      </c>
      <c r="H24" s="333">
        <v>1035183232.2921927</v>
      </c>
      <c r="I24" s="333">
        <v>1187677966.51158</v>
      </c>
    </row>
    <row r="25" spans="4:9" x14ac:dyDescent="0.15">
      <c r="D25" s="329" t="s">
        <v>501</v>
      </c>
      <c r="E25" s="331">
        <f>E22-E23-E24</f>
        <v>648550052.57713461</v>
      </c>
      <c r="F25" s="331">
        <f>F22-F23-F24</f>
        <v>992064563.9928875</v>
      </c>
      <c r="G25" s="331">
        <f t="shared" ref="G25:I25" si="2">G22-G23-G24</f>
        <v>2648760060.4631224</v>
      </c>
      <c r="H25" s="331">
        <f t="shared" si="2"/>
        <v>5984472672.2642279</v>
      </c>
      <c r="I25" s="331">
        <f t="shared" si="2"/>
        <v>6866056280.9741192</v>
      </c>
    </row>
    <row r="26" spans="4:9" x14ac:dyDescent="0.15">
      <c r="D26" s="328"/>
      <c r="E26" s="331"/>
      <c r="F26" s="331"/>
      <c r="G26" s="331"/>
      <c r="H26" s="331"/>
      <c r="I26" s="331"/>
    </row>
    <row r="27" spans="4:9" x14ac:dyDescent="0.15">
      <c r="D27" s="328"/>
      <c r="E27" s="331"/>
      <c r="F27" s="331"/>
      <c r="G27" s="331"/>
      <c r="H27" s="331"/>
      <c r="I27" s="331"/>
    </row>
    <row r="28" spans="4:9" x14ac:dyDescent="0.15">
      <c r="D28" s="329" t="s">
        <v>520</v>
      </c>
      <c r="E28" s="331">
        <v>0</v>
      </c>
      <c r="F28" s="333">
        <f>F22*'Analisis de Insurtechs'!$K$44</f>
        <v>100070743.43442333</v>
      </c>
      <c r="G28" s="333">
        <f>G22*'Analisis de Insurtechs'!$K$44</f>
        <v>267183606.8442145</v>
      </c>
      <c r="H28" s="333">
        <f>H22*'Analisis de Insurtechs'!$K$44</f>
        <v>603660942.15291905</v>
      </c>
      <c r="I28" s="333">
        <f>I22*'Analisis de Insurtechs'!$K$44</f>
        <v>692587339.0077039</v>
      </c>
    </row>
    <row r="29" spans="4:9" x14ac:dyDescent="0.15">
      <c r="D29" s="332" t="s">
        <v>489</v>
      </c>
      <c r="E29" s="331">
        <v>0</v>
      </c>
      <c r="F29" s="333">
        <f>F22*'Analisis de Insurtechs'!$J$44</f>
        <v>179153549.35014036</v>
      </c>
      <c r="G29" s="333">
        <f>G22*'Analisis de Insurtechs'!$J$44</f>
        <v>478330527.50008601</v>
      </c>
      <c r="H29" s="333">
        <f>H22*'Analisis de Insurtechs'!$J$44</f>
        <v>1080715468.6685717</v>
      </c>
      <c r="I29" s="333">
        <f>I22*'Analisis de Insurtechs'!$J$44</f>
        <v>1239917639.8595333</v>
      </c>
    </row>
    <row r="30" spans="4:9" x14ac:dyDescent="0.15">
      <c r="D30" s="401" t="s">
        <v>530</v>
      </c>
      <c r="E30" s="402">
        <f>E25-E28-E29</f>
        <v>648550052.57713461</v>
      </c>
      <c r="F30" s="402">
        <f t="shared" ref="F30:I30" si="3">F25-F28-F29</f>
        <v>712840271.20832384</v>
      </c>
      <c r="G30" s="402">
        <f t="shared" si="3"/>
        <v>1903245926.1188219</v>
      </c>
      <c r="H30" s="402">
        <f t="shared" si="3"/>
        <v>4300096261.4427376</v>
      </c>
      <c r="I30" s="402">
        <f t="shared" si="3"/>
        <v>4933551302.1068821</v>
      </c>
    </row>
    <row r="31" spans="4:9" x14ac:dyDescent="0.15">
      <c r="E31" s="327"/>
      <c r="F31" s="327"/>
      <c r="G31" s="327"/>
      <c r="H31" s="327"/>
      <c r="I31" s="327"/>
    </row>
    <row r="32" spans="4:9" x14ac:dyDescent="0.15">
      <c r="E32" s="327"/>
      <c r="F32" s="327"/>
      <c r="G32" s="327"/>
      <c r="H32" s="327"/>
      <c r="I32" s="327"/>
    </row>
    <row r="33" spans="4:10" x14ac:dyDescent="0.15">
      <c r="D33" s="403"/>
      <c r="E33" s="404">
        <v>1</v>
      </c>
      <c r="F33" s="404">
        <v>2</v>
      </c>
      <c r="G33" s="404">
        <v>3</v>
      </c>
      <c r="H33" s="404">
        <v>4</v>
      </c>
      <c r="I33" s="404">
        <v>5</v>
      </c>
    </row>
    <row r="34" spans="4:10" x14ac:dyDescent="0.15">
      <c r="D34" s="400" t="s">
        <v>528</v>
      </c>
      <c r="E34" s="334">
        <f>1/(1+Ke_COP_Nominal)^E33</f>
        <v>0.85585265519768861</v>
      </c>
      <c r="F34" s="334">
        <f>1/(1+Ke_COP_Nominal)^F33</f>
        <v>0.73248376740893373</v>
      </c>
      <c r="G34" s="334">
        <f>1/(1+Ke_COP_Nominal)^G33</f>
        <v>0.62689817722614216</v>
      </c>
      <c r="H34" s="334">
        <f>1/(1+Ke_COP_Nominal)^H33</f>
        <v>0.53653246951758493</v>
      </c>
      <c r="I34" s="334">
        <f>1/(Ke_COP_Nominal-'Analisis de Insurtechs'!F44)*H34</f>
        <v>25.411706934203288</v>
      </c>
    </row>
    <row r="35" spans="4:10" x14ac:dyDescent="0.15">
      <c r="D35" s="400" t="s">
        <v>529</v>
      </c>
      <c r="E35" s="331">
        <f>E30*E34</f>
        <v>555063284.52674115</v>
      </c>
      <c r="F35" s="331">
        <f t="shared" ref="F35:I35" si="4">F30*F34</f>
        <v>522143927.41547912</v>
      </c>
      <c r="G35" s="331">
        <f t="shared" si="4"/>
        <v>1193141401.8969703</v>
      </c>
      <c r="H35" s="331">
        <f t="shared" si="4"/>
        <v>2307141266.3152065</v>
      </c>
      <c r="I35" s="331">
        <f t="shared" si="4"/>
        <v>125369959833.99712</v>
      </c>
    </row>
    <row r="36" spans="4:10" x14ac:dyDescent="0.15">
      <c r="D36" s="351" t="s">
        <v>531</v>
      </c>
      <c r="E36" s="327">
        <f>SUM(E35:I35)</f>
        <v>129947449714.15152</v>
      </c>
      <c r="F36" s="327"/>
      <c r="G36" s="327"/>
      <c r="H36" s="327"/>
      <c r="I36" s="327"/>
    </row>
    <row r="37" spans="4:10" x14ac:dyDescent="0.15">
      <c r="E37" s="327"/>
      <c r="F37" s="327"/>
      <c r="G37" s="327"/>
      <c r="H37" s="327"/>
      <c r="I37" s="327"/>
    </row>
    <row r="38" spans="4:10" x14ac:dyDescent="0.15">
      <c r="D38" s="351" t="s">
        <v>534</v>
      </c>
      <c r="E38" s="327"/>
      <c r="F38" s="327"/>
      <c r="G38" s="327"/>
      <c r="H38" s="327"/>
      <c r="I38" s="327"/>
    </row>
    <row r="39" spans="4:10" x14ac:dyDescent="0.15">
      <c r="D39" s="351" t="s">
        <v>535</v>
      </c>
      <c r="E39" s="304">
        <v>0.25</v>
      </c>
      <c r="F39" s="327">
        <f>E39*E36</f>
        <v>32486862428.53788</v>
      </c>
      <c r="G39" s="327"/>
      <c r="H39" s="327"/>
      <c r="I39" s="327"/>
    </row>
    <row r="40" spans="4:10" x14ac:dyDescent="0.15">
      <c r="D40" s="351" t="s">
        <v>532</v>
      </c>
      <c r="E40" s="304">
        <v>0.4</v>
      </c>
      <c r="F40" s="327">
        <f>E40*E36</f>
        <v>51978979885.660614</v>
      </c>
      <c r="G40" s="327"/>
      <c r="H40" s="327"/>
      <c r="I40" s="327"/>
    </row>
    <row r="41" spans="4:10" x14ac:dyDescent="0.15">
      <c r="D41" s="351" t="s">
        <v>533</v>
      </c>
      <c r="E41" s="304">
        <v>0.37</v>
      </c>
      <c r="F41" s="327">
        <f>E41*E36</f>
        <v>48080556394.236061</v>
      </c>
      <c r="G41" s="327"/>
      <c r="H41" s="327"/>
      <c r="I41" s="327"/>
    </row>
    <row r="45" spans="4:10" x14ac:dyDescent="0.15">
      <c r="J45" s="2">
        <f>36500-23420</f>
        <v>13080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14C42-F4B1-4F43-8ED8-24BC818AFEA1}">
  <dimension ref="C4:E14"/>
  <sheetViews>
    <sheetView showGridLines="0" tabSelected="1" zoomScale="186" workbookViewId="0">
      <selection activeCell="F14" sqref="F14"/>
    </sheetView>
  </sheetViews>
  <sheetFormatPr baseColWidth="10" defaultRowHeight="15" x14ac:dyDescent="0.2"/>
  <cols>
    <col min="3" max="3" width="3.6640625" bestFit="1" customWidth="1"/>
    <col min="4" max="4" width="28.83203125" bestFit="1" customWidth="1"/>
  </cols>
  <sheetData>
    <row r="4" spans="3:5" ht="16" x14ac:dyDescent="0.2">
      <c r="C4" s="415" t="s">
        <v>573</v>
      </c>
      <c r="D4" s="415"/>
      <c r="E4" s="405"/>
    </row>
    <row r="5" spans="3:5" ht="16" x14ac:dyDescent="0.2">
      <c r="C5" s="405" t="s">
        <v>553</v>
      </c>
      <c r="D5" s="406" t="s">
        <v>554</v>
      </c>
      <c r="E5" s="405"/>
    </row>
    <row r="6" spans="3:5" ht="16" x14ac:dyDescent="0.2">
      <c r="C6" s="405" t="s">
        <v>555</v>
      </c>
      <c r="D6" s="406" t="s">
        <v>460</v>
      </c>
      <c r="E6" s="405"/>
    </row>
    <row r="7" spans="3:5" ht="16" x14ac:dyDescent="0.2">
      <c r="C7" s="405" t="s">
        <v>556</v>
      </c>
      <c r="D7" s="406" t="s">
        <v>557</v>
      </c>
      <c r="E7" s="405"/>
    </row>
    <row r="8" spans="3:5" ht="16" x14ac:dyDescent="0.2">
      <c r="C8" s="405" t="s">
        <v>558</v>
      </c>
      <c r="D8" s="406" t="s">
        <v>574</v>
      </c>
      <c r="E8" s="405"/>
    </row>
    <row r="9" spans="3:5" ht="16" x14ac:dyDescent="0.2">
      <c r="C9" s="405" t="s">
        <v>562</v>
      </c>
      <c r="D9" s="406" t="s">
        <v>575</v>
      </c>
      <c r="E9" s="405"/>
    </row>
    <row r="10" spans="3:5" ht="16" x14ac:dyDescent="0.2">
      <c r="C10" s="405" t="s">
        <v>563</v>
      </c>
      <c r="D10" s="406" t="s">
        <v>564</v>
      </c>
      <c r="E10" s="405"/>
    </row>
    <row r="11" spans="3:5" ht="16" x14ac:dyDescent="0.2">
      <c r="C11" s="405" t="s">
        <v>565</v>
      </c>
      <c r="D11" s="406" t="s">
        <v>567</v>
      </c>
      <c r="E11" s="405"/>
    </row>
    <row r="12" spans="3:5" ht="16" x14ac:dyDescent="0.2">
      <c r="C12" s="405" t="s">
        <v>566</v>
      </c>
      <c r="D12" s="406" t="s">
        <v>568</v>
      </c>
      <c r="E12" s="405"/>
    </row>
    <row r="13" spans="3:5" ht="16" x14ac:dyDescent="0.2">
      <c r="C13" s="405" t="s">
        <v>569</v>
      </c>
      <c r="D13" s="406" t="s">
        <v>570</v>
      </c>
      <c r="E13" s="405"/>
    </row>
    <row r="14" spans="3:5" ht="16" x14ac:dyDescent="0.2">
      <c r="C14" s="405" t="s">
        <v>571</v>
      </c>
      <c r="D14" s="406" t="s">
        <v>572</v>
      </c>
      <c r="E14" s="405"/>
    </row>
  </sheetData>
  <mergeCells count="1">
    <mergeCell ref="C4:D4"/>
  </mergeCells>
  <hyperlinks>
    <hyperlink ref="D5" location="'Costos y Gastos Fijos'!A1" display="Costos y Gastos Fijos" xr:uid="{4F56DAE4-EDE8-0240-9AAB-F2E4938DE436}"/>
    <hyperlink ref="D6" location="'Costo de Capital'!A1" display="Costo de Capital" xr:uid="{B1B165D5-F4D1-1847-B0C3-B4F4C4FF9145}"/>
    <hyperlink ref="D7" location="'Tasa de retorno minima'!A1" display="Tasa de retorno minima" xr:uid="{83657561-4DB4-544A-92A9-0C4D08F0DB54}"/>
    <hyperlink ref="D8" location="'Hipótesis de Ingresos MVP '!A1" display="Hipotesis de Ingresos MVP" xr:uid="{80E66994-D8A4-7943-B156-6E5C98822832}"/>
    <hyperlink ref="D9" location="'Ingresos MVP Análisis PERT'!A1" display="Ingresos MVP Analisis PERT" xr:uid="{ADB1A9F3-A70C-7A47-AF8B-2E1B21A5C5E7}"/>
    <hyperlink ref="D10" location="'ContabilidaddeInnovación Año2'!A1" display="Contabilidad de Innovación año 2" xr:uid="{638CB76A-BFE2-FD4C-8392-A173AD362A3D}"/>
    <hyperlink ref="D11" location="'ContabilidaddeInnovación Año3'!A1" display="Contabilidad de Innovación año 3" xr:uid="{58DF4545-BAC1-E140-A806-A01362157515}"/>
    <hyperlink ref="D12" location="'ContabilidaddeInnovación Año 4'!A1" display="Contabilidad de Innovación año 4" xr:uid="{E28321FB-AA87-174F-A433-5ADAFF00EA7A}"/>
    <hyperlink ref="D13" location="'Analisis de Insurtechs'!A1" display="Analisis de Insurtechs" xr:uid="{7953D363-79DE-0D4D-9BE0-07EB65754256}"/>
    <hyperlink ref="D14" location="'Modelo Financiero'!A1" display="Modelo Financiero" xr:uid="{7C36C22F-0215-3846-85E9-9F80408AC14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5:F36"/>
  <sheetViews>
    <sheetView showGridLines="0" topLeftCell="B3" zoomScale="131" workbookViewId="0">
      <selection activeCell="J15" sqref="A1:XFD1048576"/>
    </sheetView>
  </sheetViews>
  <sheetFormatPr baseColWidth="10" defaultColWidth="8.83203125" defaultRowHeight="14" x14ac:dyDescent="0.15"/>
  <cols>
    <col min="1" max="2" width="8.83203125" style="2"/>
    <col min="3" max="3" width="40.1640625" style="2" bestFit="1" customWidth="1"/>
    <col min="4" max="4" width="11.5" style="2" bestFit="1" customWidth="1"/>
    <col min="5" max="5" width="28" style="2" bestFit="1" customWidth="1"/>
    <col min="6" max="6" width="48.83203125" style="273" customWidth="1"/>
    <col min="7" max="16384" width="8.83203125" style="2"/>
  </cols>
  <sheetData>
    <row r="5" spans="3:6" ht="15" x14ac:dyDescent="0.15">
      <c r="C5" s="266"/>
      <c r="D5" s="266" t="s">
        <v>7</v>
      </c>
      <c r="E5" s="266" t="s">
        <v>8</v>
      </c>
      <c r="F5" s="267" t="s">
        <v>4</v>
      </c>
    </row>
    <row r="6" spans="3:6" x14ac:dyDescent="0.15">
      <c r="C6" s="416" t="s">
        <v>0</v>
      </c>
      <c r="D6" s="416"/>
      <c r="E6" s="416"/>
      <c r="F6" s="416"/>
    </row>
    <row r="7" spans="3:6" ht="30" x14ac:dyDescent="0.15">
      <c r="C7" s="78" t="s">
        <v>1</v>
      </c>
      <c r="D7" s="78" t="s">
        <v>10</v>
      </c>
      <c r="E7" s="83">
        <v>89509481.129999995</v>
      </c>
      <c r="F7" s="268" t="s">
        <v>5</v>
      </c>
    </row>
    <row r="8" spans="3:6" ht="75" x14ac:dyDescent="0.15">
      <c r="C8" s="78" t="s">
        <v>13</v>
      </c>
      <c r="D8" s="78" t="s">
        <v>10</v>
      </c>
      <c r="E8" s="84">
        <f>E7*50%</f>
        <v>44754740.564999998</v>
      </c>
      <c r="F8" s="268" t="s">
        <v>20</v>
      </c>
    </row>
    <row r="9" spans="3:6" x14ac:dyDescent="0.15">
      <c r="C9" s="269" t="s">
        <v>3</v>
      </c>
      <c r="D9" s="269"/>
      <c r="E9" s="269"/>
      <c r="F9" s="269"/>
    </row>
    <row r="10" spans="3:6" ht="45" x14ac:dyDescent="0.15">
      <c r="C10" s="270" t="s">
        <v>2</v>
      </c>
      <c r="D10" s="78" t="s">
        <v>10</v>
      </c>
      <c r="E10" s="271">
        <v>15000000</v>
      </c>
      <c r="F10" s="268" t="s">
        <v>18</v>
      </c>
    </row>
    <row r="11" spans="3:6" ht="15" x14ac:dyDescent="0.15">
      <c r="C11" s="78" t="s">
        <v>14</v>
      </c>
      <c r="D11" s="78" t="s">
        <v>10</v>
      </c>
      <c r="E11" s="83">
        <v>1000000</v>
      </c>
      <c r="F11" s="268" t="s">
        <v>15</v>
      </c>
    </row>
    <row r="12" spans="3:6" ht="15" x14ac:dyDescent="0.15">
      <c r="C12" s="78" t="s">
        <v>16</v>
      </c>
      <c r="D12" s="78" t="s">
        <v>10</v>
      </c>
      <c r="E12" s="83">
        <v>1500000</v>
      </c>
      <c r="F12" s="268" t="s">
        <v>17</v>
      </c>
    </row>
    <row r="13" spans="3:6" x14ac:dyDescent="0.15">
      <c r="C13" s="269" t="s">
        <v>6</v>
      </c>
      <c r="D13" s="269"/>
      <c r="E13" s="269"/>
      <c r="F13" s="269"/>
    </row>
    <row r="14" spans="3:6" ht="75" x14ac:dyDescent="0.15">
      <c r="C14" s="78" t="s">
        <v>9</v>
      </c>
      <c r="D14" s="78" t="s">
        <v>10</v>
      </c>
      <c r="E14" s="78">
        <v>0</v>
      </c>
      <c r="F14" s="268" t="s">
        <v>12</v>
      </c>
    </row>
    <row r="15" spans="3:6" ht="90" x14ac:dyDescent="0.15">
      <c r="C15" s="78" t="s">
        <v>11</v>
      </c>
      <c r="D15" s="78" t="s">
        <v>10</v>
      </c>
      <c r="E15" s="83">
        <v>10000000</v>
      </c>
      <c r="F15" s="268" t="s">
        <v>19</v>
      </c>
    </row>
    <row r="16" spans="3:6" ht="30" x14ac:dyDescent="0.15">
      <c r="C16" s="78" t="s">
        <v>480</v>
      </c>
      <c r="D16" s="78" t="s">
        <v>10</v>
      </c>
      <c r="E16" s="83">
        <v>7000000</v>
      </c>
      <c r="F16" s="268" t="s">
        <v>481</v>
      </c>
    </row>
    <row r="17" spans="3:6" x14ac:dyDescent="0.15">
      <c r="C17" s="78" t="s">
        <v>50</v>
      </c>
      <c r="D17" s="78"/>
      <c r="E17" s="78"/>
      <c r="F17" s="268"/>
    </row>
    <row r="18" spans="3:6" x14ac:dyDescent="0.15">
      <c r="C18" s="78" t="s">
        <v>195</v>
      </c>
      <c r="D18" s="78"/>
      <c r="E18" s="84">
        <f>SUM(E7:E16)</f>
        <v>168764221.69499999</v>
      </c>
      <c r="F18" s="268"/>
    </row>
    <row r="19" spans="3:6" x14ac:dyDescent="0.15">
      <c r="C19" s="272"/>
      <c r="D19" s="272"/>
      <c r="E19" s="272"/>
    </row>
    <row r="20" spans="3:6" s="274" customFormat="1" x14ac:dyDescent="0.15">
      <c r="C20" s="274" t="s">
        <v>479</v>
      </c>
      <c r="E20" s="275">
        <f>E18*9</f>
        <v>1518877995.2549999</v>
      </c>
      <c r="F20" s="276"/>
    </row>
    <row r="21" spans="3:6" x14ac:dyDescent="0.15">
      <c r="C21" s="2" t="s">
        <v>482</v>
      </c>
      <c r="E21" s="17">
        <f>SUM(E7,E15,E16,E10)*9</f>
        <v>1093585330.1700001</v>
      </c>
    </row>
    <row r="22" spans="3:6" x14ac:dyDescent="0.15">
      <c r="C22" s="2" t="s">
        <v>484</v>
      </c>
      <c r="E22" s="17">
        <f>SUM(E11:E12)*9</f>
        <v>22500000</v>
      </c>
    </row>
    <row r="23" spans="3:6" x14ac:dyDescent="0.15">
      <c r="C23" s="2" t="s">
        <v>485</v>
      </c>
      <c r="E23" s="17">
        <f>E8*9</f>
        <v>402792665.08499998</v>
      </c>
    </row>
    <row r="24" spans="3:6" x14ac:dyDescent="0.15">
      <c r="E24" s="17"/>
    </row>
    <row r="25" spans="3:6" x14ac:dyDescent="0.15">
      <c r="E25" s="17"/>
    </row>
    <row r="26" spans="3:6" x14ac:dyDescent="0.15">
      <c r="C26" s="2" t="s">
        <v>483</v>
      </c>
      <c r="E26" s="17">
        <f>E20*70%</f>
        <v>1063214596.6784998</v>
      </c>
    </row>
    <row r="28" spans="3:6" x14ac:dyDescent="0.15">
      <c r="C28" s="2" t="s">
        <v>21</v>
      </c>
      <c r="E28" s="17">
        <f>E26/3</f>
        <v>354404865.55949992</v>
      </c>
    </row>
    <row r="29" spans="3:6" x14ac:dyDescent="0.15">
      <c r="C29" s="277"/>
    </row>
    <row r="30" spans="3:6" x14ac:dyDescent="0.15">
      <c r="C30" s="278"/>
    </row>
    <row r="31" spans="3:6" x14ac:dyDescent="0.15">
      <c r="C31" s="278"/>
    </row>
    <row r="32" spans="3:6" x14ac:dyDescent="0.15">
      <c r="C32" s="278"/>
    </row>
    <row r="33" spans="3:3" x14ac:dyDescent="0.15">
      <c r="C33" s="278"/>
    </row>
    <row r="34" spans="3:3" x14ac:dyDescent="0.15">
      <c r="C34" s="278"/>
    </row>
    <row r="35" spans="3:3" x14ac:dyDescent="0.15">
      <c r="C35" s="278"/>
    </row>
    <row r="36" spans="3:3" x14ac:dyDescent="0.15">
      <c r="C36" s="278"/>
    </row>
  </sheetData>
  <mergeCells count="1">
    <mergeCell ref="C6:F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9FC09-0E4C-EC40-AF05-72130E74D5C5}">
  <dimension ref="B5:R2556"/>
  <sheetViews>
    <sheetView showGridLines="0" topLeftCell="G1" zoomScale="160" zoomScaleNormal="160" workbookViewId="0">
      <selection activeCell="M16" sqref="M16"/>
    </sheetView>
  </sheetViews>
  <sheetFormatPr baseColWidth="10" defaultRowHeight="16" x14ac:dyDescent="0.2"/>
  <cols>
    <col min="1" max="1" width="10.83203125" style="283"/>
    <col min="2" max="2" width="35.83203125" style="283" customWidth="1"/>
    <col min="3" max="3" width="18.1640625" style="283" bestFit="1" customWidth="1"/>
    <col min="4" max="4" width="18.33203125" style="283" customWidth="1"/>
    <col min="5" max="5" width="10.83203125" style="283"/>
    <col min="6" max="6" width="51.33203125" style="283" bestFit="1" customWidth="1"/>
    <col min="7" max="12" width="10.83203125" style="283"/>
    <col min="13" max="13" width="7.83203125" style="283" bestFit="1" customWidth="1"/>
    <col min="14" max="14" width="15.5" style="283" customWidth="1"/>
    <col min="15" max="15" width="10.83203125" style="283"/>
    <col min="16" max="16" width="33.1640625" style="283" bestFit="1" customWidth="1"/>
    <col min="17" max="16384" width="10.83203125" style="283"/>
  </cols>
  <sheetData>
    <row r="5" spans="2:18" x14ac:dyDescent="0.2">
      <c r="B5" s="419" t="s">
        <v>218</v>
      </c>
      <c r="C5" s="420"/>
      <c r="D5" s="420"/>
    </row>
    <row r="6" spans="2:18" x14ac:dyDescent="0.2">
      <c r="B6" s="283" t="s">
        <v>219</v>
      </c>
    </row>
    <row r="7" spans="2:18" x14ac:dyDescent="0.2">
      <c r="B7" s="283" t="s">
        <v>220</v>
      </c>
    </row>
    <row r="8" spans="2:18" x14ac:dyDescent="0.2">
      <c r="B8" s="283" t="s">
        <v>221</v>
      </c>
    </row>
    <row r="9" spans="2:18" x14ac:dyDescent="0.2">
      <c r="B9" s="283" t="s">
        <v>223</v>
      </c>
    </row>
    <row r="10" spans="2:18" x14ac:dyDescent="0.2">
      <c r="B10" s="283" t="s">
        <v>222</v>
      </c>
    </row>
    <row r="11" spans="2:18" x14ac:dyDescent="0.2">
      <c r="B11" s="283" t="s">
        <v>224</v>
      </c>
    </row>
    <row r="12" spans="2:18" x14ac:dyDescent="0.2">
      <c r="B12" s="283" t="s">
        <v>225</v>
      </c>
    </row>
    <row r="14" spans="2:18" x14ac:dyDescent="0.2">
      <c r="B14" s="419" t="s">
        <v>246</v>
      </c>
      <c r="C14" s="420"/>
      <c r="D14" s="420"/>
    </row>
    <row r="15" spans="2:18" x14ac:dyDescent="0.2">
      <c r="B15" s="337" t="s">
        <v>209</v>
      </c>
      <c r="C15" s="338" t="s">
        <v>210</v>
      </c>
      <c r="D15" s="339" t="s">
        <v>63</v>
      </c>
      <c r="H15" s="419" t="s">
        <v>228</v>
      </c>
      <c r="I15" s="418"/>
      <c r="J15" s="418"/>
      <c r="L15" s="421"/>
      <c r="M15" s="422"/>
      <c r="N15" s="422"/>
    </row>
    <row r="16" spans="2:18" ht="19" x14ac:dyDescent="0.25">
      <c r="B16" s="279" t="s">
        <v>211</v>
      </c>
      <c r="C16" s="279" t="s">
        <v>536</v>
      </c>
      <c r="D16" s="280">
        <v>0.27</v>
      </c>
      <c r="H16" s="283" t="s">
        <v>226</v>
      </c>
      <c r="I16" s="283" t="s">
        <v>227</v>
      </c>
      <c r="J16" s="340" t="s">
        <v>537</v>
      </c>
      <c r="L16" s="301"/>
      <c r="N16" s="342"/>
      <c r="P16" s="336" t="s">
        <v>229</v>
      </c>
      <c r="Q16" s="335" t="s">
        <v>559</v>
      </c>
      <c r="R16" s="335" t="s">
        <v>538</v>
      </c>
    </row>
    <row r="17" spans="2:18" ht="18" x14ac:dyDescent="0.25">
      <c r="B17" s="281" t="s">
        <v>212</v>
      </c>
      <c r="C17" s="279" t="s">
        <v>539</v>
      </c>
      <c r="D17" s="280">
        <v>0.39</v>
      </c>
      <c r="H17" s="301">
        <v>41014</v>
      </c>
      <c r="I17" s="295">
        <v>6.0000000000000001E-3</v>
      </c>
      <c r="J17" s="295">
        <f>I17-M17</f>
        <v>6.0000000000000001E-3</v>
      </c>
      <c r="L17" s="301"/>
      <c r="M17" s="295"/>
      <c r="O17" s="341"/>
      <c r="P17" s="346">
        <f>+AVERAGE(I17:I538)</f>
        <v>2.466475095785443E-3</v>
      </c>
      <c r="Q17" s="347">
        <f>VARA(I17:I538)</f>
        <v>4.6145340367404272E-4</v>
      </c>
      <c r="R17" s="347">
        <f>SQRT(Q17)</f>
        <v>2.148146651590721E-2</v>
      </c>
    </row>
    <row r="18" spans="2:18" ht="18" x14ac:dyDescent="0.25">
      <c r="B18" s="279" t="s">
        <v>213</v>
      </c>
      <c r="C18" s="279" t="s">
        <v>540</v>
      </c>
      <c r="D18" s="282">
        <v>2.8000000000000001E-2</v>
      </c>
      <c r="F18" s="283" t="s">
        <v>231</v>
      </c>
      <c r="H18" s="301">
        <v>41021</v>
      </c>
      <c r="I18" s="295">
        <v>1.7999999999999999E-2</v>
      </c>
      <c r="J18" s="295">
        <f t="shared" ref="J18:J81" si="0">I18-M18</f>
        <v>1.7999999999999999E-2</v>
      </c>
      <c r="L18" s="301"/>
      <c r="M18" s="295"/>
      <c r="N18" s="343"/>
      <c r="O18" s="343"/>
      <c r="P18" s="284"/>
      <c r="Q18" s="284"/>
      <c r="R18" s="284"/>
    </row>
    <row r="19" spans="2:18" ht="18" x14ac:dyDescent="0.25">
      <c r="B19" s="279" t="s">
        <v>214</v>
      </c>
      <c r="C19" s="279" t="s">
        <v>541</v>
      </c>
      <c r="D19" s="285">
        <f>P21</f>
        <v>0.12825670498084304</v>
      </c>
      <c r="F19" s="283" t="s">
        <v>232</v>
      </c>
      <c r="H19" s="301">
        <v>41028</v>
      </c>
      <c r="I19" s="295">
        <v>-2.4400000000000002E-2</v>
      </c>
      <c r="J19" s="295">
        <f t="shared" si="0"/>
        <v>-2.4400000000000002E-2</v>
      </c>
      <c r="L19" s="301"/>
      <c r="M19" s="295"/>
      <c r="N19" s="284"/>
      <c r="O19" s="284"/>
      <c r="P19" s="284"/>
      <c r="Q19" s="284"/>
      <c r="R19" s="284"/>
    </row>
    <row r="20" spans="2:18" ht="18" x14ac:dyDescent="0.25">
      <c r="B20" s="281" t="s">
        <v>215</v>
      </c>
      <c r="C20" s="283" t="s">
        <v>542</v>
      </c>
      <c r="D20" s="282">
        <f>D19-D18</f>
        <v>0.10025670498084305</v>
      </c>
      <c r="F20" s="283" t="s">
        <v>232</v>
      </c>
      <c r="H20" s="301">
        <v>41035</v>
      </c>
      <c r="I20" s="295">
        <v>-1.15E-2</v>
      </c>
      <c r="J20" s="295">
        <f t="shared" si="0"/>
        <v>-1.15E-2</v>
      </c>
      <c r="L20" s="301"/>
      <c r="M20" s="295"/>
      <c r="N20" s="284"/>
      <c r="O20" s="284"/>
      <c r="P20" s="336" t="s">
        <v>230</v>
      </c>
      <c r="Q20" s="336" t="s">
        <v>236</v>
      </c>
      <c r="R20" s="335" t="s">
        <v>543</v>
      </c>
    </row>
    <row r="21" spans="2:18" x14ac:dyDescent="0.2">
      <c r="F21" s="283" t="s">
        <v>233</v>
      </c>
      <c r="H21" s="301">
        <v>41042</v>
      </c>
      <c r="I21" s="295">
        <v>-4.2999999999999997E-2</v>
      </c>
      <c r="J21" s="295">
        <f t="shared" si="0"/>
        <v>-4.2999999999999997E-2</v>
      </c>
      <c r="L21" s="301"/>
      <c r="M21" s="295"/>
      <c r="N21" s="344"/>
      <c r="O21" s="341"/>
      <c r="P21" s="348">
        <f>P17*52</f>
        <v>0.12825670498084304</v>
      </c>
      <c r="Q21" s="347">
        <f>+Q17*52</f>
        <v>2.3995576991050222E-2</v>
      </c>
      <c r="R21" s="349">
        <f>+R17*SQRT(52)</f>
        <v>0.15490505799053245</v>
      </c>
    </row>
    <row r="22" spans="2:18" x14ac:dyDescent="0.2">
      <c r="H22" s="301">
        <v>41049</v>
      </c>
      <c r="I22" s="295">
        <v>1.7399999999999999E-2</v>
      </c>
      <c r="J22" s="295">
        <f t="shared" si="0"/>
        <v>1.7399999999999999E-2</v>
      </c>
      <c r="L22" s="301"/>
      <c r="M22" s="295"/>
      <c r="N22" s="343"/>
      <c r="O22" s="345"/>
    </row>
    <row r="23" spans="2:18" x14ac:dyDescent="0.2">
      <c r="H23" s="301">
        <v>41056</v>
      </c>
      <c r="I23" s="295">
        <v>-3.0200000000000001E-2</v>
      </c>
      <c r="J23" s="295">
        <f t="shared" si="0"/>
        <v>-3.0200000000000001E-2</v>
      </c>
      <c r="L23" s="301"/>
      <c r="M23" s="295"/>
    </row>
    <row r="24" spans="2:18" x14ac:dyDescent="0.2">
      <c r="B24" s="417" t="s">
        <v>234</v>
      </c>
      <c r="C24" s="418"/>
      <c r="D24" s="418"/>
      <c r="H24" s="301">
        <v>41063</v>
      </c>
      <c r="I24" s="295">
        <v>3.73E-2</v>
      </c>
      <c r="J24" s="295">
        <f t="shared" si="0"/>
        <v>3.73E-2</v>
      </c>
      <c r="L24" s="301"/>
      <c r="M24" s="295"/>
    </row>
    <row r="25" spans="2:18" x14ac:dyDescent="0.2">
      <c r="H25" s="301">
        <v>41070</v>
      </c>
      <c r="I25" s="295">
        <v>1.2999999999999999E-2</v>
      </c>
      <c r="J25" s="295">
        <f t="shared" si="0"/>
        <v>1.2999999999999999E-2</v>
      </c>
      <c r="L25" s="301"/>
      <c r="M25" s="295"/>
    </row>
    <row r="26" spans="2:18" ht="18" x14ac:dyDescent="0.25">
      <c r="B26" s="286" t="s">
        <v>544</v>
      </c>
      <c r="C26" s="286" t="s">
        <v>235</v>
      </c>
      <c r="H26" s="301">
        <v>41077</v>
      </c>
      <c r="I26" s="295">
        <v>-5.7999999999999996E-3</v>
      </c>
      <c r="J26" s="295">
        <f t="shared" si="0"/>
        <v>-5.7999999999999996E-3</v>
      </c>
      <c r="L26" s="301"/>
      <c r="M26" s="295"/>
    </row>
    <row r="27" spans="2:18" ht="18" x14ac:dyDescent="0.25">
      <c r="B27" s="286" t="s">
        <v>545</v>
      </c>
      <c r="C27" s="286">
        <v>1</v>
      </c>
      <c r="H27" s="301">
        <v>41084</v>
      </c>
      <c r="I27" s="295">
        <v>2.0299999999999999E-2</v>
      </c>
      <c r="J27" s="295">
        <f t="shared" si="0"/>
        <v>2.0299999999999999E-2</v>
      </c>
      <c r="L27" s="301"/>
      <c r="M27" s="295"/>
    </row>
    <row r="28" spans="2:18" ht="18" x14ac:dyDescent="0.25">
      <c r="B28" s="286" t="s">
        <v>546</v>
      </c>
      <c r="C28" s="287">
        <v>7.6700000000000004E-2</v>
      </c>
      <c r="H28" s="301">
        <v>41091</v>
      </c>
      <c r="I28" s="295">
        <v>-5.4999999999999997E-3</v>
      </c>
      <c r="J28" s="295">
        <f t="shared" si="0"/>
        <v>-5.4999999999999997E-3</v>
      </c>
      <c r="L28" s="301"/>
      <c r="M28" s="295"/>
    </row>
    <row r="29" spans="2:18" x14ac:dyDescent="0.2">
      <c r="H29" s="301">
        <v>41098</v>
      </c>
      <c r="I29" s="295">
        <v>1.6000000000000001E-3</v>
      </c>
      <c r="J29" s="295">
        <f t="shared" si="0"/>
        <v>1.6000000000000001E-3</v>
      </c>
      <c r="L29" s="301"/>
      <c r="M29" s="295"/>
    </row>
    <row r="30" spans="2:18" ht="18" x14ac:dyDescent="0.25">
      <c r="B30" s="286" t="s">
        <v>547</v>
      </c>
      <c r="C30" s="288">
        <f>BetaApalancado___INDUSTRIA/(1+(1-tEEUU)*D_E_RATIO___INDUSTRIA)</f>
        <v>0.9469777678029454</v>
      </c>
      <c r="H30" s="301">
        <v>41105</v>
      </c>
      <c r="I30" s="295">
        <v>4.3E-3</v>
      </c>
      <c r="J30" s="295">
        <f t="shared" si="0"/>
        <v>4.3E-3</v>
      </c>
      <c r="L30" s="301"/>
      <c r="M30" s="295"/>
    </row>
    <row r="31" spans="2:18" x14ac:dyDescent="0.2">
      <c r="H31" s="301">
        <v>41112</v>
      </c>
      <c r="I31" s="295">
        <v>1.7100000000000001E-2</v>
      </c>
      <c r="J31" s="295">
        <f t="shared" si="0"/>
        <v>1.7100000000000001E-2</v>
      </c>
      <c r="L31" s="301"/>
      <c r="M31" s="295"/>
    </row>
    <row r="32" spans="2:18" ht="18" x14ac:dyDescent="0.25">
      <c r="B32" s="286" t="s">
        <v>548</v>
      </c>
      <c r="C32" s="289">
        <f>1%/99%</f>
        <v>1.0101010101010102E-2</v>
      </c>
      <c r="H32" s="301">
        <v>41119</v>
      </c>
      <c r="I32" s="295">
        <v>3.5999999999999999E-3</v>
      </c>
      <c r="J32" s="295">
        <f t="shared" si="0"/>
        <v>3.5999999999999999E-3</v>
      </c>
      <c r="L32" s="301"/>
      <c r="M32" s="295"/>
    </row>
    <row r="33" spans="2:13" ht="18" x14ac:dyDescent="0.25">
      <c r="B33" s="290" t="s">
        <v>549</v>
      </c>
      <c r="C33" s="291">
        <f>BetaDesapalancado__INDUSTRIA*(1+(1-tCol)*D_E_RATIO_Agencia_Digital)</f>
        <v>0.95281268132173136</v>
      </c>
      <c r="H33" s="301">
        <v>41126</v>
      </c>
      <c r="I33" s="295">
        <v>1.0699999999999999E-2</v>
      </c>
      <c r="J33" s="295">
        <f t="shared" si="0"/>
        <v>1.0699999999999999E-2</v>
      </c>
      <c r="L33" s="301"/>
      <c r="M33" s="295"/>
    </row>
    <row r="34" spans="2:13" x14ac:dyDescent="0.2">
      <c r="B34" s="290" t="s">
        <v>237</v>
      </c>
      <c r="C34" s="292">
        <f>Beta_Apalancado__Software_internet*MRP</f>
        <v>9.5525859893278844E-2</v>
      </c>
      <c r="H34" s="301">
        <v>41133</v>
      </c>
      <c r="I34" s="295">
        <v>8.6999999999999994E-3</v>
      </c>
      <c r="J34" s="295">
        <f t="shared" si="0"/>
        <v>8.6999999999999994E-3</v>
      </c>
      <c r="L34" s="301"/>
      <c r="M34" s="295"/>
    </row>
    <row r="35" spans="2:13" x14ac:dyDescent="0.2">
      <c r="H35" s="301">
        <v>41140</v>
      </c>
      <c r="I35" s="295">
        <v>-5.0000000000000001E-3</v>
      </c>
      <c r="J35" s="295">
        <f t="shared" si="0"/>
        <v>-5.0000000000000001E-3</v>
      </c>
      <c r="L35" s="301"/>
      <c r="M35" s="295"/>
    </row>
    <row r="36" spans="2:13" x14ac:dyDescent="0.2">
      <c r="B36" s="417" t="s">
        <v>247</v>
      </c>
      <c r="C36" s="418"/>
      <c r="D36" s="418"/>
      <c r="H36" s="301">
        <v>41147</v>
      </c>
      <c r="I36" s="295">
        <v>-3.2000000000000002E-3</v>
      </c>
      <c r="J36" s="295">
        <f t="shared" si="0"/>
        <v>-3.2000000000000002E-3</v>
      </c>
      <c r="L36" s="301"/>
      <c r="M36" s="295"/>
    </row>
    <row r="37" spans="2:13" x14ac:dyDescent="0.2">
      <c r="H37" s="301">
        <v>41154</v>
      </c>
      <c r="I37" s="295">
        <v>2.23E-2</v>
      </c>
      <c r="J37" s="295">
        <f t="shared" si="0"/>
        <v>2.23E-2</v>
      </c>
      <c r="L37" s="301"/>
      <c r="M37" s="295"/>
    </row>
    <row r="38" spans="2:13" x14ac:dyDescent="0.2">
      <c r="B38" s="281" t="s">
        <v>216</v>
      </c>
      <c r="C38" s="293"/>
      <c r="D38" s="294"/>
      <c r="H38" s="301">
        <v>41161</v>
      </c>
      <c r="I38" s="295">
        <v>1.9400000000000001E-2</v>
      </c>
      <c r="J38" s="295">
        <f t="shared" si="0"/>
        <v>1.9400000000000001E-2</v>
      </c>
      <c r="L38" s="301"/>
      <c r="M38" s="295"/>
    </row>
    <row r="39" spans="2:13" x14ac:dyDescent="0.2">
      <c r="B39" s="281" t="s">
        <v>217</v>
      </c>
      <c r="C39" s="295">
        <v>3.4209999999999997E-2</v>
      </c>
      <c r="H39" s="301">
        <v>41168</v>
      </c>
      <c r="I39" s="295">
        <v>-3.8E-3</v>
      </c>
      <c r="J39" s="295">
        <f t="shared" si="0"/>
        <v>-3.8E-3</v>
      </c>
      <c r="L39" s="301"/>
      <c r="M39" s="295"/>
    </row>
    <row r="40" spans="2:13" x14ac:dyDescent="0.2">
      <c r="H40" s="301">
        <v>41175</v>
      </c>
      <c r="I40" s="295">
        <v>-1.3299999999999999E-2</v>
      </c>
      <c r="J40" s="295">
        <f t="shared" si="0"/>
        <v>-1.3299999999999999E-2</v>
      </c>
      <c r="L40" s="301"/>
      <c r="M40" s="295"/>
    </row>
    <row r="41" spans="2:13" ht="17" thickBot="1" x14ac:dyDescent="0.25">
      <c r="B41" s="423" t="s">
        <v>238</v>
      </c>
      <c r="C41" s="424"/>
      <c r="D41" s="424"/>
      <c r="H41" s="301">
        <v>41182</v>
      </c>
      <c r="I41" s="295">
        <v>1.41E-2</v>
      </c>
      <c r="J41" s="295">
        <f t="shared" si="0"/>
        <v>1.41E-2</v>
      </c>
      <c r="L41" s="301"/>
      <c r="M41" s="295"/>
    </row>
    <row r="42" spans="2:13" x14ac:dyDescent="0.2">
      <c r="H42" s="301">
        <v>41189</v>
      </c>
      <c r="I42" s="295">
        <v>-2.2100000000000002E-2</v>
      </c>
      <c r="J42" s="295">
        <f t="shared" si="0"/>
        <v>-2.2100000000000002E-2</v>
      </c>
      <c r="L42" s="301"/>
      <c r="M42" s="295"/>
    </row>
    <row r="43" spans="2:13" ht="18" x14ac:dyDescent="0.25">
      <c r="B43" s="296" t="s">
        <v>239</v>
      </c>
      <c r="C43" s="296" t="s">
        <v>550</v>
      </c>
      <c r="H43" s="301">
        <v>41196</v>
      </c>
      <c r="I43" s="295">
        <v>3.2000000000000002E-3</v>
      </c>
      <c r="J43" s="295">
        <f t="shared" si="0"/>
        <v>3.2000000000000002E-3</v>
      </c>
      <c r="L43" s="301"/>
      <c r="M43" s="295"/>
    </row>
    <row r="44" spans="2:13" ht="18" x14ac:dyDescent="0.25">
      <c r="B44" s="297" t="s">
        <v>551</v>
      </c>
      <c r="C44" s="298">
        <f>Rf+Equity_Risk_Premiun___Software_Internet+CDS</f>
        <v>0.15773585989327885</v>
      </c>
      <c r="H44" s="301">
        <v>41203</v>
      </c>
      <c r="I44" s="295">
        <v>-1.4800000000000001E-2</v>
      </c>
      <c r="J44" s="295">
        <f t="shared" si="0"/>
        <v>-1.4800000000000001E-2</v>
      </c>
      <c r="L44" s="301"/>
      <c r="M44" s="295"/>
    </row>
    <row r="45" spans="2:13" x14ac:dyDescent="0.2">
      <c r="H45" s="301">
        <v>41210</v>
      </c>
      <c r="I45" s="295">
        <v>1.6000000000000001E-3</v>
      </c>
      <c r="J45" s="295">
        <f t="shared" si="0"/>
        <v>1.6000000000000001E-3</v>
      </c>
      <c r="L45" s="301"/>
      <c r="M45" s="295"/>
    </row>
    <row r="46" spans="2:13" x14ac:dyDescent="0.2">
      <c r="B46" s="417" t="s">
        <v>240</v>
      </c>
      <c r="C46" s="418"/>
      <c r="D46" s="418"/>
      <c r="H46" s="301">
        <v>41217</v>
      </c>
      <c r="I46" s="295">
        <v>-2.4299999999999999E-2</v>
      </c>
      <c r="J46" s="295">
        <f t="shared" si="0"/>
        <v>-2.4299999999999999E-2</v>
      </c>
      <c r="L46" s="301"/>
      <c r="M46" s="295"/>
    </row>
    <row r="47" spans="2:13" x14ac:dyDescent="0.2">
      <c r="H47" s="301">
        <v>41224</v>
      </c>
      <c r="I47" s="295">
        <v>-1.4500000000000001E-2</v>
      </c>
      <c r="J47" s="295">
        <f t="shared" si="0"/>
        <v>-1.4500000000000001E-2</v>
      </c>
      <c r="L47" s="301"/>
      <c r="M47" s="295"/>
    </row>
    <row r="48" spans="2:13" x14ac:dyDescent="0.2">
      <c r="B48" s="296" t="s">
        <v>241</v>
      </c>
      <c r="C48" s="299">
        <v>2.8899999999999999E-2</v>
      </c>
      <c r="H48" s="301">
        <v>41231</v>
      </c>
      <c r="I48" s="295">
        <v>3.6200000000000003E-2</v>
      </c>
      <c r="J48" s="295">
        <f t="shared" si="0"/>
        <v>3.6200000000000003E-2</v>
      </c>
      <c r="L48" s="301"/>
      <c r="M48" s="295"/>
    </row>
    <row r="49" spans="2:13" x14ac:dyDescent="0.2">
      <c r="B49" s="296"/>
      <c r="C49" s="296"/>
      <c r="H49" s="301">
        <v>41238</v>
      </c>
      <c r="I49" s="295">
        <v>5.0000000000000001E-3</v>
      </c>
      <c r="J49" s="295">
        <f t="shared" si="0"/>
        <v>5.0000000000000001E-3</v>
      </c>
      <c r="L49" s="301"/>
      <c r="M49" s="295"/>
    </row>
    <row r="50" spans="2:13" x14ac:dyDescent="0.2">
      <c r="B50" s="296" t="s">
        <v>242</v>
      </c>
      <c r="C50" s="299">
        <v>3.8399999999999997E-2</v>
      </c>
      <c r="H50" s="301">
        <v>41245</v>
      </c>
      <c r="I50" s="295">
        <v>1.2999999999999999E-3</v>
      </c>
      <c r="J50" s="295">
        <f t="shared" si="0"/>
        <v>1.2999999999999999E-3</v>
      </c>
      <c r="L50" s="301"/>
      <c r="M50" s="295"/>
    </row>
    <row r="51" spans="2:13" x14ac:dyDescent="0.2">
      <c r="B51" s="296"/>
      <c r="C51" s="296"/>
      <c r="H51" s="301">
        <v>41252</v>
      </c>
      <c r="I51" s="295">
        <v>-3.2000000000000002E-3</v>
      </c>
      <c r="J51" s="295">
        <f t="shared" si="0"/>
        <v>-3.2000000000000002E-3</v>
      </c>
      <c r="L51" s="301"/>
      <c r="M51" s="295"/>
    </row>
    <row r="52" spans="2:13" x14ac:dyDescent="0.2">
      <c r="B52" s="296" t="s">
        <v>243</v>
      </c>
      <c r="C52" s="296"/>
      <c r="H52" s="301">
        <v>41259</v>
      </c>
      <c r="I52" s="295">
        <v>1.17E-2</v>
      </c>
      <c r="J52" s="295">
        <f t="shared" si="0"/>
        <v>1.17E-2</v>
      </c>
      <c r="L52" s="301"/>
      <c r="M52" s="295"/>
    </row>
    <row r="53" spans="2:13" x14ac:dyDescent="0.2">
      <c r="B53" s="296"/>
      <c r="C53" s="296"/>
      <c r="H53" s="301">
        <v>41266</v>
      </c>
      <c r="I53" s="295">
        <v>-1.9400000000000001E-2</v>
      </c>
      <c r="J53" s="295">
        <f t="shared" si="0"/>
        <v>-1.9400000000000001E-2</v>
      </c>
      <c r="L53" s="301"/>
      <c r="M53" s="295"/>
    </row>
    <row r="54" spans="2:13" x14ac:dyDescent="0.2">
      <c r="B54" s="296" t="s">
        <v>244</v>
      </c>
      <c r="C54" s="300">
        <f>(1+Estimación_Inflación_Colombia)/(1+_10_Year_Breakeven_Inflation_Rate)</f>
        <v>1.0092331616289241</v>
      </c>
      <c r="H54" s="301">
        <v>41273</v>
      </c>
      <c r="I54" s="295">
        <v>4.5699999999999998E-2</v>
      </c>
      <c r="J54" s="295">
        <f t="shared" si="0"/>
        <v>4.5699999999999998E-2</v>
      </c>
      <c r="L54" s="301"/>
      <c r="M54" s="295"/>
    </row>
    <row r="55" spans="2:13" x14ac:dyDescent="0.2">
      <c r="H55" s="301">
        <v>41280</v>
      </c>
      <c r="I55" s="295">
        <v>3.8E-3</v>
      </c>
      <c r="J55" s="295">
        <f t="shared" si="0"/>
        <v>3.8E-3</v>
      </c>
      <c r="L55" s="301"/>
      <c r="M55" s="295"/>
    </row>
    <row r="56" spans="2:13" x14ac:dyDescent="0.2">
      <c r="B56" s="417" t="s">
        <v>245</v>
      </c>
      <c r="C56" s="418"/>
      <c r="D56" s="418"/>
      <c r="H56" s="301">
        <v>41287</v>
      </c>
      <c r="I56" s="295">
        <v>9.4999999999999998E-3</v>
      </c>
      <c r="J56" s="295">
        <f t="shared" si="0"/>
        <v>9.4999999999999998E-3</v>
      </c>
      <c r="L56" s="301"/>
      <c r="M56" s="295"/>
    </row>
    <row r="57" spans="2:13" x14ac:dyDescent="0.2">
      <c r="H57" s="301">
        <v>41294</v>
      </c>
      <c r="I57" s="295">
        <v>1.14E-2</v>
      </c>
      <c r="J57" s="295">
        <f t="shared" si="0"/>
        <v>1.14E-2</v>
      </c>
      <c r="L57" s="301"/>
      <c r="M57" s="295"/>
    </row>
    <row r="58" spans="2:13" ht="18" x14ac:dyDescent="0.25">
      <c r="B58" s="297" t="s">
        <v>552</v>
      </c>
      <c r="C58" s="300">
        <f>((1+Ke_USD_Nominal)*Devaluación_Esperada)-1</f>
        <v>0.16842542221127488</v>
      </c>
      <c r="H58" s="301">
        <v>41301</v>
      </c>
      <c r="I58" s="295">
        <v>6.7999999999999996E-3</v>
      </c>
      <c r="J58" s="295">
        <f t="shared" si="0"/>
        <v>6.7999999999999996E-3</v>
      </c>
      <c r="L58" s="301"/>
      <c r="M58" s="295"/>
    </row>
    <row r="59" spans="2:13" x14ac:dyDescent="0.2">
      <c r="H59" s="301">
        <v>41308</v>
      </c>
      <c r="I59" s="295">
        <v>3.0999999999999999E-3</v>
      </c>
      <c r="J59" s="295">
        <f t="shared" si="0"/>
        <v>3.0999999999999999E-3</v>
      </c>
      <c r="L59" s="301"/>
      <c r="M59" s="295"/>
    </row>
    <row r="60" spans="2:13" x14ac:dyDescent="0.2">
      <c r="H60" s="301">
        <v>41315</v>
      </c>
      <c r="I60" s="295">
        <v>1.1999999999999999E-3</v>
      </c>
      <c r="J60" s="295">
        <f t="shared" si="0"/>
        <v>1.1999999999999999E-3</v>
      </c>
      <c r="L60" s="301"/>
      <c r="M60" s="295"/>
    </row>
    <row r="61" spans="2:13" x14ac:dyDescent="0.2">
      <c r="H61" s="301">
        <v>41322</v>
      </c>
      <c r="I61" s="295">
        <v>-2.8E-3</v>
      </c>
      <c r="J61" s="295">
        <f t="shared" si="0"/>
        <v>-2.8E-3</v>
      </c>
      <c r="L61" s="301"/>
      <c r="M61" s="295"/>
    </row>
    <row r="62" spans="2:13" x14ac:dyDescent="0.2">
      <c r="H62" s="301">
        <v>41329</v>
      </c>
      <c r="I62" s="295">
        <v>1.6999999999999999E-3</v>
      </c>
      <c r="J62" s="295">
        <f t="shared" si="0"/>
        <v>1.6999999999999999E-3</v>
      </c>
      <c r="L62" s="301"/>
      <c r="M62" s="295"/>
    </row>
    <row r="63" spans="2:13" x14ac:dyDescent="0.2">
      <c r="H63" s="301">
        <v>41336</v>
      </c>
      <c r="I63" s="295">
        <v>2.1700000000000001E-2</v>
      </c>
      <c r="J63" s="295">
        <f t="shared" si="0"/>
        <v>2.1700000000000001E-2</v>
      </c>
      <c r="L63" s="301"/>
      <c r="M63" s="295"/>
    </row>
    <row r="64" spans="2:13" x14ac:dyDescent="0.2">
      <c r="H64" s="301">
        <v>41343</v>
      </c>
      <c r="I64" s="295">
        <v>6.1000000000000004E-3</v>
      </c>
      <c r="J64" s="295">
        <f t="shared" si="0"/>
        <v>6.1000000000000004E-3</v>
      </c>
      <c r="L64" s="301"/>
      <c r="M64" s="295"/>
    </row>
    <row r="65" spans="8:13" x14ac:dyDescent="0.2">
      <c r="H65" s="301">
        <v>41350</v>
      </c>
      <c r="I65" s="295">
        <v>-2.3999999999999998E-3</v>
      </c>
      <c r="J65" s="295">
        <f t="shared" si="0"/>
        <v>-2.3999999999999998E-3</v>
      </c>
      <c r="L65" s="301"/>
      <c r="M65" s="295"/>
    </row>
    <row r="66" spans="8:13" x14ac:dyDescent="0.2">
      <c r="H66" s="301">
        <v>41357</v>
      </c>
      <c r="I66" s="295">
        <v>7.9000000000000008E-3</v>
      </c>
      <c r="J66" s="295">
        <f t="shared" si="0"/>
        <v>7.9000000000000008E-3</v>
      </c>
      <c r="L66" s="301"/>
      <c r="M66" s="295"/>
    </row>
    <row r="67" spans="8:13" x14ac:dyDescent="0.2">
      <c r="H67" s="301">
        <v>41364</v>
      </c>
      <c r="I67" s="295">
        <v>-1.01E-2</v>
      </c>
      <c r="J67" s="295">
        <f t="shared" si="0"/>
        <v>-1.01E-2</v>
      </c>
      <c r="L67" s="301"/>
      <c r="M67" s="295"/>
    </row>
    <row r="68" spans="8:13" x14ac:dyDescent="0.2">
      <c r="H68" s="301">
        <v>41371</v>
      </c>
      <c r="I68" s="295">
        <v>2.29E-2</v>
      </c>
      <c r="J68" s="295">
        <f t="shared" si="0"/>
        <v>2.29E-2</v>
      </c>
      <c r="L68" s="301"/>
      <c r="M68" s="295"/>
    </row>
    <row r="69" spans="8:13" x14ac:dyDescent="0.2">
      <c r="H69" s="301">
        <v>41378</v>
      </c>
      <c r="I69" s="295">
        <v>-2.1100000000000001E-2</v>
      </c>
      <c r="J69" s="295">
        <f t="shared" si="0"/>
        <v>-2.1100000000000001E-2</v>
      </c>
      <c r="L69" s="301"/>
      <c r="M69" s="295"/>
    </row>
    <row r="70" spans="8:13" x14ac:dyDescent="0.2">
      <c r="H70" s="301">
        <v>41385</v>
      </c>
      <c r="I70" s="295">
        <v>1.7399999999999999E-2</v>
      </c>
      <c r="J70" s="295">
        <f t="shared" si="0"/>
        <v>1.7399999999999999E-2</v>
      </c>
      <c r="L70" s="301"/>
      <c r="M70" s="295"/>
    </row>
    <row r="71" spans="8:13" x14ac:dyDescent="0.2">
      <c r="H71" s="301">
        <v>41392</v>
      </c>
      <c r="I71" s="295">
        <v>2.0299999999999999E-2</v>
      </c>
      <c r="J71" s="295">
        <f t="shared" si="0"/>
        <v>2.0299999999999999E-2</v>
      </c>
      <c r="L71" s="301"/>
      <c r="M71" s="295"/>
    </row>
    <row r="72" spans="8:13" x14ac:dyDescent="0.2">
      <c r="H72" s="301">
        <v>41399</v>
      </c>
      <c r="I72" s="295">
        <v>1.1900000000000001E-2</v>
      </c>
      <c r="J72" s="295">
        <f t="shared" si="0"/>
        <v>1.1900000000000001E-2</v>
      </c>
      <c r="L72" s="301"/>
      <c r="M72" s="295"/>
    </row>
    <row r="73" spans="8:13" x14ac:dyDescent="0.2">
      <c r="H73" s="301">
        <v>41406</v>
      </c>
      <c r="I73" s="295">
        <v>2.07E-2</v>
      </c>
      <c r="J73" s="295">
        <f t="shared" si="0"/>
        <v>2.07E-2</v>
      </c>
      <c r="L73" s="301"/>
      <c r="M73" s="295"/>
    </row>
    <row r="74" spans="8:13" x14ac:dyDescent="0.2">
      <c r="H74" s="301">
        <v>41413</v>
      </c>
      <c r="I74" s="295">
        <v>-1.0699999999999999E-2</v>
      </c>
      <c r="J74" s="295">
        <f t="shared" si="0"/>
        <v>-1.0699999999999999E-2</v>
      </c>
      <c r="L74" s="301"/>
      <c r="M74" s="295"/>
    </row>
    <row r="75" spans="8:13" x14ac:dyDescent="0.2">
      <c r="H75" s="301">
        <v>41420</v>
      </c>
      <c r="I75" s="295">
        <v>-1.14E-2</v>
      </c>
      <c r="J75" s="295">
        <f t="shared" si="0"/>
        <v>-1.14E-2</v>
      </c>
      <c r="L75" s="301"/>
      <c r="M75" s="295"/>
    </row>
    <row r="76" spans="8:13" x14ac:dyDescent="0.2">
      <c r="H76" s="301">
        <v>41427</v>
      </c>
      <c r="I76" s="295">
        <v>7.7999999999999996E-3</v>
      </c>
      <c r="J76" s="295">
        <f t="shared" si="0"/>
        <v>7.7999999999999996E-3</v>
      </c>
      <c r="L76" s="301"/>
      <c r="M76" s="295"/>
    </row>
    <row r="77" spans="8:13" x14ac:dyDescent="0.2">
      <c r="H77" s="301">
        <v>41434</v>
      </c>
      <c r="I77" s="295">
        <v>-1.01E-2</v>
      </c>
      <c r="J77" s="295">
        <f t="shared" si="0"/>
        <v>-1.01E-2</v>
      </c>
      <c r="L77" s="301"/>
      <c r="M77" s="295"/>
    </row>
    <row r="78" spans="8:13" x14ac:dyDescent="0.2">
      <c r="H78" s="301">
        <v>41441</v>
      </c>
      <c r="I78" s="295">
        <v>-2.1100000000000001E-2</v>
      </c>
      <c r="J78" s="295">
        <f t="shared" si="0"/>
        <v>-2.1100000000000001E-2</v>
      </c>
      <c r="L78" s="301"/>
      <c r="M78" s="295"/>
    </row>
    <row r="79" spans="8:13" x14ac:dyDescent="0.2">
      <c r="H79" s="301">
        <v>41448</v>
      </c>
      <c r="I79" s="295">
        <v>8.6999999999999994E-3</v>
      </c>
      <c r="J79" s="295">
        <f t="shared" si="0"/>
        <v>8.6999999999999994E-3</v>
      </c>
      <c r="L79" s="301"/>
      <c r="M79" s="295"/>
    </row>
    <row r="80" spans="8:13" x14ac:dyDescent="0.2">
      <c r="H80" s="301">
        <v>41455</v>
      </c>
      <c r="I80" s="295">
        <v>1.5900000000000001E-2</v>
      </c>
      <c r="J80" s="295">
        <f t="shared" si="0"/>
        <v>1.5900000000000001E-2</v>
      </c>
      <c r="L80" s="301"/>
      <c r="M80" s="295"/>
    </row>
    <row r="81" spans="8:13" x14ac:dyDescent="0.2">
      <c r="H81" s="301">
        <v>41462</v>
      </c>
      <c r="I81" s="295">
        <v>2.9600000000000001E-2</v>
      </c>
      <c r="J81" s="295">
        <f t="shared" si="0"/>
        <v>2.9600000000000001E-2</v>
      </c>
      <c r="L81" s="301"/>
      <c r="M81" s="295"/>
    </row>
    <row r="82" spans="8:13" x14ac:dyDescent="0.2">
      <c r="H82" s="301">
        <v>41469</v>
      </c>
      <c r="I82" s="295">
        <v>7.1000000000000004E-3</v>
      </c>
      <c r="J82" s="295">
        <f t="shared" ref="J82:J145" si="1">I82-M82</f>
        <v>7.1000000000000004E-3</v>
      </c>
      <c r="L82" s="301"/>
      <c r="M82" s="295"/>
    </row>
    <row r="83" spans="8:13" x14ac:dyDescent="0.2">
      <c r="H83" s="301">
        <v>41476</v>
      </c>
      <c r="I83" s="295">
        <v>-2.9999999999999997E-4</v>
      </c>
      <c r="J83" s="295">
        <f t="shared" si="1"/>
        <v>-2.9999999999999997E-4</v>
      </c>
      <c r="L83" s="301"/>
      <c r="M83" s="295"/>
    </row>
    <row r="84" spans="8:13" x14ac:dyDescent="0.2">
      <c r="H84" s="301">
        <v>41483</v>
      </c>
      <c r="I84" s="295">
        <v>1.0699999999999999E-2</v>
      </c>
      <c r="J84" s="295">
        <f t="shared" si="1"/>
        <v>1.0699999999999999E-2</v>
      </c>
      <c r="L84" s="301"/>
      <c r="M84" s="295"/>
    </row>
    <row r="85" spans="8:13" x14ac:dyDescent="0.2">
      <c r="H85" s="301">
        <v>41490</v>
      </c>
      <c r="I85" s="295">
        <v>-1.0699999999999999E-2</v>
      </c>
      <c r="J85" s="295">
        <f t="shared" si="1"/>
        <v>-1.0699999999999999E-2</v>
      </c>
      <c r="L85" s="301"/>
      <c r="M85" s="295"/>
    </row>
    <row r="86" spans="8:13" x14ac:dyDescent="0.2">
      <c r="H86" s="301">
        <v>41497</v>
      </c>
      <c r="I86" s="295">
        <v>-2.1000000000000001E-2</v>
      </c>
      <c r="J86" s="295">
        <f t="shared" si="1"/>
        <v>-2.1000000000000001E-2</v>
      </c>
      <c r="L86" s="301"/>
      <c r="M86" s="295"/>
    </row>
    <row r="87" spans="8:13" x14ac:dyDescent="0.2">
      <c r="H87" s="301">
        <v>41504</v>
      </c>
      <c r="I87" s="295">
        <v>4.5999999999999999E-3</v>
      </c>
      <c r="J87" s="295">
        <f t="shared" si="1"/>
        <v>4.5999999999999999E-3</v>
      </c>
      <c r="L87" s="301"/>
      <c r="M87" s="295"/>
    </row>
    <row r="88" spans="8:13" x14ac:dyDescent="0.2">
      <c r="H88" s="301">
        <v>41511</v>
      </c>
      <c r="I88" s="295">
        <v>-1.84E-2</v>
      </c>
      <c r="J88" s="295">
        <f t="shared" si="1"/>
        <v>-1.84E-2</v>
      </c>
      <c r="L88" s="301"/>
      <c r="M88" s="295"/>
    </row>
    <row r="89" spans="8:13" x14ac:dyDescent="0.2">
      <c r="H89" s="301">
        <v>41518</v>
      </c>
      <c r="I89" s="295">
        <v>1.3599999999999999E-2</v>
      </c>
      <c r="J89" s="295">
        <f t="shared" si="1"/>
        <v>1.3599999999999999E-2</v>
      </c>
      <c r="L89" s="301"/>
      <c r="M89" s="295"/>
    </row>
    <row r="90" spans="8:13" x14ac:dyDescent="0.2">
      <c r="H90" s="301">
        <v>41525</v>
      </c>
      <c r="I90" s="295">
        <v>1.9800000000000002E-2</v>
      </c>
      <c r="J90" s="295">
        <f t="shared" si="1"/>
        <v>1.9800000000000002E-2</v>
      </c>
      <c r="L90" s="301"/>
      <c r="M90" s="295"/>
    </row>
    <row r="91" spans="8:13" x14ac:dyDescent="0.2">
      <c r="H91" s="301">
        <v>41532</v>
      </c>
      <c r="I91" s="295">
        <v>1.2999999999999999E-2</v>
      </c>
      <c r="J91" s="295">
        <f t="shared" si="1"/>
        <v>1.2999999999999999E-2</v>
      </c>
      <c r="L91" s="301"/>
      <c r="M91" s="295"/>
    </row>
    <row r="92" spans="8:13" x14ac:dyDescent="0.2">
      <c r="H92" s="301">
        <v>41539</v>
      </c>
      <c r="I92" s="295">
        <v>-1.06E-2</v>
      </c>
      <c r="J92" s="295">
        <f t="shared" si="1"/>
        <v>-1.06E-2</v>
      </c>
      <c r="L92" s="301"/>
      <c r="M92" s="295"/>
    </row>
    <row r="93" spans="8:13" x14ac:dyDescent="0.2">
      <c r="H93" s="301">
        <v>41546</v>
      </c>
      <c r="I93" s="295">
        <v>-6.9999999999999999E-4</v>
      </c>
      <c r="J93" s="295">
        <f t="shared" si="1"/>
        <v>-6.9999999999999999E-4</v>
      </c>
      <c r="L93" s="301"/>
      <c r="M93" s="295"/>
    </row>
    <row r="94" spans="8:13" x14ac:dyDescent="0.2">
      <c r="H94" s="301">
        <v>41553</v>
      </c>
      <c r="I94" s="295">
        <v>7.4999999999999997E-3</v>
      </c>
      <c r="J94" s="295">
        <f t="shared" si="1"/>
        <v>7.4999999999999997E-3</v>
      </c>
      <c r="L94" s="301"/>
      <c r="M94" s="295"/>
    </row>
    <row r="95" spans="8:13" x14ac:dyDescent="0.2">
      <c r="H95" s="301">
        <v>41560</v>
      </c>
      <c r="I95" s="295">
        <v>2.4199999999999999E-2</v>
      </c>
      <c r="J95" s="295">
        <f t="shared" si="1"/>
        <v>2.4199999999999999E-2</v>
      </c>
      <c r="L95" s="301"/>
      <c r="M95" s="295"/>
    </row>
    <row r="96" spans="8:13" x14ac:dyDescent="0.2">
      <c r="H96" s="301">
        <v>41567</v>
      </c>
      <c r="I96" s="295">
        <v>8.8000000000000005E-3</v>
      </c>
      <c r="J96" s="295">
        <f t="shared" si="1"/>
        <v>8.8000000000000005E-3</v>
      </c>
      <c r="L96" s="301"/>
      <c r="M96" s="295"/>
    </row>
    <row r="97" spans="8:13" x14ac:dyDescent="0.2">
      <c r="H97" s="301">
        <v>41574</v>
      </c>
      <c r="I97" s="295">
        <v>1.1000000000000001E-3</v>
      </c>
      <c r="J97" s="295">
        <f t="shared" si="1"/>
        <v>1.1000000000000001E-3</v>
      </c>
      <c r="L97" s="301"/>
      <c r="M97" s="295"/>
    </row>
    <row r="98" spans="8:13" x14ac:dyDescent="0.2">
      <c r="H98" s="301">
        <v>41581</v>
      </c>
      <c r="I98" s="295">
        <v>5.1000000000000004E-3</v>
      </c>
      <c r="J98" s="295">
        <f t="shared" si="1"/>
        <v>5.1000000000000004E-3</v>
      </c>
      <c r="L98" s="301"/>
      <c r="M98" s="295"/>
    </row>
    <row r="99" spans="8:13" x14ac:dyDescent="0.2">
      <c r="H99" s="301">
        <v>41588</v>
      </c>
      <c r="I99" s="295">
        <v>1.5599999999999999E-2</v>
      </c>
      <c r="J99" s="295">
        <f t="shared" si="1"/>
        <v>1.5599999999999999E-2</v>
      </c>
      <c r="L99" s="301"/>
      <c r="M99" s="295"/>
    </row>
    <row r="100" spans="8:13" x14ac:dyDescent="0.2">
      <c r="H100" s="301">
        <v>41595</v>
      </c>
      <c r="I100" s="295">
        <v>3.7000000000000002E-3</v>
      </c>
      <c r="J100" s="295">
        <f t="shared" si="1"/>
        <v>3.7000000000000002E-3</v>
      </c>
      <c r="L100" s="301"/>
      <c r="M100" s="295"/>
    </row>
    <row r="101" spans="8:13" x14ac:dyDescent="0.2">
      <c r="H101" s="301">
        <v>41602</v>
      </c>
      <c r="I101" s="295">
        <v>5.9999999999999995E-4</v>
      </c>
      <c r="J101" s="295">
        <f t="shared" si="1"/>
        <v>5.9999999999999995E-4</v>
      </c>
      <c r="L101" s="301"/>
      <c r="M101" s="295"/>
    </row>
    <row r="102" spans="8:13" x14ac:dyDescent="0.2">
      <c r="H102" s="301">
        <v>41609</v>
      </c>
      <c r="I102" s="295">
        <v>-4.0000000000000002E-4</v>
      </c>
      <c r="J102" s="295">
        <f t="shared" si="1"/>
        <v>-4.0000000000000002E-4</v>
      </c>
      <c r="L102" s="301"/>
      <c r="M102" s="295"/>
    </row>
    <row r="103" spans="8:13" x14ac:dyDescent="0.2">
      <c r="H103" s="301">
        <v>41616</v>
      </c>
      <c r="I103" s="295">
        <v>-1.6500000000000001E-2</v>
      </c>
      <c r="J103" s="295">
        <f t="shared" si="1"/>
        <v>-1.6500000000000001E-2</v>
      </c>
      <c r="L103" s="301"/>
      <c r="M103" s="295"/>
    </row>
    <row r="104" spans="8:13" x14ac:dyDescent="0.2">
      <c r="H104" s="301">
        <v>41623</v>
      </c>
      <c r="I104" s="295">
        <v>2.4199999999999999E-2</v>
      </c>
      <c r="J104" s="295">
        <f t="shared" si="1"/>
        <v>2.4199999999999999E-2</v>
      </c>
      <c r="L104" s="301"/>
      <c r="M104" s="295"/>
    </row>
    <row r="105" spans="8:13" x14ac:dyDescent="0.2">
      <c r="H105" s="301">
        <v>41630</v>
      </c>
      <c r="I105" s="295">
        <v>1.2699999999999999E-2</v>
      </c>
      <c r="J105" s="295">
        <f t="shared" si="1"/>
        <v>1.2699999999999999E-2</v>
      </c>
      <c r="L105" s="301"/>
      <c r="M105" s="295"/>
    </row>
    <row r="106" spans="8:13" x14ac:dyDescent="0.2">
      <c r="H106" s="301">
        <v>41637</v>
      </c>
      <c r="I106" s="295">
        <v>-5.4000000000000003E-3</v>
      </c>
      <c r="J106" s="295">
        <f t="shared" si="1"/>
        <v>-5.4000000000000003E-3</v>
      </c>
      <c r="L106" s="301"/>
      <c r="M106" s="295"/>
    </row>
    <row r="107" spans="8:13" x14ac:dyDescent="0.2">
      <c r="H107" s="301">
        <v>41644</v>
      </c>
      <c r="I107" s="295">
        <v>6.0000000000000001E-3</v>
      </c>
      <c r="J107" s="295">
        <f t="shared" si="1"/>
        <v>6.0000000000000001E-3</v>
      </c>
      <c r="L107" s="301"/>
      <c r="M107" s="295"/>
    </row>
    <row r="108" spans="8:13" x14ac:dyDescent="0.2">
      <c r="H108" s="301">
        <v>41651</v>
      </c>
      <c r="I108" s="295">
        <v>-2E-3</v>
      </c>
      <c r="J108" s="295">
        <f t="shared" si="1"/>
        <v>-2E-3</v>
      </c>
      <c r="L108" s="301"/>
      <c r="M108" s="295"/>
    </row>
    <row r="109" spans="8:13" x14ac:dyDescent="0.2">
      <c r="H109" s="301">
        <v>41658</v>
      </c>
      <c r="I109" s="295">
        <v>-2.63E-2</v>
      </c>
      <c r="J109" s="295">
        <f t="shared" si="1"/>
        <v>-2.63E-2</v>
      </c>
      <c r="L109" s="301"/>
      <c r="M109" s="295"/>
    </row>
    <row r="110" spans="8:13" x14ac:dyDescent="0.2">
      <c r="H110" s="301">
        <v>41665</v>
      </c>
      <c r="I110" s="295">
        <v>-4.3E-3</v>
      </c>
      <c r="J110" s="295">
        <f t="shared" si="1"/>
        <v>-4.3E-3</v>
      </c>
      <c r="L110" s="301"/>
      <c r="M110" s="295"/>
    </row>
    <row r="111" spans="8:13" x14ac:dyDescent="0.2">
      <c r="H111" s="301">
        <v>41672</v>
      </c>
      <c r="I111" s="295">
        <v>8.0999999999999996E-3</v>
      </c>
      <c r="J111" s="295">
        <f t="shared" si="1"/>
        <v>8.0999999999999996E-3</v>
      </c>
      <c r="L111" s="301"/>
      <c r="M111" s="295"/>
    </row>
    <row r="112" spans="8:13" x14ac:dyDescent="0.2">
      <c r="H112" s="301">
        <v>41679</v>
      </c>
      <c r="I112" s="295">
        <v>2.3199999999999998E-2</v>
      </c>
      <c r="J112" s="295">
        <f t="shared" si="1"/>
        <v>2.3199999999999998E-2</v>
      </c>
      <c r="L112" s="301"/>
      <c r="M112" s="295"/>
    </row>
    <row r="113" spans="8:13" x14ac:dyDescent="0.2">
      <c r="H113" s="301">
        <v>41686</v>
      </c>
      <c r="I113" s="295">
        <v>-1.2999999999999999E-3</v>
      </c>
      <c r="J113" s="295">
        <f t="shared" si="1"/>
        <v>-1.2999999999999999E-3</v>
      </c>
      <c r="L113" s="301"/>
      <c r="M113" s="295"/>
    </row>
    <row r="114" spans="8:13" x14ac:dyDescent="0.2">
      <c r="H114" s="301">
        <v>41693</v>
      </c>
      <c r="I114" s="295">
        <v>1.26E-2</v>
      </c>
      <c r="J114" s="295">
        <f t="shared" si="1"/>
        <v>1.26E-2</v>
      </c>
      <c r="L114" s="301"/>
      <c r="M114" s="295"/>
    </row>
    <row r="115" spans="8:13" x14ac:dyDescent="0.2">
      <c r="H115" s="301">
        <v>41700</v>
      </c>
      <c r="I115" s="295">
        <v>0.01</v>
      </c>
      <c r="J115" s="295">
        <f t="shared" si="1"/>
        <v>0.01</v>
      </c>
      <c r="L115" s="301"/>
      <c r="M115" s="295"/>
    </row>
    <row r="116" spans="8:13" x14ac:dyDescent="0.2">
      <c r="H116" s="301">
        <v>41707</v>
      </c>
      <c r="I116" s="295">
        <v>-1.9699999999999999E-2</v>
      </c>
      <c r="J116" s="295">
        <f t="shared" si="1"/>
        <v>-1.9699999999999999E-2</v>
      </c>
      <c r="L116" s="301"/>
      <c r="M116" s="295"/>
    </row>
    <row r="117" spans="8:13" x14ac:dyDescent="0.2">
      <c r="H117" s="301">
        <v>41714</v>
      </c>
      <c r="I117" s="295">
        <v>1.38E-2</v>
      </c>
      <c r="J117" s="295">
        <f t="shared" si="1"/>
        <v>1.38E-2</v>
      </c>
      <c r="L117" s="301"/>
      <c r="M117" s="295"/>
    </row>
    <row r="118" spans="8:13" x14ac:dyDescent="0.2">
      <c r="H118" s="301">
        <v>41721</v>
      </c>
      <c r="I118" s="295">
        <v>-4.7999999999999996E-3</v>
      </c>
      <c r="J118" s="295">
        <f t="shared" si="1"/>
        <v>-4.7999999999999996E-3</v>
      </c>
      <c r="L118" s="301"/>
      <c r="M118" s="295"/>
    </row>
    <row r="119" spans="8:13" x14ac:dyDescent="0.2">
      <c r="H119" s="301">
        <v>41728</v>
      </c>
      <c r="I119" s="295">
        <v>4.0000000000000001E-3</v>
      </c>
      <c r="J119" s="295">
        <f t="shared" si="1"/>
        <v>4.0000000000000001E-3</v>
      </c>
      <c r="L119" s="301"/>
      <c r="M119" s="295"/>
    </row>
    <row r="120" spans="8:13" x14ac:dyDescent="0.2">
      <c r="H120" s="301">
        <v>41735</v>
      </c>
      <c r="I120" s="295">
        <v>-2.6499999999999999E-2</v>
      </c>
      <c r="J120" s="295">
        <f t="shared" si="1"/>
        <v>-2.6499999999999999E-2</v>
      </c>
      <c r="L120" s="301"/>
      <c r="M120" s="295"/>
    </row>
    <row r="121" spans="8:13" x14ac:dyDescent="0.2">
      <c r="H121" s="301">
        <v>41742</v>
      </c>
      <c r="I121" s="295">
        <v>2.7099999999999999E-2</v>
      </c>
      <c r="J121" s="295">
        <f t="shared" si="1"/>
        <v>2.7099999999999999E-2</v>
      </c>
      <c r="L121" s="301"/>
      <c r="M121" s="295"/>
    </row>
    <row r="122" spans="8:13" x14ac:dyDescent="0.2">
      <c r="H122" s="301">
        <v>41749</v>
      </c>
      <c r="I122" s="295">
        <v>-8.0000000000000004E-4</v>
      </c>
      <c r="J122" s="295">
        <f t="shared" si="1"/>
        <v>-8.0000000000000004E-4</v>
      </c>
      <c r="L122" s="301"/>
      <c r="M122" s="295"/>
    </row>
    <row r="123" spans="8:13" x14ac:dyDescent="0.2">
      <c r="H123" s="301">
        <v>41756</v>
      </c>
      <c r="I123" s="295">
        <v>9.4999999999999998E-3</v>
      </c>
      <c r="J123" s="295">
        <f t="shared" si="1"/>
        <v>9.4999999999999998E-3</v>
      </c>
      <c r="L123" s="301"/>
      <c r="M123" s="295"/>
    </row>
    <row r="124" spans="8:13" x14ac:dyDescent="0.2">
      <c r="H124" s="301">
        <v>41763</v>
      </c>
      <c r="I124" s="295">
        <v>-1.4E-3</v>
      </c>
      <c r="J124" s="295">
        <f t="shared" si="1"/>
        <v>-1.4E-3</v>
      </c>
      <c r="L124" s="301"/>
      <c r="M124" s="295"/>
    </row>
    <row r="125" spans="8:13" x14ac:dyDescent="0.2">
      <c r="H125" s="301">
        <v>41770</v>
      </c>
      <c r="I125" s="295">
        <v>-2.9999999999999997E-4</v>
      </c>
      <c r="J125" s="295">
        <f t="shared" si="1"/>
        <v>-2.9999999999999997E-4</v>
      </c>
      <c r="L125" s="301"/>
      <c r="M125" s="295"/>
    </row>
    <row r="126" spans="8:13" x14ac:dyDescent="0.2">
      <c r="H126" s="301">
        <v>41777</v>
      </c>
      <c r="I126" s="295">
        <v>1.21E-2</v>
      </c>
      <c r="J126" s="295">
        <f t="shared" si="1"/>
        <v>1.21E-2</v>
      </c>
      <c r="L126" s="301"/>
      <c r="M126" s="295"/>
    </row>
    <row r="127" spans="8:13" x14ac:dyDescent="0.2">
      <c r="H127" s="301">
        <v>41784</v>
      </c>
      <c r="I127" s="295">
        <v>1.21E-2</v>
      </c>
      <c r="J127" s="295">
        <f t="shared" si="1"/>
        <v>1.21E-2</v>
      </c>
      <c r="L127" s="301"/>
      <c r="M127" s="295"/>
    </row>
    <row r="128" spans="8:13" x14ac:dyDescent="0.2">
      <c r="H128" s="301">
        <v>41791</v>
      </c>
      <c r="I128" s="295">
        <v>1.34E-2</v>
      </c>
      <c r="J128" s="295">
        <f t="shared" si="1"/>
        <v>1.34E-2</v>
      </c>
      <c r="L128" s="301"/>
      <c r="M128" s="295"/>
    </row>
    <row r="129" spans="8:13" x14ac:dyDescent="0.2">
      <c r="H129" s="301">
        <v>41798</v>
      </c>
      <c r="I129" s="295">
        <v>-6.7999999999999996E-3</v>
      </c>
      <c r="J129" s="295">
        <f t="shared" si="1"/>
        <v>-6.7999999999999996E-3</v>
      </c>
      <c r="L129" s="301"/>
      <c r="M129" s="295"/>
    </row>
    <row r="130" spans="8:13" x14ac:dyDescent="0.2">
      <c r="H130" s="301">
        <v>41805</v>
      </c>
      <c r="I130" s="295">
        <v>1.38E-2</v>
      </c>
      <c r="J130" s="295">
        <f t="shared" si="1"/>
        <v>1.38E-2</v>
      </c>
      <c r="L130" s="301"/>
      <c r="M130" s="295"/>
    </row>
    <row r="131" spans="8:13" x14ac:dyDescent="0.2">
      <c r="H131" s="301">
        <v>41812</v>
      </c>
      <c r="I131" s="295">
        <v>-1E-3</v>
      </c>
      <c r="J131" s="295">
        <f t="shared" si="1"/>
        <v>-1E-3</v>
      </c>
      <c r="L131" s="301"/>
      <c r="M131" s="295"/>
    </row>
    <row r="132" spans="8:13" x14ac:dyDescent="0.2">
      <c r="H132" s="301">
        <v>41819</v>
      </c>
      <c r="I132" s="295">
        <v>1.2500000000000001E-2</v>
      </c>
      <c r="J132" s="295">
        <f t="shared" si="1"/>
        <v>1.2500000000000001E-2</v>
      </c>
      <c r="L132" s="301"/>
      <c r="M132" s="295"/>
    </row>
    <row r="133" spans="8:13" x14ac:dyDescent="0.2">
      <c r="H133" s="301">
        <v>41826</v>
      </c>
      <c r="I133" s="295">
        <v>-8.9999999999999993E-3</v>
      </c>
      <c r="J133" s="295">
        <f t="shared" si="1"/>
        <v>-8.9999999999999993E-3</v>
      </c>
      <c r="L133" s="301"/>
      <c r="M133" s="295"/>
    </row>
    <row r="134" spans="8:13" x14ac:dyDescent="0.2">
      <c r="H134" s="301">
        <v>41833</v>
      </c>
      <c r="I134" s="295">
        <v>5.4000000000000003E-3</v>
      </c>
      <c r="J134" s="295">
        <f t="shared" si="1"/>
        <v>5.4000000000000003E-3</v>
      </c>
      <c r="L134" s="301"/>
      <c r="M134" s="295"/>
    </row>
    <row r="135" spans="8:13" x14ac:dyDescent="0.2">
      <c r="H135" s="301">
        <v>41840</v>
      </c>
      <c r="I135" s="295">
        <v>1E-4</v>
      </c>
      <c r="J135" s="295">
        <f t="shared" si="1"/>
        <v>1E-4</v>
      </c>
      <c r="L135" s="301"/>
      <c r="M135" s="295"/>
    </row>
    <row r="136" spans="8:13" x14ac:dyDescent="0.2">
      <c r="H136" s="301">
        <v>41847</v>
      </c>
      <c r="I136" s="295">
        <v>-2.69E-2</v>
      </c>
      <c r="J136" s="295">
        <f t="shared" si="1"/>
        <v>-2.69E-2</v>
      </c>
      <c r="L136" s="301"/>
      <c r="M136" s="295"/>
    </row>
    <row r="137" spans="8:13" x14ac:dyDescent="0.2">
      <c r="H137" s="301">
        <v>41854</v>
      </c>
      <c r="I137" s="295">
        <v>3.3E-3</v>
      </c>
      <c r="J137" s="295">
        <f t="shared" si="1"/>
        <v>3.3E-3</v>
      </c>
      <c r="L137" s="301"/>
      <c r="M137" s="295"/>
    </row>
    <row r="138" spans="8:13" x14ac:dyDescent="0.2">
      <c r="H138" s="301">
        <v>41861</v>
      </c>
      <c r="I138" s="295">
        <v>1.2200000000000001E-2</v>
      </c>
      <c r="J138" s="295">
        <f t="shared" si="1"/>
        <v>1.2200000000000001E-2</v>
      </c>
      <c r="L138" s="301"/>
      <c r="M138" s="295"/>
    </row>
    <row r="139" spans="8:13" x14ac:dyDescent="0.2">
      <c r="H139" s="301">
        <v>41868</v>
      </c>
      <c r="I139" s="295">
        <v>1.7100000000000001E-2</v>
      </c>
      <c r="J139" s="295">
        <f t="shared" si="1"/>
        <v>1.7100000000000001E-2</v>
      </c>
      <c r="L139" s="301"/>
      <c r="M139" s="295"/>
    </row>
    <row r="140" spans="8:13" x14ac:dyDescent="0.2">
      <c r="H140" s="301">
        <v>41875</v>
      </c>
      <c r="I140" s="295">
        <v>7.4999999999999997E-3</v>
      </c>
      <c r="J140" s="295">
        <f t="shared" si="1"/>
        <v>7.4999999999999997E-3</v>
      </c>
      <c r="L140" s="301"/>
      <c r="M140" s="295"/>
    </row>
    <row r="141" spans="8:13" x14ac:dyDescent="0.2">
      <c r="H141" s="301">
        <v>41882</v>
      </c>
      <c r="I141" s="295">
        <v>2.2000000000000001E-3</v>
      </c>
      <c r="J141" s="295">
        <f t="shared" si="1"/>
        <v>2.2000000000000001E-3</v>
      </c>
      <c r="L141" s="301"/>
      <c r="M141" s="295"/>
    </row>
    <row r="142" spans="8:13" x14ac:dyDescent="0.2">
      <c r="H142" s="301">
        <v>41889</v>
      </c>
      <c r="I142" s="295">
        <v>-1.0999999999999999E-2</v>
      </c>
      <c r="J142" s="295">
        <f t="shared" si="1"/>
        <v>-1.0999999999999999E-2</v>
      </c>
      <c r="L142" s="301"/>
      <c r="M142" s="295"/>
    </row>
    <row r="143" spans="8:13" x14ac:dyDescent="0.2">
      <c r="H143" s="301">
        <v>41896</v>
      </c>
      <c r="I143" s="295">
        <v>1.2500000000000001E-2</v>
      </c>
      <c r="J143" s="295">
        <f t="shared" si="1"/>
        <v>1.2500000000000001E-2</v>
      </c>
      <c r="L143" s="301"/>
      <c r="M143" s="295"/>
    </row>
    <row r="144" spans="8:13" x14ac:dyDescent="0.2">
      <c r="H144" s="301">
        <v>41903</v>
      </c>
      <c r="I144" s="295">
        <v>-1.37E-2</v>
      </c>
      <c r="J144" s="295">
        <f t="shared" si="1"/>
        <v>-1.37E-2</v>
      </c>
      <c r="L144" s="301"/>
      <c r="M144" s="295"/>
    </row>
    <row r="145" spans="8:13" x14ac:dyDescent="0.2">
      <c r="H145" s="301">
        <v>41910</v>
      </c>
      <c r="I145" s="295">
        <v>-7.4999999999999997E-3</v>
      </c>
      <c r="J145" s="295">
        <f t="shared" si="1"/>
        <v>-7.4999999999999997E-3</v>
      </c>
      <c r="L145" s="301"/>
      <c r="M145" s="295"/>
    </row>
    <row r="146" spans="8:13" x14ac:dyDescent="0.2">
      <c r="H146" s="301">
        <v>41917</v>
      </c>
      <c r="I146" s="295">
        <v>-3.1399999999999997E-2</v>
      </c>
      <c r="J146" s="295">
        <f t="shared" ref="J146:J209" si="2">I146-M146</f>
        <v>-3.1399999999999997E-2</v>
      </c>
      <c r="L146" s="301"/>
      <c r="M146" s="295"/>
    </row>
    <row r="147" spans="8:13" x14ac:dyDescent="0.2">
      <c r="H147" s="301">
        <v>41924</v>
      </c>
      <c r="I147" s="295">
        <v>-1.0200000000000001E-2</v>
      </c>
      <c r="J147" s="295">
        <f t="shared" si="2"/>
        <v>-1.0200000000000001E-2</v>
      </c>
      <c r="L147" s="301"/>
      <c r="M147" s="295"/>
    </row>
    <row r="148" spans="8:13" x14ac:dyDescent="0.2">
      <c r="H148" s="301">
        <v>41931</v>
      </c>
      <c r="I148" s="295">
        <v>4.1200000000000001E-2</v>
      </c>
      <c r="J148" s="295">
        <f t="shared" si="2"/>
        <v>4.1200000000000001E-2</v>
      </c>
      <c r="L148" s="301"/>
      <c r="M148" s="295"/>
    </row>
    <row r="149" spans="8:13" x14ac:dyDescent="0.2">
      <c r="H149" s="301">
        <v>41938</v>
      </c>
      <c r="I149" s="295">
        <v>2.7199999999999998E-2</v>
      </c>
      <c r="J149" s="295">
        <f t="shared" si="2"/>
        <v>2.7199999999999998E-2</v>
      </c>
      <c r="L149" s="301"/>
      <c r="M149" s="295"/>
    </row>
    <row r="150" spans="8:13" x14ac:dyDescent="0.2">
      <c r="H150" s="301">
        <v>41945</v>
      </c>
      <c r="I150" s="295">
        <v>6.8999999999999999E-3</v>
      </c>
      <c r="J150" s="295">
        <f t="shared" si="2"/>
        <v>6.8999999999999999E-3</v>
      </c>
      <c r="L150" s="301"/>
      <c r="M150" s="295"/>
    </row>
    <row r="151" spans="8:13" x14ac:dyDescent="0.2">
      <c r="H151" s="301">
        <v>41952</v>
      </c>
      <c r="I151" s="295">
        <v>3.8999999999999998E-3</v>
      </c>
      <c r="J151" s="295">
        <f t="shared" si="2"/>
        <v>3.8999999999999998E-3</v>
      </c>
      <c r="L151" s="301"/>
      <c r="M151" s="295"/>
    </row>
    <row r="152" spans="8:13" x14ac:dyDescent="0.2">
      <c r="H152" s="301">
        <v>41959</v>
      </c>
      <c r="I152" s="295">
        <v>1.1599999999999999E-2</v>
      </c>
      <c r="J152" s="295">
        <f t="shared" si="2"/>
        <v>1.1599999999999999E-2</v>
      </c>
      <c r="L152" s="301"/>
      <c r="M152" s="295"/>
    </row>
    <row r="153" spans="8:13" x14ac:dyDescent="0.2">
      <c r="H153" s="301">
        <v>41966</v>
      </c>
      <c r="I153" s="295">
        <v>2E-3</v>
      </c>
      <c r="J153" s="295">
        <f t="shared" si="2"/>
        <v>2E-3</v>
      </c>
      <c r="L153" s="301"/>
      <c r="M153" s="295"/>
    </row>
    <row r="154" spans="8:13" x14ac:dyDescent="0.2">
      <c r="H154" s="301">
        <v>41973</v>
      </c>
      <c r="I154" s="295">
        <v>3.8E-3</v>
      </c>
      <c r="J154" s="295">
        <f t="shared" si="2"/>
        <v>3.8E-3</v>
      </c>
      <c r="L154" s="301"/>
      <c r="M154" s="295"/>
    </row>
    <row r="155" spans="8:13" x14ac:dyDescent="0.2">
      <c r="H155" s="301">
        <v>41980</v>
      </c>
      <c r="I155" s="295">
        <v>-3.5200000000000002E-2</v>
      </c>
      <c r="J155" s="295">
        <f t="shared" si="2"/>
        <v>-3.5200000000000002E-2</v>
      </c>
      <c r="L155" s="301"/>
      <c r="M155" s="295"/>
    </row>
    <row r="156" spans="8:13" x14ac:dyDescent="0.2">
      <c r="H156" s="301">
        <v>41987</v>
      </c>
      <c r="I156" s="295">
        <v>3.4099999999999998E-2</v>
      </c>
      <c r="J156" s="295">
        <f t="shared" si="2"/>
        <v>3.4099999999999998E-2</v>
      </c>
      <c r="L156" s="301"/>
      <c r="M156" s="295"/>
    </row>
    <row r="157" spans="8:13" x14ac:dyDescent="0.2">
      <c r="H157" s="301">
        <v>41994</v>
      </c>
      <c r="I157" s="295">
        <v>8.8000000000000005E-3</v>
      </c>
      <c r="J157" s="295">
        <f t="shared" si="2"/>
        <v>8.8000000000000005E-3</v>
      </c>
      <c r="L157" s="301"/>
      <c r="M157" s="295"/>
    </row>
    <row r="158" spans="8:13" x14ac:dyDescent="0.2">
      <c r="H158" s="301">
        <v>42001</v>
      </c>
      <c r="I158" s="295">
        <v>-1.46E-2</v>
      </c>
      <c r="J158" s="295">
        <f t="shared" si="2"/>
        <v>-1.46E-2</v>
      </c>
      <c r="L158" s="301"/>
      <c r="M158" s="295"/>
    </row>
    <row r="159" spans="8:13" x14ac:dyDescent="0.2">
      <c r="H159" s="301">
        <v>42008</v>
      </c>
      <c r="I159" s="295">
        <v>-6.4999999999999997E-3</v>
      </c>
      <c r="J159" s="295">
        <f t="shared" si="2"/>
        <v>-6.4999999999999997E-3</v>
      </c>
      <c r="L159" s="301"/>
      <c r="M159" s="295"/>
    </row>
    <row r="160" spans="8:13" x14ac:dyDescent="0.2">
      <c r="H160" s="301">
        <v>42015</v>
      </c>
      <c r="I160" s="295">
        <v>-1.24E-2</v>
      </c>
      <c r="J160" s="295">
        <f t="shared" si="2"/>
        <v>-1.24E-2</v>
      </c>
      <c r="L160" s="301"/>
      <c r="M160" s="295"/>
    </row>
    <row r="161" spans="8:13" x14ac:dyDescent="0.2">
      <c r="H161" s="301">
        <v>42022</v>
      </c>
      <c r="I161" s="295">
        <v>1.6E-2</v>
      </c>
      <c r="J161" s="295">
        <f t="shared" si="2"/>
        <v>1.6E-2</v>
      </c>
      <c r="L161" s="301"/>
      <c r="M161" s="295"/>
    </row>
    <row r="162" spans="8:13" x14ac:dyDescent="0.2">
      <c r="H162" s="301">
        <v>42029</v>
      </c>
      <c r="I162" s="295">
        <v>-2.7699999999999999E-2</v>
      </c>
      <c r="J162" s="295">
        <f t="shared" si="2"/>
        <v>-2.7699999999999999E-2</v>
      </c>
      <c r="L162" s="301"/>
      <c r="M162" s="295"/>
    </row>
    <row r="163" spans="8:13" x14ac:dyDescent="0.2">
      <c r="H163" s="301">
        <v>42036</v>
      </c>
      <c r="I163" s="295">
        <v>3.0300000000000001E-2</v>
      </c>
      <c r="J163" s="295">
        <f t="shared" si="2"/>
        <v>3.0300000000000001E-2</v>
      </c>
      <c r="L163" s="301"/>
      <c r="M163" s="295"/>
    </row>
    <row r="164" spans="8:13" x14ac:dyDescent="0.2">
      <c r="H164" s="301">
        <v>42043</v>
      </c>
      <c r="I164" s="295">
        <v>2.0199999999999999E-2</v>
      </c>
      <c r="J164" s="295">
        <f t="shared" si="2"/>
        <v>2.0199999999999999E-2</v>
      </c>
      <c r="L164" s="301"/>
      <c r="M164" s="295"/>
    </row>
    <row r="165" spans="8:13" x14ac:dyDescent="0.2">
      <c r="H165" s="301">
        <v>42050</v>
      </c>
      <c r="I165" s="295">
        <v>6.3E-3</v>
      </c>
      <c r="J165" s="295">
        <f t="shared" si="2"/>
        <v>6.3E-3</v>
      </c>
      <c r="L165" s="301"/>
      <c r="M165" s="295"/>
    </row>
    <row r="166" spans="8:13" x14ac:dyDescent="0.2">
      <c r="H166" s="301">
        <v>42057</v>
      </c>
      <c r="I166" s="295">
        <v>-2.7000000000000001E-3</v>
      </c>
      <c r="J166" s="295">
        <f t="shared" si="2"/>
        <v>-2.7000000000000001E-3</v>
      </c>
      <c r="L166" s="301"/>
      <c r="M166" s="295"/>
    </row>
    <row r="167" spans="8:13" x14ac:dyDescent="0.2">
      <c r="H167" s="301">
        <v>42064</v>
      </c>
      <c r="I167" s="295">
        <v>-1.5800000000000002E-2</v>
      </c>
      <c r="J167" s="295">
        <f t="shared" si="2"/>
        <v>-1.5800000000000002E-2</v>
      </c>
      <c r="L167" s="301"/>
      <c r="M167" s="295"/>
    </row>
    <row r="168" spans="8:13" x14ac:dyDescent="0.2">
      <c r="H168" s="301">
        <v>42071</v>
      </c>
      <c r="I168" s="295">
        <v>-8.6E-3</v>
      </c>
      <c r="J168" s="295">
        <f t="shared" si="2"/>
        <v>-8.6E-3</v>
      </c>
      <c r="L168" s="301"/>
      <c r="M168" s="295"/>
    </row>
    <row r="169" spans="8:13" x14ac:dyDescent="0.2">
      <c r="H169" s="301">
        <v>42078</v>
      </c>
      <c r="I169" s="295">
        <v>2.6599999999999999E-2</v>
      </c>
      <c r="J169" s="295">
        <f t="shared" si="2"/>
        <v>2.6599999999999999E-2</v>
      </c>
      <c r="L169" s="301"/>
      <c r="M169" s="295"/>
    </row>
    <row r="170" spans="8:13" x14ac:dyDescent="0.2">
      <c r="H170" s="301">
        <v>42085</v>
      </c>
      <c r="I170" s="295">
        <v>-2.23E-2</v>
      </c>
      <c r="J170" s="295">
        <f t="shared" si="2"/>
        <v>-2.23E-2</v>
      </c>
      <c r="L170" s="301"/>
      <c r="M170" s="295"/>
    </row>
    <row r="171" spans="8:13" x14ac:dyDescent="0.2">
      <c r="H171" s="301">
        <v>42092</v>
      </c>
      <c r="I171" s="295">
        <v>2.8999999999999998E-3</v>
      </c>
      <c r="J171" s="295">
        <f t="shared" si="2"/>
        <v>2.8999999999999998E-3</v>
      </c>
      <c r="L171" s="301"/>
      <c r="M171" s="295"/>
    </row>
    <row r="172" spans="8:13" x14ac:dyDescent="0.2">
      <c r="H172" s="301">
        <v>42099</v>
      </c>
      <c r="I172" s="295">
        <v>1.7000000000000001E-2</v>
      </c>
      <c r="J172" s="295">
        <f t="shared" si="2"/>
        <v>1.7000000000000001E-2</v>
      </c>
      <c r="L172" s="301"/>
      <c r="M172" s="295"/>
    </row>
    <row r="173" spans="8:13" x14ac:dyDescent="0.2">
      <c r="H173" s="301">
        <v>42106</v>
      </c>
      <c r="I173" s="295">
        <v>-9.9000000000000008E-3</v>
      </c>
      <c r="J173" s="295">
        <f t="shared" si="2"/>
        <v>-9.9000000000000008E-3</v>
      </c>
      <c r="L173" s="301"/>
      <c r="M173" s="295"/>
    </row>
    <row r="174" spans="8:13" x14ac:dyDescent="0.2">
      <c r="H174" s="301">
        <v>42113</v>
      </c>
      <c r="I174" s="295">
        <v>1.7500000000000002E-2</v>
      </c>
      <c r="J174" s="295">
        <f t="shared" si="2"/>
        <v>1.7500000000000002E-2</v>
      </c>
      <c r="L174" s="301"/>
      <c r="M174" s="295"/>
    </row>
    <row r="175" spans="8:13" x14ac:dyDescent="0.2">
      <c r="H175" s="301">
        <v>42120</v>
      </c>
      <c r="I175" s="295">
        <v>-4.4000000000000003E-3</v>
      </c>
      <c r="J175" s="295">
        <f t="shared" si="2"/>
        <v>-4.4000000000000003E-3</v>
      </c>
      <c r="L175" s="301"/>
      <c r="M175" s="295"/>
    </row>
    <row r="176" spans="8:13" x14ac:dyDescent="0.2">
      <c r="H176" s="301">
        <v>42127</v>
      </c>
      <c r="I176" s="295">
        <v>3.7000000000000002E-3</v>
      </c>
      <c r="J176" s="295">
        <f t="shared" si="2"/>
        <v>3.7000000000000002E-3</v>
      </c>
      <c r="L176" s="301"/>
      <c r="M176" s="295"/>
    </row>
    <row r="177" spans="8:13" x14ac:dyDescent="0.2">
      <c r="H177" s="301">
        <v>42134</v>
      </c>
      <c r="I177" s="295">
        <v>3.0999999999999999E-3</v>
      </c>
      <c r="J177" s="295">
        <f t="shared" si="2"/>
        <v>3.0999999999999999E-3</v>
      </c>
      <c r="L177" s="301"/>
      <c r="M177" s="295"/>
    </row>
    <row r="178" spans="8:13" x14ac:dyDescent="0.2">
      <c r="H178" s="301">
        <v>42141</v>
      </c>
      <c r="I178" s="295">
        <v>1.6000000000000001E-3</v>
      </c>
      <c r="J178" s="295">
        <f t="shared" si="2"/>
        <v>1.6000000000000001E-3</v>
      </c>
      <c r="L178" s="301"/>
      <c r="M178" s="295"/>
    </row>
    <row r="179" spans="8:13" x14ac:dyDescent="0.2">
      <c r="H179" s="301">
        <v>42148</v>
      </c>
      <c r="I179" s="295">
        <v>-8.8000000000000005E-3</v>
      </c>
      <c r="J179" s="295">
        <f t="shared" si="2"/>
        <v>-8.8000000000000005E-3</v>
      </c>
      <c r="L179" s="301"/>
      <c r="M179" s="295"/>
    </row>
    <row r="180" spans="8:13" x14ac:dyDescent="0.2">
      <c r="H180" s="301">
        <v>42155</v>
      </c>
      <c r="I180" s="295">
        <v>-6.8999999999999999E-3</v>
      </c>
      <c r="J180" s="295">
        <f t="shared" si="2"/>
        <v>-6.8999999999999999E-3</v>
      </c>
      <c r="L180" s="301"/>
      <c r="M180" s="295"/>
    </row>
    <row r="181" spans="8:13" x14ac:dyDescent="0.2">
      <c r="H181" s="301">
        <v>42162</v>
      </c>
      <c r="I181" s="295">
        <v>5.9999999999999995E-4</v>
      </c>
      <c r="J181" s="295">
        <f t="shared" si="2"/>
        <v>5.9999999999999995E-4</v>
      </c>
      <c r="L181" s="301"/>
      <c r="M181" s="295"/>
    </row>
    <row r="182" spans="8:13" x14ac:dyDescent="0.2">
      <c r="H182" s="301">
        <v>42169</v>
      </c>
      <c r="I182" s="295">
        <v>7.6E-3</v>
      </c>
      <c r="J182" s="295">
        <f t="shared" si="2"/>
        <v>7.6E-3</v>
      </c>
      <c r="L182" s="301"/>
      <c r="M182" s="295"/>
    </row>
    <row r="183" spans="8:13" x14ac:dyDescent="0.2">
      <c r="H183" s="301">
        <v>42176</v>
      </c>
      <c r="I183" s="295">
        <v>-4.0000000000000001E-3</v>
      </c>
      <c r="J183" s="295">
        <f t="shared" si="2"/>
        <v>-4.0000000000000001E-3</v>
      </c>
      <c r="L183" s="301"/>
      <c r="M183" s="295"/>
    </row>
    <row r="184" spans="8:13" x14ac:dyDescent="0.2">
      <c r="H184" s="301">
        <v>42183</v>
      </c>
      <c r="I184" s="295">
        <v>-1.18E-2</v>
      </c>
      <c r="J184" s="295">
        <f t="shared" si="2"/>
        <v>-1.18E-2</v>
      </c>
      <c r="L184" s="301"/>
      <c r="M184" s="295"/>
    </row>
    <row r="185" spans="8:13" x14ac:dyDescent="0.2">
      <c r="H185" s="301">
        <v>42190</v>
      </c>
      <c r="I185" s="295">
        <v>-1E-4</v>
      </c>
      <c r="J185" s="295">
        <f t="shared" si="2"/>
        <v>-1E-4</v>
      </c>
      <c r="L185" s="301"/>
      <c r="M185" s="295"/>
    </row>
    <row r="186" spans="8:13" x14ac:dyDescent="0.2">
      <c r="H186" s="301">
        <v>42197</v>
      </c>
      <c r="I186" s="295">
        <v>2.41E-2</v>
      </c>
      <c r="J186" s="295">
        <f t="shared" si="2"/>
        <v>2.41E-2</v>
      </c>
      <c r="L186" s="301"/>
      <c r="M186" s="295"/>
    </row>
    <row r="187" spans="8:13" x14ac:dyDescent="0.2">
      <c r="H187" s="301">
        <v>42204</v>
      </c>
      <c r="I187" s="295">
        <v>-2.2100000000000002E-2</v>
      </c>
      <c r="J187" s="295">
        <f t="shared" si="2"/>
        <v>-2.2100000000000002E-2</v>
      </c>
      <c r="L187" s="301"/>
      <c r="M187" s="295"/>
    </row>
    <row r="188" spans="8:13" x14ac:dyDescent="0.2">
      <c r="H188" s="301">
        <v>42211</v>
      </c>
      <c r="I188" s="295">
        <v>1.1599999999999999E-2</v>
      </c>
      <c r="J188" s="295">
        <f t="shared" si="2"/>
        <v>1.1599999999999999E-2</v>
      </c>
      <c r="L188" s="301"/>
      <c r="M188" s="295"/>
    </row>
    <row r="189" spans="8:13" x14ac:dyDescent="0.2">
      <c r="H189" s="301">
        <v>42218</v>
      </c>
      <c r="I189" s="295">
        <v>-1.2500000000000001E-2</v>
      </c>
      <c r="J189" s="295">
        <f t="shared" si="2"/>
        <v>-1.2500000000000001E-2</v>
      </c>
      <c r="L189" s="301"/>
      <c r="M189" s="295"/>
    </row>
    <row r="190" spans="8:13" x14ac:dyDescent="0.2">
      <c r="H190" s="301">
        <v>42225</v>
      </c>
      <c r="I190" s="295">
        <v>6.7000000000000002E-3</v>
      </c>
      <c r="J190" s="295">
        <f t="shared" si="2"/>
        <v>6.7000000000000002E-3</v>
      </c>
      <c r="L190" s="301"/>
      <c r="M190" s="295"/>
    </row>
    <row r="191" spans="8:13" x14ac:dyDescent="0.2">
      <c r="H191" s="301">
        <v>42232</v>
      </c>
      <c r="I191" s="295">
        <v>-5.7700000000000001E-2</v>
      </c>
      <c r="J191" s="295">
        <f t="shared" si="2"/>
        <v>-5.7700000000000001E-2</v>
      </c>
      <c r="L191" s="301"/>
      <c r="M191" s="295"/>
    </row>
    <row r="192" spans="8:13" x14ac:dyDescent="0.2">
      <c r="H192" s="301">
        <v>42239</v>
      </c>
      <c r="I192" s="295">
        <v>9.1000000000000004E-3</v>
      </c>
      <c r="J192" s="295">
        <f t="shared" si="2"/>
        <v>9.1000000000000004E-3</v>
      </c>
      <c r="L192" s="301"/>
      <c r="M192" s="295"/>
    </row>
    <row r="193" spans="8:13" x14ac:dyDescent="0.2">
      <c r="H193" s="301">
        <v>42246</v>
      </c>
      <c r="I193" s="295">
        <v>-3.4000000000000002E-2</v>
      </c>
      <c r="J193" s="295">
        <f t="shared" si="2"/>
        <v>-3.4000000000000002E-2</v>
      </c>
      <c r="L193" s="301"/>
      <c r="M193" s="295"/>
    </row>
    <row r="194" spans="8:13" x14ac:dyDescent="0.2">
      <c r="H194" s="301">
        <v>42253</v>
      </c>
      <c r="I194" s="295">
        <v>2.07E-2</v>
      </c>
      <c r="J194" s="295">
        <f t="shared" si="2"/>
        <v>2.07E-2</v>
      </c>
      <c r="L194" s="301"/>
      <c r="M194" s="295"/>
    </row>
    <row r="195" spans="8:13" x14ac:dyDescent="0.2">
      <c r="H195" s="301">
        <v>42260</v>
      </c>
      <c r="I195" s="295">
        <v>-1.5E-3</v>
      </c>
      <c r="J195" s="295">
        <f t="shared" si="2"/>
        <v>-1.5E-3</v>
      </c>
      <c r="L195" s="301"/>
      <c r="M195" s="295"/>
    </row>
    <row r="196" spans="8:13" x14ac:dyDescent="0.2">
      <c r="H196" s="301">
        <v>42267</v>
      </c>
      <c r="I196" s="295">
        <v>-1.3599999999999999E-2</v>
      </c>
      <c r="J196" s="295">
        <f t="shared" si="2"/>
        <v>-1.3599999999999999E-2</v>
      </c>
      <c r="L196" s="301"/>
      <c r="M196" s="295"/>
    </row>
    <row r="197" spans="8:13" x14ac:dyDescent="0.2">
      <c r="H197" s="301">
        <v>42274</v>
      </c>
      <c r="I197" s="295">
        <v>1.04E-2</v>
      </c>
      <c r="J197" s="295">
        <f t="shared" si="2"/>
        <v>1.04E-2</v>
      </c>
      <c r="L197" s="301"/>
      <c r="M197" s="295"/>
    </row>
    <row r="198" spans="8:13" x14ac:dyDescent="0.2">
      <c r="H198" s="301">
        <v>42281</v>
      </c>
      <c r="I198" s="295">
        <v>3.2599999999999997E-2</v>
      </c>
      <c r="J198" s="295">
        <f t="shared" si="2"/>
        <v>3.2599999999999997E-2</v>
      </c>
      <c r="L198" s="301"/>
      <c r="M198" s="295"/>
    </row>
    <row r="199" spans="8:13" x14ac:dyDescent="0.2">
      <c r="H199" s="301">
        <v>42288</v>
      </c>
      <c r="I199" s="295">
        <v>8.9999999999999993E-3</v>
      </c>
      <c r="J199" s="295">
        <f t="shared" si="2"/>
        <v>8.9999999999999993E-3</v>
      </c>
      <c r="L199" s="301"/>
      <c r="M199" s="295"/>
    </row>
    <row r="200" spans="8:13" x14ac:dyDescent="0.2">
      <c r="H200" s="301">
        <v>42295</v>
      </c>
      <c r="I200" s="295">
        <v>2.07E-2</v>
      </c>
      <c r="J200" s="295">
        <f t="shared" si="2"/>
        <v>2.07E-2</v>
      </c>
      <c r="L200" s="301"/>
      <c r="M200" s="295"/>
    </row>
    <row r="201" spans="8:13" x14ac:dyDescent="0.2">
      <c r="H201" s="301">
        <v>42302</v>
      </c>
      <c r="I201" s="295">
        <v>2E-3</v>
      </c>
      <c r="J201" s="295">
        <f t="shared" si="2"/>
        <v>2E-3</v>
      </c>
      <c r="L201" s="301"/>
      <c r="M201" s="295"/>
    </row>
    <row r="202" spans="8:13" x14ac:dyDescent="0.2">
      <c r="H202" s="301">
        <v>42309</v>
      </c>
      <c r="I202" s="295">
        <v>9.4999999999999998E-3</v>
      </c>
      <c r="J202" s="295">
        <f t="shared" si="2"/>
        <v>9.4999999999999998E-3</v>
      </c>
      <c r="L202" s="301"/>
      <c r="M202" s="295"/>
    </row>
    <row r="203" spans="8:13" x14ac:dyDescent="0.2">
      <c r="H203" s="301">
        <v>42316</v>
      </c>
      <c r="I203" s="295">
        <v>-3.6299999999999999E-2</v>
      </c>
      <c r="J203" s="295">
        <f t="shared" si="2"/>
        <v>-3.6299999999999999E-2</v>
      </c>
      <c r="L203" s="301"/>
      <c r="M203" s="295"/>
    </row>
    <row r="204" spans="8:13" x14ac:dyDescent="0.2">
      <c r="H204" s="301">
        <v>42323</v>
      </c>
      <c r="I204" s="295">
        <v>3.27E-2</v>
      </c>
      <c r="J204" s="295">
        <f t="shared" si="2"/>
        <v>3.27E-2</v>
      </c>
      <c r="L204" s="301"/>
      <c r="M204" s="295"/>
    </row>
    <row r="205" spans="8:13" x14ac:dyDescent="0.2">
      <c r="H205" s="301">
        <v>42330</v>
      </c>
      <c r="I205" s="295">
        <v>5.0000000000000001E-4</v>
      </c>
      <c r="J205" s="295">
        <f t="shared" si="2"/>
        <v>5.0000000000000001E-4</v>
      </c>
      <c r="L205" s="301"/>
      <c r="M205" s="295"/>
    </row>
    <row r="206" spans="8:13" x14ac:dyDescent="0.2">
      <c r="H206" s="301">
        <v>42337</v>
      </c>
      <c r="I206" s="295">
        <v>8.0000000000000004E-4</v>
      </c>
      <c r="J206" s="295">
        <f t="shared" si="2"/>
        <v>8.0000000000000004E-4</v>
      </c>
      <c r="L206" s="301"/>
      <c r="M206" s="295"/>
    </row>
    <row r="207" spans="8:13" x14ac:dyDescent="0.2">
      <c r="H207" s="301">
        <v>42344</v>
      </c>
      <c r="I207" s="295">
        <v>-3.7900000000000003E-2</v>
      </c>
      <c r="J207" s="295">
        <f t="shared" si="2"/>
        <v>-3.7900000000000003E-2</v>
      </c>
      <c r="L207" s="301"/>
      <c r="M207" s="295"/>
    </row>
    <row r="208" spans="8:13" x14ac:dyDescent="0.2">
      <c r="H208" s="301">
        <v>42351</v>
      </c>
      <c r="I208" s="295">
        <v>-3.3999999999999998E-3</v>
      </c>
      <c r="J208" s="295">
        <f t="shared" si="2"/>
        <v>-3.3999999999999998E-3</v>
      </c>
      <c r="L208" s="301"/>
      <c r="M208" s="295"/>
    </row>
    <row r="209" spans="8:13" x14ac:dyDescent="0.2">
      <c r="H209" s="301">
        <v>42358</v>
      </c>
      <c r="I209" s="295">
        <v>2.76E-2</v>
      </c>
      <c r="J209" s="295">
        <f t="shared" si="2"/>
        <v>2.76E-2</v>
      </c>
      <c r="L209" s="301"/>
      <c r="M209" s="295"/>
    </row>
    <row r="210" spans="8:13" x14ac:dyDescent="0.2">
      <c r="H210" s="301">
        <v>42365</v>
      </c>
      <c r="I210" s="295">
        <v>-8.3000000000000001E-3</v>
      </c>
      <c r="J210" s="295">
        <f t="shared" ref="J210:J273" si="3">I210-M210</f>
        <v>-8.3000000000000001E-3</v>
      </c>
      <c r="L210" s="301"/>
      <c r="M210" s="295"/>
    </row>
    <row r="211" spans="8:13" x14ac:dyDescent="0.2">
      <c r="H211" s="301">
        <v>42372</v>
      </c>
      <c r="I211" s="295">
        <v>-5.96E-2</v>
      </c>
      <c r="J211" s="295">
        <f t="shared" si="3"/>
        <v>-5.96E-2</v>
      </c>
      <c r="L211" s="301"/>
      <c r="M211" s="295"/>
    </row>
    <row r="212" spans="8:13" x14ac:dyDescent="0.2">
      <c r="H212" s="301">
        <v>42379</v>
      </c>
      <c r="I212" s="295">
        <v>-2.1700000000000001E-2</v>
      </c>
      <c r="J212" s="295">
        <f t="shared" si="3"/>
        <v>-2.1700000000000001E-2</v>
      </c>
      <c r="L212" s="301"/>
      <c r="M212" s="295"/>
    </row>
    <row r="213" spans="8:13" x14ac:dyDescent="0.2">
      <c r="H213" s="301">
        <v>42386</v>
      </c>
      <c r="I213" s="295">
        <v>1.41E-2</v>
      </c>
      <c r="J213" s="295">
        <f t="shared" si="3"/>
        <v>1.41E-2</v>
      </c>
      <c r="L213" s="301"/>
      <c r="M213" s="295"/>
    </row>
    <row r="214" spans="8:13" x14ac:dyDescent="0.2">
      <c r="H214" s="301">
        <v>42393</v>
      </c>
      <c r="I214" s="295">
        <v>1.7500000000000002E-2</v>
      </c>
      <c r="J214" s="295">
        <f t="shared" si="3"/>
        <v>1.7500000000000002E-2</v>
      </c>
      <c r="L214" s="301"/>
      <c r="M214" s="295"/>
    </row>
    <row r="215" spans="8:13" x14ac:dyDescent="0.2">
      <c r="H215" s="301">
        <v>42400</v>
      </c>
      <c r="I215" s="295">
        <v>-3.1E-2</v>
      </c>
      <c r="J215" s="295">
        <f t="shared" si="3"/>
        <v>-3.1E-2</v>
      </c>
      <c r="L215" s="301"/>
      <c r="M215" s="295"/>
    </row>
    <row r="216" spans="8:13" x14ac:dyDescent="0.2">
      <c r="H216" s="301">
        <v>42407</v>
      </c>
      <c r="I216" s="295">
        <v>-8.0999999999999996E-3</v>
      </c>
      <c r="J216" s="295">
        <f t="shared" si="3"/>
        <v>-8.0999999999999996E-3</v>
      </c>
      <c r="L216" s="301"/>
      <c r="M216" s="295"/>
    </row>
    <row r="217" spans="8:13" x14ac:dyDescent="0.2">
      <c r="H217" s="301">
        <v>42414</v>
      </c>
      <c r="I217" s="295">
        <v>2.8400000000000002E-2</v>
      </c>
      <c r="J217" s="295">
        <f t="shared" si="3"/>
        <v>2.8400000000000002E-2</v>
      </c>
      <c r="L217" s="301"/>
      <c r="M217" s="295"/>
    </row>
    <row r="218" spans="8:13" x14ac:dyDescent="0.2">
      <c r="H218" s="301">
        <v>42421</v>
      </c>
      <c r="I218" s="295">
        <v>1.5800000000000002E-2</v>
      </c>
      <c r="J218" s="295">
        <f t="shared" si="3"/>
        <v>1.5800000000000002E-2</v>
      </c>
      <c r="L218" s="301"/>
      <c r="M218" s="295"/>
    </row>
    <row r="219" spans="8:13" x14ac:dyDescent="0.2">
      <c r="H219" s="301">
        <v>42428</v>
      </c>
      <c r="I219" s="295">
        <v>2.6700000000000002E-2</v>
      </c>
      <c r="J219" s="295">
        <f t="shared" si="3"/>
        <v>2.6700000000000002E-2</v>
      </c>
      <c r="L219" s="301"/>
      <c r="M219" s="295"/>
    </row>
    <row r="220" spans="8:13" x14ac:dyDescent="0.2">
      <c r="H220" s="301">
        <v>42435</v>
      </c>
      <c r="I220" s="295">
        <v>1.11E-2</v>
      </c>
      <c r="J220" s="295">
        <f t="shared" si="3"/>
        <v>1.11E-2</v>
      </c>
      <c r="L220" s="301"/>
      <c r="M220" s="295"/>
    </row>
    <row r="221" spans="8:13" x14ac:dyDescent="0.2">
      <c r="H221" s="301">
        <v>42442</v>
      </c>
      <c r="I221" s="295">
        <v>1.35E-2</v>
      </c>
      <c r="J221" s="295">
        <f t="shared" si="3"/>
        <v>1.35E-2</v>
      </c>
      <c r="L221" s="301"/>
      <c r="M221" s="295"/>
    </row>
    <row r="222" spans="8:13" x14ac:dyDescent="0.2">
      <c r="H222" s="301">
        <v>42449</v>
      </c>
      <c r="I222" s="295">
        <v>-6.7000000000000002E-3</v>
      </c>
      <c r="J222" s="295">
        <f t="shared" si="3"/>
        <v>-6.7000000000000002E-3</v>
      </c>
      <c r="L222" s="301"/>
      <c r="M222" s="295"/>
    </row>
    <row r="223" spans="8:13" x14ac:dyDescent="0.2">
      <c r="H223" s="301">
        <v>42456</v>
      </c>
      <c r="I223" s="295">
        <v>1.8100000000000002E-2</v>
      </c>
      <c r="J223" s="295">
        <f t="shared" si="3"/>
        <v>1.8100000000000002E-2</v>
      </c>
      <c r="L223" s="301"/>
      <c r="M223" s="295"/>
    </row>
    <row r="224" spans="8:13" x14ac:dyDescent="0.2">
      <c r="H224" s="301">
        <v>42463</v>
      </c>
      <c r="I224" s="295">
        <v>-1.21E-2</v>
      </c>
      <c r="J224" s="295">
        <f t="shared" si="3"/>
        <v>-1.21E-2</v>
      </c>
      <c r="L224" s="301"/>
      <c r="M224" s="295"/>
    </row>
    <row r="225" spans="8:13" x14ac:dyDescent="0.2">
      <c r="H225" s="301">
        <v>42470</v>
      </c>
      <c r="I225" s="295">
        <v>1.6199999999999999E-2</v>
      </c>
      <c r="J225" s="295">
        <f t="shared" si="3"/>
        <v>1.6199999999999999E-2</v>
      </c>
      <c r="L225" s="301"/>
      <c r="M225" s="295"/>
    </row>
    <row r="226" spans="8:13" x14ac:dyDescent="0.2">
      <c r="H226" s="301">
        <v>42477</v>
      </c>
      <c r="I226" s="295">
        <v>5.1999999999999998E-3</v>
      </c>
      <c r="J226" s="295">
        <f t="shared" si="3"/>
        <v>5.1999999999999998E-3</v>
      </c>
      <c r="L226" s="301"/>
      <c r="M226" s="295"/>
    </row>
    <row r="227" spans="8:13" x14ac:dyDescent="0.2">
      <c r="H227" s="301">
        <v>42484</v>
      </c>
      <c r="I227" s="295">
        <v>-1.26E-2</v>
      </c>
      <c r="J227" s="295">
        <f t="shared" si="3"/>
        <v>-1.26E-2</v>
      </c>
      <c r="L227" s="301"/>
      <c r="M227" s="295"/>
    </row>
    <row r="228" spans="8:13" x14ac:dyDescent="0.2">
      <c r="H228" s="301">
        <v>42491</v>
      </c>
      <c r="I228" s="295">
        <v>-4.0000000000000001E-3</v>
      </c>
      <c r="J228" s="295">
        <f t="shared" si="3"/>
        <v>-4.0000000000000001E-3</v>
      </c>
      <c r="L228" s="301"/>
      <c r="M228" s="295"/>
    </row>
    <row r="229" spans="8:13" x14ac:dyDescent="0.2">
      <c r="H229" s="301">
        <v>42498</v>
      </c>
      <c r="I229" s="295">
        <v>-5.1000000000000004E-3</v>
      </c>
      <c r="J229" s="295">
        <f t="shared" si="3"/>
        <v>-5.1000000000000004E-3</v>
      </c>
      <c r="L229" s="301"/>
      <c r="M229" s="295"/>
    </row>
    <row r="230" spans="8:13" x14ac:dyDescent="0.2">
      <c r="H230" s="301">
        <v>42505</v>
      </c>
      <c r="I230" s="295">
        <v>2.8E-3</v>
      </c>
      <c r="J230" s="295">
        <f t="shared" si="3"/>
        <v>2.8E-3</v>
      </c>
      <c r="L230" s="301"/>
      <c r="M230" s="295"/>
    </row>
    <row r="231" spans="8:13" x14ac:dyDescent="0.2">
      <c r="H231" s="301">
        <v>42512</v>
      </c>
      <c r="I231" s="295">
        <v>2.2800000000000001E-2</v>
      </c>
      <c r="J231" s="295">
        <f t="shared" si="3"/>
        <v>2.2800000000000001E-2</v>
      </c>
      <c r="L231" s="301"/>
      <c r="M231" s="295"/>
    </row>
    <row r="232" spans="8:13" x14ac:dyDescent="0.2">
      <c r="H232" s="301">
        <v>42519</v>
      </c>
      <c r="I232" s="295">
        <v>0</v>
      </c>
      <c r="J232" s="295">
        <f t="shared" si="3"/>
        <v>0</v>
      </c>
      <c r="L232" s="301"/>
      <c r="M232" s="295"/>
    </row>
    <row r="233" spans="8:13" x14ac:dyDescent="0.2">
      <c r="H233" s="301">
        <v>42526</v>
      </c>
      <c r="I233" s="295">
        <v>-1.5E-3</v>
      </c>
      <c r="J233" s="295">
        <f t="shared" si="3"/>
        <v>-1.5E-3</v>
      </c>
      <c r="L233" s="301"/>
      <c r="M233" s="295"/>
    </row>
    <row r="234" spans="8:13" x14ac:dyDescent="0.2">
      <c r="H234" s="301">
        <v>42533</v>
      </c>
      <c r="I234" s="295">
        <v>-1.1900000000000001E-2</v>
      </c>
      <c r="J234" s="295">
        <f t="shared" si="3"/>
        <v>-1.1900000000000001E-2</v>
      </c>
      <c r="L234" s="301"/>
      <c r="M234" s="295"/>
    </row>
    <row r="235" spans="8:13" x14ac:dyDescent="0.2">
      <c r="H235" s="301">
        <v>42540</v>
      </c>
      <c r="I235" s="295">
        <v>-1.6299999999999999E-2</v>
      </c>
      <c r="J235" s="295">
        <f t="shared" si="3"/>
        <v>-1.6299999999999999E-2</v>
      </c>
      <c r="L235" s="301"/>
      <c r="M235" s="295"/>
    </row>
    <row r="236" spans="8:13" x14ac:dyDescent="0.2">
      <c r="H236" s="301">
        <v>42547</v>
      </c>
      <c r="I236" s="295">
        <v>3.2199999999999999E-2</v>
      </c>
      <c r="J236" s="295">
        <f t="shared" si="3"/>
        <v>3.2199999999999999E-2</v>
      </c>
      <c r="L236" s="301"/>
      <c r="M236" s="295"/>
    </row>
    <row r="237" spans="8:13" x14ac:dyDescent="0.2">
      <c r="H237" s="301">
        <v>42554</v>
      </c>
      <c r="I237" s="295">
        <v>1.2800000000000001E-2</v>
      </c>
      <c r="J237" s="295">
        <f t="shared" si="3"/>
        <v>1.2800000000000001E-2</v>
      </c>
      <c r="L237" s="301"/>
      <c r="M237" s="295"/>
    </row>
    <row r="238" spans="8:13" x14ac:dyDescent="0.2">
      <c r="H238" s="301">
        <v>42561</v>
      </c>
      <c r="I238" s="295">
        <v>1.49E-2</v>
      </c>
      <c r="J238" s="295">
        <f t="shared" si="3"/>
        <v>1.49E-2</v>
      </c>
      <c r="L238" s="301"/>
      <c r="M238" s="295"/>
    </row>
    <row r="239" spans="8:13" x14ac:dyDescent="0.2">
      <c r="H239" s="301">
        <v>42568</v>
      </c>
      <c r="I239" s="295">
        <v>6.1000000000000004E-3</v>
      </c>
      <c r="J239" s="295">
        <f t="shared" si="3"/>
        <v>6.1000000000000004E-3</v>
      </c>
      <c r="L239" s="301"/>
      <c r="M239" s="295"/>
    </row>
    <row r="240" spans="8:13" x14ac:dyDescent="0.2">
      <c r="H240" s="301">
        <v>42575</v>
      </c>
      <c r="I240" s="295">
        <v>-6.9999999999999999E-4</v>
      </c>
      <c r="J240" s="295">
        <f t="shared" si="3"/>
        <v>-6.9999999999999999E-4</v>
      </c>
      <c r="L240" s="301"/>
      <c r="M240" s="295"/>
    </row>
    <row r="241" spans="8:13" x14ac:dyDescent="0.2">
      <c r="H241" s="301">
        <v>42582</v>
      </c>
      <c r="I241" s="295">
        <v>4.3E-3</v>
      </c>
      <c r="J241" s="295">
        <f t="shared" si="3"/>
        <v>4.3E-3</v>
      </c>
      <c r="L241" s="301"/>
      <c r="M241" s="295"/>
    </row>
    <row r="242" spans="8:13" x14ac:dyDescent="0.2">
      <c r="H242" s="301">
        <v>42589</v>
      </c>
      <c r="I242" s="295">
        <v>5.0000000000000001E-4</v>
      </c>
      <c r="J242" s="295">
        <f t="shared" si="3"/>
        <v>5.0000000000000001E-4</v>
      </c>
      <c r="L242" s="301"/>
      <c r="M242" s="295"/>
    </row>
    <row r="243" spans="8:13" x14ac:dyDescent="0.2">
      <c r="H243" s="301">
        <v>42596</v>
      </c>
      <c r="I243" s="295">
        <v>-1E-4</v>
      </c>
      <c r="J243" s="295">
        <f t="shared" si="3"/>
        <v>-1E-4</v>
      </c>
      <c r="L243" s="301"/>
      <c r="M243" s="295"/>
    </row>
    <row r="244" spans="8:13" x14ac:dyDescent="0.2">
      <c r="H244" s="301">
        <v>42603</v>
      </c>
      <c r="I244" s="295">
        <v>-6.7999999999999996E-3</v>
      </c>
      <c r="J244" s="295">
        <f t="shared" si="3"/>
        <v>-6.7999999999999996E-3</v>
      </c>
      <c r="L244" s="301"/>
      <c r="M244" s="295"/>
    </row>
    <row r="245" spans="8:13" x14ac:dyDescent="0.2">
      <c r="H245" s="301">
        <v>42610</v>
      </c>
      <c r="I245" s="295">
        <v>5.0000000000000001E-3</v>
      </c>
      <c r="J245" s="295">
        <f t="shared" si="3"/>
        <v>5.0000000000000001E-3</v>
      </c>
      <c r="L245" s="301"/>
      <c r="M245" s="295"/>
    </row>
    <row r="246" spans="8:13" x14ac:dyDescent="0.2">
      <c r="H246" s="301">
        <v>42617</v>
      </c>
      <c r="I246" s="295">
        <v>-2.3900000000000001E-2</v>
      </c>
      <c r="J246" s="295">
        <f t="shared" si="3"/>
        <v>-2.3900000000000001E-2</v>
      </c>
      <c r="L246" s="301"/>
      <c r="M246" s="295"/>
    </row>
    <row r="247" spans="8:13" x14ac:dyDescent="0.2">
      <c r="H247" s="301">
        <v>42624</v>
      </c>
      <c r="I247" s="295">
        <v>5.3E-3</v>
      </c>
      <c r="J247" s="295">
        <f t="shared" si="3"/>
        <v>5.3E-3</v>
      </c>
      <c r="L247" s="301"/>
      <c r="M247" s="295"/>
    </row>
    <row r="248" spans="8:13" x14ac:dyDescent="0.2">
      <c r="H248" s="301">
        <v>42631</v>
      </c>
      <c r="I248" s="295">
        <v>1.1900000000000001E-2</v>
      </c>
      <c r="J248" s="295">
        <f t="shared" si="3"/>
        <v>1.1900000000000001E-2</v>
      </c>
      <c r="L248" s="301"/>
      <c r="M248" s="295"/>
    </row>
    <row r="249" spans="8:13" x14ac:dyDescent="0.2">
      <c r="H249" s="301">
        <v>42638</v>
      </c>
      <c r="I249" s="295">
        <v>1.6999999999999999E-3</v>
      </c>
      <c r="J249" s="295">
        <f t="shared" si="3"/>
        <v>1.6999999999999999E-3</v>
      </c>
      <c r="L249" s="301"/>
      <c r="M249" s="295"/>
    </row>
    <row r="250" spans="8:13" x14ac:dyDescent="0.2">
      <c r="H250" s="301">
        <v>42645</v>
      </c>
      <c r="I250" s="295">
        <v>-6.7000000000000002E-3</v>
      </c>
      <c r="J250" s="295">
        <f t="shared" si="3"/>
        <v>-6.7000000000000002E-3</v>
      </c>
      <c r="L250" s="301"/>
      <c r="M250" s="295"/>
    </row>
    <row r="251" spans="8:13" x14ac:dyDescent="0.2">
      <c r="H251" s="301">
        <v>42652</v>
      </c>
      <c r="I251" s="295">
        <v>-9.5999999999999992E-3</v>
      </c>
      <c r="J251" s="295">
        <f t="shared" si="3"/>
        <v>-9.5999999999999992E-3</v>
      </c>
      <c r="L251" s="301"/>
      <c r="M251" s="295"/>
    </row>
    <row r="252" spans="8:13" x14ac:dyDescent="0.2">
      <c r="H252" s="301">
        <v>42659</v>
      </c>
      <c r="I252" s="295">
        <v>3.8E-3</v>
      </c>
      <c r="J252" s="295">
        <f t="shared" si="3"/>
        <v>3.8E-3</v>
      </c>
      <c r="L252" s="301"/>
      <c r="M252" s="295"/>
    </row>
    <row r="253" spans="8:13" x14ac:dyDescent="0.2">
      <c r="H253" s="301">
        <v>42666</v>
      </c>
      <c r="I253" s="295">
        <v>-6.8999999999999999E-3</v>
      </c>
      <c r="J253" s="295">
        <f t="shared" si="3"/>
        <v>-6.8999999999999999E-3</v>
      </c>
      <c r="L253" s="301"/>
      <c r="M253" s="295"/>
    </row>
    <row r="254" spans="8:13" x14ac:dyDescent="0.2">
      <c r="H254" s="301">
        <v>42673</v>
      </c>
      <c r="I254" s="295">
        <v>-1.9400000000000001E-2</v>
      </c>
      <c r="J254" s="295">
        <f t="shared" si="3"/>
        <v>-1.9400000000000001E-2</v>
      </c>
      <c r="L254" s="301"/>
      <c r="M254" s="295"/>
    </row>
    <row r="255" spans="8:13" x14ac:dyDescent="0.2">
      <c r="H255" s="301">
        <v>42680</v>
      </c>
      <c r="I255" s="295">
        <v>3.7999999999999999E-2</v>
      </c>
      <c r="J255" s="295">
        <f t="shared" si="3"/>
        <v>3.7999999999999999E-2</v>
      </c>
      <c r="L255" s="301"/>
      <c r="M255" s="295"/>
    </row>
    <row r="256" spans="8:13" x14ac:dyDescent="0.2">
      <c r="H256" s="301">
        <v>42687</v>
      </c>
      <c r="I256" s="295">
        <v>8.0999999999999996E-3</v>
      </c>
      <c r="J256" s="295">
        <f t="shared" si="3"/>
        <v>8.0999999999999996E-3</v>
      </c>
      <c r="L256" s="301"/>
      <c r="M256" s="295"/>
    </row>
    <row r="257" spans="8:13" x14ac:dyDescent="0.2">
      <c r="H257" s="301">
        <v>42694</v>
      </c>
      <c r="I257" s="295">
        <v>1.44E-2</v>
      </c>
      <c r="J257" s="295">
        <f t="shared" si="3"/>
        <v>1.44E-2</v>
      </c>
      <c r="L257" s="301"/>
      <c r="M257" s="295"/>
    </row>
    <row r="258" spans="8:13" x14ac:dyDescent="0.2">
      <c r="H258" s="301">
        <v>42701</v>
      </c>
      <c r="I258" s="295">
        <v>-9.7000000000000003E-3</v>
      </c>
      <c r="J258" s="295">
        <f t="shared" si="3"/>
        <v>-9.7000000000000003E-3</v>
      </c>
      <c r="L258" s="301"/>
      <c r="M258" s="295"/>
    </row>
    <row r="259" spans="8:13" x14ac:dyDescent="0.2">
      <c r="H259" s="301">
        <v>42708</v>
      </c>
      <c r="I259" s="295">
        <v>3.0800000000000001E-2</v>
      </c>
      <c r="J259" s="295">
        <f t="shared" si="3"/>
        <v>3.0800000000000001E-2</v>
      </c>
      <c r="L259" s="301"/>
      <c r="M259" s="295"/>
    </row>
    <row r="260" spans="8:13" x14ac:dyDescent="0.2">
      <c r="H260" s="301">
        <v>42715</v>
      </c>
      <c r="I260" s="295">
        <v>-5.9999999999999995E-4</v>
      </c>
      <c r="J260" s="295">
        <f t="shared" si="3"/>
        <v>-5.9999999999999995E-4</v>
      </c>
      <c r="L260" s="301"/>
      <c r="M260" s="295"/>
    </row>
    <row r="261" spans="8:13" x14ac:dyDescent="0.2">
      <c r="H261" s="301">
        <v>42722</v>
      </c>
      <c r="I261" s="295">
        <v>2.5000000000000001E-3</v>
      </c>
      <c r="J261" s="295">
        <f t="shared" si="3"/>
        <v>2.5000000000000001E-3</v>
      </c>
      <c r="L261" s="301"/>
      <c r="M261" s="295"/>
    </row>
    <row r="262" spans="8:13" x14ac:dyDescent="0.2">
      <c r="H262" s="301">
        <v>42729</v>
      </c>
      <c r="I262" s="295">
        <v>-1.0999999999999999E-2</v>
      </c>
      <c r="J262" s="295">
        <f t="shared" si="3"/>
        <v>-1.0999999999999999E-2</v>
      </c>
      <c r="L262" s="301"/>
      <c r="M262" s="295"/>
    </row>
    <row r="263" spans="8:13" x14ac:dyDescent="0.2">
      <c r="H263" s="301">
        <v>42736</v>
      </c>
      <c r="I263" s="295">
        <v>1.7000000000000001E-2</v>
      </c>
      <c r="J263" s="295">
        <f t="shared" si="3"/>
        <v>1.7000000000000001E-2</v>
      </c>
      <c r="L263" s="301"/>
      <c r="M263" s="295"/>
    </row>
    <row r="264" spans="8:13" x14ac:dyDescent="0.2">
      <c r="H264" s="301">
        <v>42743</v>
      </c>
      <c r="I264" s="295">
        <v>-1E-3</v>
      </c>
      <c r="J264" s="295">
        <f t="shared" si="3"/>
        <v>-1E-3</v>
      </c>
      <c r="L264" s="301"/>
      <c r="M264" s="295"/>
    </row>
    <row r="265" spans="8:13" x14ac:dyDescent="0.2">
      <c r="H265" s="301">
        <v>42750</v>
      </c>
      <c r="I265" s="295">
        <v>-1.5E-3</v>
      </c>
      <c r="J265" s="295">
        <f t="shared" si="3"/>
        <v>-1.5E-3</v>
      </c>
      <c r="L265" s="301"/>
      <c r="M265" s="295"/>
    </row>
    <row r="266" spans="8:13" x14ac:dyDescent="0.2">
      <c r="H266" s="301">
        <v>42757</v>
      </c>
      <c r="I266" s="295">
        <v>1.03E-2</v>
      </c>
      <c r="J266" s="295">
        <f t="shared" si="3"/>
        <v>1.03E-2</v>
      </c>
      <c r="L266" s="301"/>
      <c r="M266" s="295"/>
    </row>
    <row r="267" spans="8:13" x14ac:dyDescent="0.2">
      <c r="H267" s="301">
        <v>42764</v>
      </c>
      <c r="I267" s="295">
        <v>1.1999999999999999E-3</v>
      </c>
      <c r="J267" s="295">
        <f t="shared" si="3"/>
        <v>1.1999999999999999E-3</v>
      </c>
      <c r="L267" s="301"/>
      <c r="M267" s="295"/>
    </row>
    <row r="268" spans="8:13" x14ac:dyDescent="0.2">
      <c r="H268" s="301">
        <v>42771</v>
      </c>
      <c r="I268" s="295">
        <v>8.0999999999999996E-3</v>
      </c>
      <c r="J268" s="295">
        <f t="shared" si="3"/>
        <v>8.0999999999999996E-3</v>
      </c>
      <c r="L268" s="301"/>
      <c r="M268" s="295"/>
    </row>
    <row r="269" spans="8:13" x14ac:dyDescent="0.2">
      <c r="H269" s="301">
        <v>42778</v>
      </c>
      <c r="I269" s="295">
        <v>1.5100000000000001E-2</v>
      </c>
      <c r="J269" s="295">
        <f t="shared" si="3"/>
        <v>1.5100000000000001E-2</v>
      </c>
      <c r="L269" s="301"/>
      <c r="M269" s="295"/>
    </row>
    <row r="270" spans="8:13" x14ac:dyDescent="0.2">
      <c r="H270" s="301">
        <v>42785</v>
      </c>
      <c r="I270" s="295">
        <v>6.8999999999999999E-3</v>
      </c>
      <c r="J270" s="295">
        <f t="shared" si="3"/>
        <v>6.8999999999999999E-3</v>
      </c>
      <c r="L270" s="301"/>
      <c r="M270" s="295"/>
    </row>
    <row r="271" spans="8:13" x14ac:dyDescent="0.2">
      <c r="H271" s="301">
        <v>42792</v>
      </c>
      <c r="I271" s="295">
        <v>6.7000000000000002E-3</v>
      </c>
      <c r="J271" s="295">
        <f t="shared" si="3"/>
        <v>6.7000000000000002E-3</v>
      </c>
      <c r="L271" s="301"/>
      <c r="M271" s="295"/>
    </row>
    <row r="272" spans="8:13" x14ac:dyDescent="0.2">
      <c r="H272" s="301">
        <v>42799</v>
      </c>
      <c r="I272" s="295">
        <v>-4.4000000000000003E-3</v>
      </c>
      <c r="J272" s="295">
        <f t="shared" si="3"/>
        <v>-4.4000000000000003E-3</v>
      </c>
      <c r="L272" s="301"/>
      <c r="M272" s="295"/>
    </row>
    <row r="273" spans="8:13" x14ac:dyDescent="0.2">
      <c r="H273" s="301">
        <v>42806</v>
      </c>
      <c r="I273" s="295">
        <v>2.3999999999999998E-3</v>
      </c>
      <c r="J273" s="295">
        <f t="shared" si="3"/>
        <v>2.3999999999999998E-3</v>
      </c>
      <c r="L273" s="301"/>
      <c r="M273" s="295"/>
    </row>
    <row r="274" spans="8:13" x14ac:dyDescent="0.2">
      <c r="H274" s="301">
        <v>42813</v>
      </c>
      <c r="I274" s="295">
        <v>-1.44E-2</v>
      </c>
      <c r="J274" s="295">
        <f t="shared" ref="J274:J337" si="4">I274-M274</f>
        <v>-1.44E-2</v>
      </c>
      <c r="L274" s="301"/>
      <c r="M274" s="295"/>
    </row>
    <row r="275" spans="8:13" x14ac:dyDescent="0.2">
      <c r="H275" s="301">
        <v>42820</v>
      </c>
      <c r="I275" s="295">
        <v>8.0000000000000002E-3</v>
      </c>
      <c r="J275" s="295">
        <f t="shared" si="4"/>
        <v>8.0000000000000002E-3</v>
      </c>
      <c r="L275" s="301"/>
      <c r="M275" s="295"/>
    </row>
    <row r="276" spans="8:13" x14ac:dyDescent="0.2">
      <c r="H276" s="301">
        <v>42827</v>
      </c>
      <c r="I276" s="295">
        <v>-3.0000000000000001E-3</v>
      </c>
      <c r="J276" s="295">
        <f t="shared" si="4"/>
        <v>-3.0000000000000001E-3</v>
      </c>
      <c r="L276" s="301"/>
      <c r="M276" s="295"/>
    </row>
    <row r="277" spans="8:13" x14ac:dyDescent="0.2">
      <c r="H277" s="301">
        <v>42834</v>
      </c>
      <c r="I277" s="295">
        <v>-1.1299999999999999E-2</v>
      </c>
      <c r="J277" s="295">
        <f t="shared" si="4"/>
        <v>-1.1299999999999999E-2</v>
      </c>
      <c r="L277" s="301"/>
      <c r="M277" s="295"/>
    </row>
    <row r="278" spans="8:13" x14ac:dyDescent="0.2">
      <c r="H278" s="301">
        <v>42841</v>
      </c>
      <c r="I278" s="295">
        <v>8.5000000000000006E-3</v>
      </c>
      <c r="J278" s="295">
        <f t="shared" si="4"/>
        <v>8.5000000000000006E-3</v>
      </c>
      <c r="L278" s="301"/>
      <c r="M278" s="295"/>
    </row>
    <row r="279" spans="8:13" x14ac:dyDescent="0.2">
      <c r="H279" s="301">
        <v>42848</v>
      </c>
      <c r="I279" s="295">
        <v>1.5100000000000001E-2</v>
      </c>
      <c r="J279" s="295">
        <f t="shared" si="4"/>
        <v>1.5100000000000001E-2</v>
      </c>
      <c r="L279" s="301"/>
      <c r="M279" s="295"/>
    </row>
    <row r="280" spans="8:13" x14ac:dyDescent="0.2">
      <c r="H280" s="301">
        <v>42855</v>
      </c>
      <c r="I280" s="295">
        <v>6.3E-3</v>
      </c>
      <c r="J280" s="295">
        <f t="shared" si="4"/>
        <v>6.3E-3</v>
      </c>
      <c r="L280" s="301"/>
      <c r="M280" s="295"/>
    </row>
    <row r="281" spans="8:13" x14ac:dyDescent="0.2">
      <c r="H281" s="301">
        <v>42862</v>
      </c>
      <c r="I281" s="295">
        <v>-3.5000000000000001E-3</v>
      </c>
      <c r="J281" s="295">
        <f t="shared" si="4"/>
        <v>-3.5000000000000001E-3</v>
      </c>
      <c r="L281" s="301"/>
      <c r="M281" s="295"/>
    </row>
    <row r="282" spans="8:13" x14ac:dyDescent="0.2">
      <c r="H282" s="301">
        <v>42869</v>
      </c>
      <c r="I282" s="295">
        <v>-3.8E-3</v>
      </c>
      <c r="J282" s="295">
        <f t="shared" si="4"/>
        <v>-3.8E-3</v>
      </c>
      <c r="L282" s="301"/>
      <c r="M282" s="295"/>
    </row>
    <row r="283" spans="8:13" x14ac:dyDescent="0.2">
      <c r="H283" s="301">
        <v>42876</v>
      </c>
      <c r="I283" s="295">
        <v>1.43E-2</v>
      </c>
      <c r="J283" s="295">
        <f t="shared" si="4"/>
        <v>1.43E-2</v>
      </c>
      <c r="L283" s="301"/>
      <c r="M283" s="295"/>
    </row>
    <row r="284" spans="8:13" x14ac:dyDescent="0.2">
      <c r="H284" s="301">
        <v>42883</v>
      </c>
      <c r="I284" s="295">
        <v>9.5999999999999992E-3</v>
      </c>
      <c r="J284" s="295">
        <f t="shared" si="4"/>
        <v>9.5999999999999992E-3</v>
      </c>
      <c r="L284" s="301"/>
      <c r="M284" s="295"/>
    </row>
    <row r="285" spans="8:13" x14ac:dyDescent="0.2">
      <c r="H285" s="301">
        <v>42890</v>
      </c>
      <c r="I285" s="295">
        <v>-3.0000000000000001E-3</v>
      </c>
      <c r="J285" s="295">
        <f t="shared" si="4"/>
        <v>-3.0000000000000001E-3</v>
      </c>
      <c r="L285" s="301"/>
      <c r="M285" s="295"/>
    </row>
    <row r="286" spans="8:13" x14ac:dyDescent="0.2">
      <c r="H286" s="301">
        <v>42897</v>
      </c>
      <c r="I286" s="295">
        <v>5.9999999999999995E-4</v>
      </c>
      <c r="J286" s="295">
        <f t="shared" si="4"/>
        <v>5.9999999999999995E-4</v>
      </c>
      <c r="L286" s="301"/>
      <c r="M286" s="295"/>
    </row>
    <row r="287" spans="8:13" x14ac:dyDescent="0.2">
      <c r="H287" s="301">
        <v>42904</v>
      </c>
      <c r="I287" s="295">
        <v>2.0999999999999999E-3</v>
      </c>
      <c r="J287" s="295">
        <f t="shared" si="4"/>
        <v>2.0999999999999999E-3</v>
      </c>
      <c r="L287" s="301"/>
      <c r="M287" s="295"/>
    </row>
    <row r="288" spans="8:13" x14ac:dyDescent="0.2">
      <c r="H288" s="301">
        <v>42911</v>
      </c>
      <c r="I288" s="295">
        <v>-6.1000000000000004E-3</v>
      </c>
      <c r="J288" s="295">
        <f t="shared" si="4"/>
        <v>-6.1000000000000004E-3</v>
      </c>
      <c r="L288" s="301"/>
      <c r="M288" s="295"/>
    </row>
    <row r="289" spans="8:13" x14ac:dyDescent="0.2">
      <c r="H289" s="301">
        <v>42918</v>
      </c>
      <c r="I289" s="295">
        <v>6.9999999999999999E-4</v>
      </c>
      <c r="J289" s="295">
        <f t="shared" si="4"/>
        <v>6.9999999999999999E-4</v>
      </c>
      <c r="L289" s="301"/>
      <c r="M289" s="295"/>
    </row>
    <row r="290" spans="8:13" x14ac:dyDescent="0.2">
      <c r="H290" s="301">
        <v>42925</v>
      </c>
      <c r="I290" s="295">
        <v>1.41E-2</v>
      </c>
      <c r="J290" s="295">
        <f t="shared" si="4"/>
        <v>1.41E-2</v>
      </c>
      <c r="L290" s="301"/>
      <c r="M290" s="295"/>
    </row>
    <row r="291" spans="8:13" x14ac:dyDescent="0.2">
      <c r="H291" s="301">
        <v>42932</v>
      </c>
      <c r="I291" s="295">
        <v>5.4000000000000003E-3</v>
      </c>
      <c r="J291" s="295">
        <f t="shared" si="4"/>
        <v>5.4000000000000003E-3</v>
      </c>
      <c r="L291" s="301"/>
      <c r="M291" s="295"/>
    </row>
    <row r="292" spans="8:13" x14ac:dyDescent="0.2">
      <c r="H292" s="301">
        <v>42939</v>
      </c>
      <c r="I292" s="295">
        <v>-2.0000000000000001E-4</v>
      </c>
      <c r="J292" s="295">
        <f t="shared" si="4"/>
        <v>-2.0000000000000001E-4</v>
      </c>
      <c r="L292" s="301"/>
      <c r="M292" s="295"/>
    </row>
    <row r="293" spans="8:13" x14ac:dyDescent="0.2">
      <c r="H293" s="301">
        <v>42946</v>
      </c>
      <c r="I293" s="295">
        <v>1.9E-3</v>
      </c>
      <c r="J293" s="295">
        <f t="shared" si="4"/>
        <v>1.9E-3</v>
      </c>
      <c r="L293" s="301"/>
      <c r="M293" s="295"/>
    </row>
    <row r="294" spans="8:13" x14ac:dyDescent="0.2">
      <c r="H294" s="301">
        <v>42953</v>
      </c>
      <c r="I294" s="295">
        <v>-1.43E-2</v>
      </c>
      <c r="J294" s="295">
        <f t="shared" si="4"/>
        <v>-1.43E-2</v>
      </c>
      <c r="L294" s="301"/>
      <c r="M294" s="295"/>
    </row>
    <row r="295" spans="8:13" x14ac:dyDescent="0.2">
      <c r="H295" s="301">
        <v>42960</v>
      </c>
      <c r="I295" s="295">
        <v>-6.4999999999999997E-3</v>
      </c>
      <c r="J295" s="295">
        <f t="shared" si="4"/>
        <v>-6.4999999999999997E-3</v>
      </c>
      <c r="L295" s="301"/>
      <c r="M295" s="295"/>
    </row>
    <row r="296" spans="8:13" x14ac:dyDescent="0.2">
      <c r="H296" s="301">
        <v>42967</v>
      </c>
      <c r="I296" s="295">
        <v>7.1999999999999998E-3</v>
      </c>
      <c r="J296" s="295">
        <f t="shared" si="4"/>
        <v>7.1999999999999998E-3</v>
      </c>
      <c r="L296" s="301"/>
      <c r="M296" s="295"/>
    </row>
    <row r="297" spans="8:13" x14ac:dyDescent="0.2">
      <c r="H297" s="301">
        <v>42974</v>
      </c>
      <c r="I297" s="295">
        <v>1.37E-2</v>
      </c>
      <c r="J297" s="295">
        <f t="shared" si="4"/>
        <v>1.37E-2</v>
      </c>
      <c r="L297" s="301"/>
      <c r="M297" s="295"/>
    </row>
    <row r="298" spans="8:13" x14ac:dyDescent="0.2">
      <c r="H298" s="301">
        <v>42981</v>
      </c>
      <c r="I298" s="295">
        <v>-6.1000000000000004E-3</v>
      </c>
      <c r="J298" s="295">
        <f t="shared" si="4"/>
        <v>-6.1000000000000004E-3</v>
      </c>
      <c r="L298" s="301"/>
      <c r="M298" s="295"/>
    </row>
    <row r="299" spans="8:13" x14ac:dyDescent="0.2">
      <c r="H299" s="301">
        <v>42988</v>
      </c>
      <c r="I299" s="295">
        <v>1.5800000000000002E-2</v>
      </c>
      <c r="J299" s="295">
        <f t="shared" si="4"/>
        <v>1.5800000000000002E-2</v>
      </c>
      <c r="L299" s="301"/>
      <c r="M299" s="295"/>
    </row>
    <row r="300" spans="8:13" x14ac:dyDescent="0.2">
      <c r="H300" s="301">
        <v>42995</v>
      </c>
      <c r="I300" s="295">
        <v>8.0000000000000004E-4</v>
      </c>
      <c r="J300" s="295">
        <f t="shared" si="4"/>
        <v>8.0000000000000004E-4</v>
      </c>
      <c r="L300" s="301"/>
      <c r="M300" s="295"/>
    </row>
    <row r="301" spans="8:13" x14ac:dyDescent="0.2">
      <c r="H301" s="301">
        <v>43002</v>
      </c>
      <c r="I301" s="295">
        <v>6.7999999999999996E-3</v>
      </c>
      <c r="J301" s="295">
        <f t="shared" si="4"/>
        <v>6.7999999999999996E-3</v>
      </c>
      <c r="L301" s="301"/>
      <c r="M301" s="295"/>
    </row>
    <row r="302" spans="8:13" x14ac:dyDescent="0.2">
      <c r="H302" s="301">
        <v>43009</v>
      </c>
      <c r="I302" s="295">
        <v>1.1900000000000001E-2</v>
      </c>
      <c r="J302" s="295">
        <f t="shared" si="4"/>
        <v>1.1900000000000001E-2</v>
      </c>
      <c r="L302" s="301"/>
      <c r="M302" s="295"/>
    </row>
    <row r="303" spans="8:13" x14ac:dyDescent="0.2">
      <c r="H303" s="301">
        <v>43016</v>
      </c>
      <c r="I303" s="295">
        <v>1.5E-3</v>
      </c>
      <c r="J303" s="295">
        <f t="shared" si="4"/>
        <v>1.5E-3</v>
      </c>
      <c r="L303" s="301"/>
      <c r="M303" s="295"/>
    </row>
    <row r="304" spans="8:13" x14ac:dyDescent="0.2">
      <c r="H304" s="301">
        <v>43023</v>
      </c>
      <c r="I304" s="295">
        <v>8.6E-3</v>
      </c>
      <c r="J304" s="295">
        <f t="shared" si="4"/>
        <v>8.6E-3</v>
      </c>
      <c r="L304" s="301"/>
      <c r="M304" s="295"/>
    </row>
    <row r="305" spans="8:13" x14ac:dyDescent="0.2">
      <c r="H305" s="301">
        <v>43030</v>
      </c>
      <c r="I305" s="295">
        <v>2.3E-3</v>
      </c>
      <c r="J305" s="295">
        <f t="shared" si="4"/>
        <v>2.3E-3</v>
      </c>
      <c r="L305" s="301"/>
      <c r="M305" s="295"/>
    </row>
    <row r="306" spans="8:13" x14ac:dyDescent="0.2">
      <c r="H306" s="301">
        <v>43037</v>
      </c>
      <c r="I306" s="295">
        <v>2.5999999999999999E-3</v>
      </c>
      <c r="J306" s="295">
        <f t="shared" si="4"/>
        <v>2.5999999999999999E-3</v>
      </c>
      <c r="L306" s="301"/>
      <c r="M306" s="295"/>
    </row>
    <row r="307" spans="8:13" x14ac:dyDescent="0.2">
      <c r="H307" s="301">
        <v>43044</v>
      </c>
      <c r="I307" s="295">
        <v>-2.0999999999999999E-3</v>
      </c>
      <c r="J307" s="295">
        <f t="shared" si="4"/>
        <v>-2.0999999999999999E-3</v>
      </c>
      <c r="L307" s="301"/>
      <c r="M307" s="295"/>
    </row>
    <row r="308" spans="8:13" x14ac:dyDescent="0.2">
      <c r="H308" s="301">
        <v>43051</v>
      </c>
      <c r="I308" s="295">
        <v>-1.2999999999999999E-3</v>
      </c>
      <c r="J308" s="295">
        <f t="shared" si="4"/>
        <v>-1.2999999999999999E-3</v>
      </c>
      <c r="L308" s="301"/>
      <c r="M308" s="295"/>
    </row>
    <row r="309" spans="8:13" x14ac:dyDescent="0.2">
      <c r="H309" s="301">
        <v>43058</v>
      </c>
      <c r="I309" s="295">
        <v>9.1000000000000004E-3</v>
      </c>
      <c r="J309" s="295">
        <f t="shared" si="4"/>
        <v>9.1000000000000004E-3</v>
      </c>
      <c r="L309" s="301"/>
      <c r="M309" s="295"/>
    </row>
    <row r="310" spans="8:13" x14ac:dyDescent="0.2">
      <c r="H310" s="301">
        <v>43065</v>
      </c>
      <c r="I310" s="295">
        <v>1.5299999999999999E-2</v>
      </c>
      <c r="J310" s="295">
        <f t="shared" si="4"/>
        <v>1.5299999999999999E-2</v>
      </c>
      <c r="L310" s="301"/>
      <c r="M310" s="295"/>
    </row>
    <row r="311" spans="8:13" x14ac:dyDescent="0.2">
      <c r="H311" s="301">
        <v>43072</v>
      </c>
      <c r="I311" s="295">
        <v>3.5000000000000001E-3</v>
      </c>
      <c r="J311" s="295">
        <f t="shared" si="4"/>
        <v>3.5000000000000001E-3</v>
      </c>
      <c r="L311" s="301"/>
      <c r="M311" s="295"/>
    </row>
    <row r="312" spans="8:13" x14ac:dyDescent="0.2">
      <c r="H312" s="301">
        <v>43079</v>
      </c>
      <c r="I312" s="295">
        <v>9.1999999999999998E-3</v>
      </c>
      <c r="J312" s="295">
        <f t="shared" si="4"/>
        <v>9.1999999999999998E-3</v>
      </c>
      <c r="L312" s="301"/>
      <c r="M312" s="295"/>
    </row>
    <row r="313" spans="8:13" x14ac:dyDescent="0.2">
      <c r="H313" s="301">
        <v>43086</v>
      </c>
      <c r="I313" s="295">
        <v>2.8E-3</v>
      </c>
      <c r="J313" s="295">
        <f t="shared" si="4"/>
        <v>2.8E-3</v>
      </c>
      <c r="L313" s="301"/>
      <c r="M313" s="295"/>
    </row>
    <row r="314" spans="8:13" x14ac:dyDescent="0.2">
      <c r="H314" s="301">
        <v>43093</v>
      </c>
      <c r="I314" s="295">
        <v>-3.5999999999999999E-3</v>
      </c>
      <c r="J314" s="295">
        <f t="shared" si="4"/>
        <v>-3.5999999999999999E-3</v>
      </c>
      <c r="L314" s="301"/>
      <c r="M314" s="295"/>
    </row>
    <row r="315" spans="8:13" x14ac:dyDescent="0.2">
      <c r="H315" s="301">
        <v>43100</v>
      </c>
      <c r="I315" s="295">
        <v>2.5999999999999999E-2</v>
      </c>
      <c r="J315" s="295">
        <f t="shared" si="4"/>
        <v>2.5999999999999999E-2</v>
      </c>
      <c r="L315" s="301"/>
      <c r="M315" s="295"/>
    </row>
    <row r="316" spans="8:13" x14ac:dyDescent="0.2">
      <c r="H316" s="301">
        <v>43107</v>
      </c>
      <c r="I316" s="295">
        <v>1.5699999999999999E-2</v>
      </c>
      <c r="J316" s="295">
        <f t="shared" si="4"/>
        <v>1.5699999999999999E-2</v>
      </c>
      <c r="L316" s="301"/>
      <c r="M316" s="295"/>
    </row>
    <row r="317" spans="8:13" x14ac:dyDescent="0.2">
      <c r="H317" s="301">
        <v>43114</v>
      </c>
      <c r="I317" s="295">
        <v>8.6E-3</v>
      </c>
      <c r="J317" s="295">
        <f t="shared" si="4"/>
        <v>8.6E-3</v>
      </c>
      <c r="L317" s="301"/>
      <c r="M317" s="295"/>
    </row>
    <row r="318" spans="8:13" x14ac:dyDescent="0.2">
      <c r="H318" s="301">
        <v>43121</v>
      </c>
      <c r="I318" s="295">
        <v>2.23E-2</v>
      </c>
      <c r="J318" s="295">
        <f t="shared" si="4"/>
        <v>2.23E-2</v>
      </c>
      <c r="L318" s="301"/>
      <c r="M318" s="295"/>
    </row>
    <row r="319" spans="8:13" x14ac:dyDescent="0.2">
      <c r="H319" s="301">
        <v>43128</v>
      </c>
      <c r="I319" s="295">
        <v>-3.85E-2</v>
      </c>
      <c r="J319" s="295">
        <f t="shared" si="4"/>
        <v>-3.85E-2</v>
      </c>
      <c r="L319" s="301"/>
      <c r="M319" s="295"/>
    </row>
    <row r="320" spans="8:13" x14ac:dyDescent="0.2">
      <c r="H320" s="301">
        <v>43135</v>
      </c>
      <c r="I320" s="295">
        <v>-5.16E-2</v>
      </c>
      <c r="J320" s="295">
        <f t="shared" si="4"/>
        <v>-5.16E-2</v>
      </c>
      <c r="L320" s="301"/>
      <c r="M320" s="295"/>
    </row>
    <row r="321" spans="8:13" x14ac:dyDescent="0.2">
      <c r="H321" s="301">
        <v>43142</v>
      </c>
      <c r="I321" s="295">
        <v>4.2999999999999997E-2</v>
      </c>
      <c r="J321" s="295">
        <f t="shared" si="4"/>
        <v>4.2999999999999997E-2</v>
      </c>
      <c r="L321" s="301"/>
      <c r="M321" s="295"/>
    </row>
    <row r="322" spans="8:13" x14ac:dyDescent="0.2">
      <c r="H322" s="301">
        <v>43149</v>
      </c>
      <c r="I322" s="295">
        <v>5.4999999999999997E-3</v>
      </c>
      <c r="J322" s="295">
        <f t="shared" si="4"/>
        <v>5.4999999999999997E-3</v>
      </c>
      <c r="L322" s="301"/>
      <c r="M322" s="295"/>
    </row>
    <row r="323" spans="8:13" x14ac:dyDescent="0.2">
      <c r="H323" s="301">
        <v>43156</v>
      </c>
      <c r="I323" s="295">
        <v>-2.0400000000000001E-2</v>
      </c>
      <c r="J323" s="295">
        <f t="shared" si="4"/>
        <v>-2.0400000000000001E-2</v>
      </c>
      <c r="L323" s="301"/>
      <c r="M323" s="295"/>
    </row>
    <row r="324" spans="8:13" x14ac:dyDescent="0.2">
      <c r="H324" s="301">
        <v>43163</v>
      </c>
      <c r="I324" s="295">
        <v>3.5400000000000001E-2</v>
      </c>
      <c r="J324" s="295">
        <f t="shared" si="4"/>
        <v>3.5400000000000001E-2</v>
      </c>
      <c r="L324" s="301"/>
      <c r="M324" s="295"/>
    </row>
    <row r="325" spans="8:13" x14ac:dyDescent="0.2">
      <c r="H325" s="301">
        <v>43170</v>
      </c>
      <c r="I325" s="295">
        <v>-1.24E-2</v>
      </c>
      <c r="J325" s="295">
        <f t="shared" si="4"/>
        <v>-1.24E-2</v>
      </c>
      <c r="L325" s="301"/>
      <c r="M325" s="295"/>
    </row>
    <row r="326" spans="8:13" x14ac:dyDescent="0.2">
      <c r="H326" s="301">
        <v>43177</v>
      </c>
      <c r="I326" s="295">
        <v>-5.9499999999999997E-2</v>
      </c>
      <c r="J326" s="295">
        <f t="shared" si="4"/>
        <v>-5.9499999999999997E-2</v>
      </c>
      <c r="L326" s="301"/>
      <c r="M326" s="295"/>
    </row>
    <row r="327" spans="8:13" x14ac:dyDescent="0.2">
      <c r="H327" s="301">
        <v>43184</v>
      </c>
      <c r="I327" s="295">
        <v>2.0299999999999999E-2</v>
      </c>
      <c r="J327" s="295">
        <f t="shared" si="4"/>
        <v>2.0299999999999999E-2</v>
      </c>
      <c r="L327" s="301"/>
      <c r="M327" s="295"/>
    </row>
    <row r="328" spans="8:13" x14ac:dyDescent="0.2">
      <c r="H328" s="301">
        <v>43191</v>
      </c>
      <c r="I328" s="295">
        <v>-1.38E-2</v>
      </c>
      <c r="J328" s="295">
        <f t="shared" si="4"/>
        <v>-1.38E-2</v>
      </c>
      <c r="L328" s="301"/>
      <c r="M328" s="295"/>
    </row>
    <row r="329" spans="8:13" x14ac:dyDescent="0.2">
      <c r="H329" s="301">
        <v>43198</v>
      </c>
      <c r="I329" s="295">
        <v>1.9900000000000001E-2</v>
      </c>
      <c r="J329" s="295">
        <f t="shared" si="4"/>
        <v>1.9900000000000001E-2</v>
      </c>
      <c r="L329" s="301"/>
      <c r="M329" s="295"/>
    </row>
    <row r="330" spans="8:13" x14ac:dyDescent="0.2">
      <c r="H330" s="301">
        <v>43205</v>
      </c>
      <c r="I330" s="295">
        <v>5.1999999999999998E-3</v>
      </c>
      <c r="J330" s="295">
        <f t="shared" si="4"/>
        <v>5.1999999999999998E-3</v>
      </c>
      <c r="L330" s="301"/>
      <c r="M330" s="295"/>
    </row>
    <row r="331" spans="8:13" x14ac:dyDescent="0.2">
      <c r="H331" s="301">
        <v>43212</v>
      </c>
      <c r="I331" s="295">
        <v>-1E-4</v>
      </c>
      <c r="J331" s="295">
        <f t="shared" si="4"/>
        <v>-1E-4</v>
      </c>
      <c r="L331" s="301"/>
      <c r="M331" s="295"/>
    </row>
    <row r="332" spans="8:13" x14ac:dyDescent="0.2">
      <c r="H332" s="301">
        <v>43219</v>
      </c>
      <c r="I332" s="295">
        <v>-2.3999999999999998E-3</v>
      </c>
      <c r="J332" s="295">
        <f t="shared" si="4"/>
        <v>-2.3999999999999998E-3</v>
      </c>
      <c r="L332" s="301"/>
      <c r="M332" s="295"/>
    </row>
    <row r="333" spans="8:13" x14ac:dyDescent="0.2">
      <c r="H333" s="301">
        <v>43226</v>
      </c>
      <c r="I333" s="295">
        <v>2.41E-2</v>
      </c>
      <c r="J333" s="295">
        <f t="shared" si="4"/>
        <v>2.41E-2</v>
      </c>
      <c r="L333" s="301"/>
      <c r="M333" s="295"/>
    </row>
    <row r="334" spans="8:13" x14ac:dyDescent="0.2">
      <c r="H334" s="301">
        <v>43233</v>
      </c>
      <c r="I334" s="295">
        <v>-5.4000000000000003E-3</v>
      </c>
      <c r="J334" s="295">
        <f t="shared" si="4"/>
        <v>-5.4000000000000003E-3</v>
      </c>
      <c r="L334" s="301"/>
      <c r="M334" s="295"/>
    </row>
    <row r="335" spans="8:13" x14ac:dyDescent="0.2">
      <c r="H335" s="301">
        <v>43240</v>
      </c>
      <c r="I335" s="295">
        <v>3.0999999999999999E-3</v>
      </c>
      <c r="J335" s="295">
        <f t="shared" si="4"/>
        <v>3.0999999999999999E-3</v>
      </c>
      <c r="L335" s="301"/>
      <c r="M335" s="295"/>
    </row>
    <row r="336" spans="8:13" x14ac:dyDescent="0.2">
      <c r="H336" s="301">
        <v>43247</v>
      </c>
      <c r="I336" s="295">
        <v>4.8999999999999998E-3</v>
      </c>
      <c r="J336" s="295">
        <f t="shared" si="4"/>
        <v>4.8999999999999998E-3</v>
      </c>
      <c r="L336" s="301"/>
      <c r="M336" s="295"/>
    </row>
    <row r="337" spans="8:13" x14ac:dyDescent="0.2">
      <c r="H337" s="301">
        <v>43254</v>
      </c>
      <c r="I337" s="295">
        <v>1.6199999999999999E-2</v>
      </c>
      <c r="J337" s="295">
        <f t="shared" si="4"/>
        <v>1.6199999999999999E-2</v>
      </c>
      <c r="L337" s="301"/>
      <c r="M337" s="295"/>
    </row>
    <row r="338" spans="8:13" x14ac:dyDescent="0.2">
      <c r="H338" s="301">
        <v>43261</v>
      </c>
      <c r="I338" s="295">
        <v>2.0000000000000001E-4</v>
      </c>
      <c r="J338" s="295">
        <f t="shared" ref="J338:J401" si="5">I338-M338</f>
        <v>2.0000000000000001E-4</v>
      </c>
      <c r="L338" s="301"/>
      <c r="M338" s="295"/>
    </row>
    <row r="339" spans="8:13" x14ac:dyDescent="0.2">
      <c r="H339" s="301">
        <v>43268</v>
      </c>
      <c r="I339" s="295">
        <v>-8.8999999999999999E-3</v>
      </c>
      <c r="J339" s="295">
        <f t="shared" si="5"/>
        <v>-8.8999999999999999E-3</v>
      </c>
      <c r="L339" s="301"/>
      <c r="M339" s="295"/>
    </row>
    <row r="340" spans="8:13" x14ac:dyDescent="0.2">
      <c r="H340" s="301">
        <v>43275</v>
      </c>
      <c r="I340" s="295">
        <v>-1.3299999999999999E-2</v>
      </c>
      <c r="J340" s="295">
        <f t="shared" si="5"/>
        <v>-1.3299999999999999E-2</v>
      </c>
      <c r="L340" s="301"/>
      <c r="M340" s="295"/>
    </row>
    <row r="341" spans="8:13" x14ac:dyDescent="0.2">
      <c r="H341" s="301">
        <v>43282</v>
      </c>
      <c r="I341" s="295">
        <v>1.52E-2</v>
      </c>
      <c r="J341" s="295">
        <f t="shared" si="5"/>
        <v>1.52E-2</v>
      </c>
      <c r="L341" s="301"/>
      <c r="M341" s="295"/>
    </row>
    <row r="342" spans="8:13" x14ac:dyDescent="0.2">
      <c r="H342" s="301">
        <v>43289</v>
      </c>
      <c r="I342" s="295">
        <v>1.4999999999999999E-2</v>
      </c>
      <c r="J342" s="295">
        <f t="shared" si="5"/>
        <v>1.4999999999999999E-2</v>
      </c>
      <c r="L342" s="301"/>
      <c r="M342" s="295"/>
    </row>
    <row r="343" spans="8:13" x14ac:dyDescent="0.2">
      <c r="H343" s="301">
        <v>43296</v>
      </c>
      <c r="I343" s="295">
        <v>2.0000000000000001E-4</v>
      </c>
      <c r="J343" s="295">
        <f t="shared" si="5"/>
        <v>2.0000000000000001E-4</v>
      </c>
      <c r="L343" s="301"/>
      <c r="M343" s="295"/>
    </row>
    <row r="344" spans="8:13" x14ac:dyDescent="0.2">
      <c r="H344" s="301">
        <v>43303</v>
      </c>
      <c r="I344" s="295">
        <v>6.1000000000000004E-3</v>
      </c>
      <c r="J344" s="295">
        <f t="shared" si="5"/>
        <v>6.1000000000000004E-3</v>
      </c>
      <c r="L344" s="301"/>
      <c r="M344" s="295"/>
    </row>
    <row r="345" spans="8:13" x14ac:dyDescent="0.2">
      <c r="H345" s="301">
        <v>43310</v>
      </c>
      <c r="I345" s="295">
        <v>7.6E-3</v>
      </c>
      <c r="J345" s="295">
        <f t="shared" si="5"/>
        <v>7.6E-3</v>
      </c>
      <c r="L345" s="301"/>
      <c r="M345" s="295"/>
    </row>
    <row r="346" spans="8:13" x14ac:dyDescent="0.2">
      <c r="H346" s="301">
        <v>43317</v>
      </c>
      <c r="I346" s="295">
        <v>-2.5000000000000001E-3</v>
      </c>
      <c r="J346" s="295">
        <f t="shared" si="5"/>
        <v>-2.5000000000000001E-3</v>
      </c>
      <c r="L346" s="301"/>
      <c r="M346" s="295"/>
    </row>
    <row r="347" spans="8:13" x14ac:dyDescent="0.2">
      <c r="H347" s="301">
        <v>43324</v>
      </c>
      <c r="I347" s="295">
        <v>5.8999999999999999E-3</v>
      </c>
      <c r="J347" s="295">
        <f t="shared" si="5"/>
        <v>5.8999999999999999E-3</v>
      </c>
      <c r="L347" s="301"/>
      <c r="M347" s="295"/>
    </row>
    <row r="348" spans="8:13" x14ac:dyDescent="0.2">
      <c r="H348" s="301">
        <v>43331</v>
      </c>
      <c r="I348" s="295">
        <v>8.6E-3</v>
      </c>
      <c r="J348" s="295">
        <f t="shared" si="5"/>
        <v>8.6E-3</v>
      </c>
      <c r="L348" s="301"/>
      <c r="M348" s="295"/>
    </row>
    <row r="349" spans="8:13" x14ac:dyDescent="0.2">
      <c r="H349" s="301">
        <v>43338</v>
      </c>
      <c r="I349" s="295">
        <v>9.2999999999999992E-3</v>
      </c>
      <c r="J349" s="295">
        <f t="shared" si="5"/>
        <v>9.2999999999999992E-3</v>
      </c>
      <c r="L349" s="301"/>
      <c r="M349" s="295"/>
    </row>
    <row r="350" spans="8:13" x14ac:dyDescent="0.2">
      <c r="H350" s="301">
        <v>43345</v>
      </c>
      <c r="I350" s="295">
        <v>-1.03E-2</v>
      </c>
      <c r="J350" s="295">
        <f t="shared" si="5"/>
        <v>-1.03E-2</v>
      </c>
      <c r="L350" s="301"/>
      <c r="M350" s="295"/>
    </row>
    <row r="351" spans="8:13" x14ac:dyDescent="0.2">
      <c r="H351" s="301">
        <v>43352</v>
      </c>
      <c r="I351" s="295">
        <v>1.1599999999999999E-2</v>
      </c>
      <c r="J351" s="295">
        <f t="shared" si="5"/>
        <v>1.1599999999999999E-2</v>
      </c>
      <c r="L351" s="301"/>
      <c r="M351" s="295"/>
    </row>
    <row r="352" spans="8:13" x14ac:dyDescent="0.2">
      <c r="H352" s="301">
        <v>43359</v>
      </c>
      <c r="I352" s="295">
        <v>8.5000000000000006E-3</v>
      </c>
      <c r="J352" s="295">
        <f t="shared" si="5"/>
        <v>8.5000000000000006E-3</v>
      </c>
      <c r="L352" s="301"/>
      <c r="M352" s="295"/>
    </row>
    <row r="353" spans="8:13" x14ac:dyDescent="0.2">
      <c r="H353" s="301">
        <v>43366</v>
      </c>
      <c r="I353" s="295">
        <v>-5.4000000000000003E-3</v>
      </c>
      <c r="J353" s="295">
        <f t="shared" si="5"/>
        <v>-5.4000000000000003E-3</v>
      </c>
      <c r="L353" s="301"/>
      <c r="M353" s="295"/>
    </row>
    <row r="354" spans="8:13" x14ac:dyDescent="0.2">
      <c r="H354" s="301">
        <v>43373</v>
      </c>
      <c r="I354" s="295">
        <v>-9.7000000000000003E-3</v>
      </c>
      <c r="J354" s="295">
        <f t="shared" si="5"/>
        <v>-9.7000000000000003E-3</v>
      </c>
      <c r="L354" s="301"/>
      <c r="M354" s="295"/>
    </row>
    <row r="355" spans="8:13" x14ac:dyDescent="0.2">
      <c r="H355" s="301">
        <v>43380</v>
      </c>
      <c r="I355" s="295">
        <v>-4.1000000000000002E-2</v>
      </c>
      <c r="J355" s="295">
        <f t="shared" si="5"/>
        <v>-4.1000000000000002E-2</v>
      </c>
      <c r="L355" s="301"/>
      <c r="M355" s="295"/>
    </row>
    <row r="356" spans="8:13" x14ac:dyDescent="0.2">
      <c r="H356" s="301">
        <v>43387</v>
      </c>
      <c r="I356" s="295">
        <v>2.0000000000000001E-4</v>
      </c>
      <c r="J356" s="295">
        <f t="shared" si="5"/>
        <v>2.0000000000000001E-4</v>
      </c>
      <c r="L356" s="301"/>
      <c r="M356" s="295"/>
    </row>
    <row r="357" spans="8:13" x14ac:dyDescent="0.2">
      <c r="H357" s="301">
        <v>43394</v>
      </c>
      <c r="I357" s="295">
        <v>-3.9399999999999998E-2</v>
      </c>
      <c r="J357" s="295">
        <f t="shared" si="5"/>
        <v>-3.9399999999999998E-2</v>
      </c>
      <c r="L357" s="301"/>
      <c r="M357" s="295"/>
    </row>
    <row r="358" spans="8:13" x14ac:dyDescent="0.2">
      <c r="H358" s="301">
        <v>43401</v>
      </c>
      <c r="I358" s="295">
        <v>2.4199999999999999E-2</v>
      </c>
      <c r="J358" s="295">
        <f t="shared" si="5"/>
        <v>2.4199999999999999E-2</v>
      </c>
      <c r="L358" s="301"/>
      <c r="M358" s="295"/>
    </row>
    <row r="359" spans="8:13" x14ac:dyDescent="0.2">
      <c r="H359" s="301">
        <v>43408</v>
      </c>
      <c r="I359" s="295">
        <v>2.1299999999999999E-2</v>
      </c>
      <c r="J359" s="295">
        <f t="shared" si="5"/>
        <v>2.1299999999999999E-2</v>
      </c>
      <c r="L359" s="301"/>
      <c r="M359" s="295"/>
    </row>
    <row r="360" spans="8:13" x14ac:dyDescent="0.2">
      <c r="H360" s="301">
        <v>43415</v>
      </c>
      <c r="I360" s="295">
        <v>-1.61E-2</v>
      </c>
      <c r="J360" s="295">
        <f t="shared" si="5"/>
        <v>-1.61E-2</v>
      </c>
      <c r="L360" s="301"/>
      <c r="M360" s="295"/>
    </row>
    <row r="361" spans="8:13" x14ac:dyDescent="0.2">
      <c r="H361" s="301">
        <v>43422</v>
      </c>
      <c r="I361" s="295">
        <v>-3.7900000000000003E-2</v>
      </c>
      <c r="J361" s="295">
        <f t="shared" si="5"/>
        <v>-3.7900000000000003E-2</v>
      </c>
      <c r="L361" s="301"/>
      <c r="M361" s="295"/>
    </row>
    <row r="362" spans="8:13" x14ac:dyDescent="0.2">
      <c r="H362" s="301">
        <v>43429</v>
      </c>
      <c r="I362" s="295">
        <v>4.8500000000000001E-2</v>
      </c>
      <c r="J362" s="295">
        <f t="shared" si="5"/>
        <v>4.8500000000000001E-2</v>
      </c>
      <c r="L362" s="301"/>
      <c r="M362" s="295"/>
    </row>
    <row r="363" spans="8:13" x14ac:dyDescent="0.2">
      <c r="H363" s="301">
        <v>43436</v>
      </c>
      <c r="I363" s="295">
        <v>-4.5999999999999999E-2</v>
      </c>
      <c r="J363" s="295">
        <f t="shared" si="5"/>
        <v>-4.5999999999999999E-2</v>
      </c>
      <c r="L363" s="301"/>
      <c r="M363" s="295"/>
    </row>
    <row r="364" spans="8:13" x14ac:dyDescent="0.2">
      <c r="H364" s="301">
        <v>43443</v>
      </c>
      <c r="I364" s="295">
        <v>-1.26E-2</v>
      </c>
      <c r="J364" s="295">
        <f t="shared" si="5"/>
        <v>-1.26E-2</v>
      </c>
      <c r="L364" s="301"/>
      <c r="M364" s="295"/>
    </row>
    <row r="365" spans="8:13" x14ac:dyDescent="0.2">
      <c r="H365" s="301">
        <v>43450</v>
      </c>
      <c r="I365" s="295">
        <v>-7.0499999999999993E-2</v>
      </c>
      <c r="J365" s="295">
        <f t="shared" si="5"/>
        <v>-7.0499999999999993E-2</v>
      </c>
      <c r="L365" s="301"/>
      <c r="M365" s="295"/>
    </row>
    <row r="366" spans="8:13" x14ac:dyDescent="0.2">
      <c r="H366" s="301">
        <v>43457</v>
      </c>
      <c r="I366" s="295">
        <v>2.86E-2</v>
      </c>
      <c r="J366" s="295">
        <f t="shared" si="5"/>
        <v>2.86E-2</v>
      </c>
      <c r="L366" s="301"/>
      <c r="M366" s="295"/>
    </row>
    <row r="367" spans="8:13" x14ac:dyDescent="0.2">
      <c r="H367" s="301">
        <v>43464</v>
      </c>
      <c r="I367" s="295">
        <v>1.8599999999999998E-2</v>
      </c>
      <c r="J367" s="295">
        <f t="shared" si="5"/>
        <v>1.8599999999999998E-2</v>
      </c>
      <c r="L367" s="301"/>
      <c r="M367" s="295"/>
    </row>
    <row r="368" spans="8:13" x14ac:dyDescent="0.2">
      <c r="H368" s="301">
        <v>43471</v>
      </c>
      <c r="I368" s="295">
        <v>2.5399999999999999E-2</v>
      </c>
      <c r="J368" s="295">
        <f t="shared" si="5"/>
        <v>2.5399999999999999E-2</v>
      </c>
      <c r="L368" s="301"/>
      <c r="M368" s="295"/>
    </row>
    <row r="369" spans="8:13" x14ac:dyDescent="0.2">
      <c r="H369" s="301">
        <v>43478</v>
      </c>
      <c r="I369" s="295">
        <v>2.87E-2</v>
      </c>
      <c r="J369" s="295">
        <f t="shared" si="5"/>
        <v>2.87E-2</v>
      </c>
      <c r="L369" s="301"/>
      <c r="M369" s="295"/>
    </row>
    <row r="370" spans="8:13" x14ac:dyDescent="0.2">
      <c r="H370" s="301">
        <v>43485</v>
      </c>
      <c r="I370" s="295">
        <v>-2.2000000000000001E-3</v>
      </c>
      <c r="J370" s="295">
        <f t="shared" si="5"/>
        <v>-2.2000000000000001E-3</v>
      </c>
      <c r="L370" s="301"/>
      <c r="M370" s="295"/>
    </row>
    <row r="371" spans="8:13" x14ac:dyDescent="0.2">
      <c r="H371" s="301">
        <v>43492</v>
      </c>
      <c r="I371" s="295">
        <v>1.5699999999999999E-2</v>
      </c>
      <c r="J371" s="295">
        <f t="shared" si="5"/>
        <v>1.5699999999999999E-2</v>
      </c>
      <c r="L371" s="301"/>
      <c r="M371" s="295"/>
    </row>
    <row r="372" spans="8:13" x14ac:dyDescent="0.2">
      <c r="H372" s="301">
        <v>43499</v>
      </c>
      <c r="I372" s="295">
        <v>5.0000000000000001E-4</v>
      </c>
      <c r="J372" s="295">
        <f t="shared" si="5"/>
        <v>5.0000000000000001E-4</v>
      </c>
      <c r="L372" s="301"/>
      <c r="M372" s="295"/>
    </row>
    <row r="373" spans="8:13" x14ac:dyDescent="0.2">
      <c r="H373" s="301">
        <v>43506</v>
      </c>
      <c r="I373" s="295">
        <v>2.5000000000000001E-2</v>
      </c>
      <c r="J373" s="295">
        <f t="shared" si="5"/>
        <v>2.5000000000000001E-2</v>
      </c>
      <c r="L373" s="301"/>
      <c r="M373" s="295"/>
    </row>
    <row r="374" spans="8:13" x14ac:dyDescent="0.2">
      <c r="H374" s="301">
        <v>43513</v>
      </c>
      <c r="I374" s="295">
        <v>6.1000000000000004E-3</v>
      </c>
      <c r="J374" s="295">
        <f t="shared" si="5"/>
        <v>6.1000000000000004E-3</v>
      </c>
      <c r="L374" s="301"/>
      <c r="M374" s="295"/>
    </row>
    <row r="375" spans="8:13" x14ac:dyDescent="0.2">
      <c r="H375" s="301">
        <v>43520</v>
      </c>
      <c r="I375" s="295">
        <v>3.8999999999999998E-3</v>
      </c>
      <c r="J375" s="295">
        <f t="shared" si="5"/>
        <v>3.8999999999999998E-3</v>
      </c>
      <c r="L375" s="301"/>
      <c r="M375" s="295"/>
    </row>
    <row r="376" spans="8:13" x14ac:dyDescent="0.2">
      <c r="H376" s="301">
        <v>43527</v>
      </c>
      <c r="I376" s="295">
        <v>-2.1600000000000001E-2</v>
      </c>
      <c r="J376" s="295">
        <f t="shared" si="5"/>
        <v>-2.1600000000000001E-2</v>
      </c>
      <c r="L376" s="301"/>
      <c r="M376" s="295"/>
    </row>
    <row r="377" spans="8:13" x14ac:dyDescent="0.2">
      <c r="H377" s="301">
        <v>43534</v>
      </c>
      <c r="I377" s="295">
        <v>2.8899999999999999E-2</v>
      </c>
      <c r="J377" s="295">
        <f t="shared" si="5"/>
        <v>2.8899999999999999E-2</v>
      </c>
      <c r="L377" s="301"/>
      <c r="M377" s="295"/>
    </row>
    <row r="378" spans="8:13" x14ac:dyDescent="0.2">
      <c r="H378" s="301">
        <v>43541</v>
      </c>
      <c r="I378" s="295">
        <v>-7.7000000000000002E-3</v>
      </c>
      <c r="J378" s="295">
        <f t="shared" si="5"/>
        <v>-7.7000000000000002E-3</v>
      </c>
      <c r="L378" s="301"/>
      <c r="M378" s="295"/>
    </row>
    <row r="379" spans="8:13" x14ac:dyDescent="0.2">
      <c r="H379" s="301">
        <v>43548</v>
      </c>
      <c r="I379" s="295">
        <v>1.2E-2</v>
      </c>
      <c r="J379" s="295">
        <f t="shared" si="5"/>
        <v>1.2E-2</v>
      </c>
      <c r="L379" s="301"/>
      <c r="M379" s="295"/>
    </row>
    <row r="380" spans="8:13" x14ac:dyDescent="0.2">
      <c r="H380" s="301">
        <v>43555</v>
      </c>
      <c r="I380" s="295">
        <v>2.06E-2</v>
      </c>
      <c r="J380" s="295">
        <f t="shared" si="5"/>
        <v>2.06E-2</v>
      </c>
      <c r="L380" s="301"/>
      <c r="M380" s="295"/>
    </row>
    <row r="381" spans="8:13" x14ac:dyDescent="0.2">
      <c r="H381" s="301">
        <v>43562</v>
      </c>
      <c r="I381" s="295">
        <v>5.1000000000000004E-3</v>
      </c>
      <c r="J381" s="295">
        <f t="shared" si="5"/>
        <v>5.1000000000000004E-3</v>
      </c>
      <c r="L381" s="301"/>
      <c r="M381" s="295"/>
    </row>
    <row r="382" spans="8:13" x14ac:dyDescent="0.2">
      <c r="H382" s="301">
        <v>43569</v>
      </c>
      <c r="I382" s="295">
        <v>-8.0000000000000004E-4</v>
      </c>
      <c r="J382" s="295">
        <f t="shared" si="5"/>
        <v>-8.0000000000000004E-4</v>
      </c>
      <c r="L382" s="301"/>
      <c r="M382" s="295"/>
    </row>
    <row r="383" spans="8:13" x14ac:dyDescent="0.2">
      <c r="H383" s="301">
        <v>43576</v>
      </c>
      <c r="I383" s="295">
        <v>1.2E-2</v>
      </c>
      <c r="J383" s="295">
        <f t="shared" si="5"/>
        <v>1.2E-2</v>
      </c>
      <c r="L383" s="301"/>
      <c r="M383" s="295"/>
    </row>
    <row r="384" spans="8:13" x14ac:dyDescent="0.2">
      <c r="H384" s="301">
        <v>43583</v>
      </c>
      <c r="I384" s="295">
        <v>2E-3</v>
      </c>
      <c r="J384" s="295">
        <f t="shared" si="5"/>
        <v>2E-3</v>
      </c>
      <c r="L384" s="301"/>
      <c r="M384" s="295"/>
    </row>
    <row r="385" spans="8:13" x14ac:dyDescent="0.2">
      <c r="H385" s="301">
        <v>43590</v>
      </c>
      <c r="I385" s="295">
        <v>-2.18E-2</v>
      </c>
      <c r="J385" s="295">
        <f t="shared" si="5"/>
        <v>-2.18E-2</v>
      </c>
      <c r="L385" s="301"/>
      <c r="M385" s="295"/>
    </row>
    <row r="386" spans="8:13" x14ac:dyDescent="0.2">
      <c r="H386" s="301">
        <v>43597</v>
      </c>
      <c r="I386" s="295">
        <v>-7.6E-3</v>
      </c>
      <c r="J386" s="295">
        <f t="shared" si="5"/>
        <v>-7.6E-3</v>
      </c>
      <c r="L386" s="301"/>
      <c r="M386" s="295"/>
    </row>
    <row r="387" spans="8:13" x14ac:dyDescent="0.2">
      <c r="H387" s="301">
        <v>43604</v>
      </c>
      <c r="I387" s="295">
        <v>-1.17E-2</v>
      </c>
      <c r="J387" s="295">
        <f t="shared" si="5"/>
        <v>-1.17E-2</v>
      </c>
      <c r="L387" s="301"/>
      <c r="M387" s="295"/>
    </row>
    <row r="388" spans="8:13" x14ac:dyDescent="0.2">
      <c r="H388" s="301">
        <v>43611</v>
      </c>
      <c r="I388" s="295">
        <v>-2.6200000000000001E-2</v>
      </c>
      <c r="J388" s="295">
        <f t="shared" si="5"/>
        <v>-2.6200000000000001E-2</v>
      </c>
      <c r="L388" s="301"/>
      <c r="M388" s="295"/>
    </row>
    <row r="389" spans="8:13" x14ac:dyDescent="0.2">
      <c r="H389" s="301">
        <v>43618</v>
      </c>
      <c r="I389" s="295">
        <v>4.41E-2</v>
      </c>
      <c r="J389" s="295">
        <f t="shared" si="5"/>
        <v>4.41E-2</v>
      </c>
      <c r="L389" s="301"/>
      <c r="M389" s="295"/>
    </row>
    <row r="390" spans="8:13" x14ac:dyDescent="0.2">
      <c r="H390" s="301">
        <v>43625</v>
      </c>
      <c r="I390" s="295">
        <v>4.7000000000000002E-3</v>
      </c>
      <c r="J390" s="295">
        <f t="shared" si="5"/>
        <v>4.7000000000000002E-3</v>
      </c>
      <c r="L390" s="301"/>
      <c r="M390" s="295"/>
    </row>
    <row r="391" spans="8:13" x14ac:dyDescent="0.2">
      <c r="H391" s="301">
        <v>43632</v>
      </c>
      <c r="I391" s="295">
        <v>2.1999999999999999E-2</v>
      </c>
      <c r="J391" s="295">
        <f t="shared" si="5"/>
        <v>2.1999999999999999E-2</v>
      </c>
      <c r="L391" s="301"/>
      <c r="M391" s="295"/>
    </row>
    <row r="392" spans="8:13" x14ac:dyDescent="0.2">
      <c r="H392" s="301">
        <v>43639</v>
      </c>
      <c r="I392" s="295">
        <v>-2.8999999999999998E-3</v>
      </c>
      <c r="J392" s="295">
        <f t="shared" si="5"/>
        <v>-2.8999999999999998E-3</v>
      </c>
      <c r="L392" s="301"/>
      <c r="M392" s="295"/>
    </row>
    <row r="393" spans="8:13" x14ac:dyDescent="0.2">
      <c r="H393" s="301">
        <v>43646</v>
      </c>
      <c r="I393" s="295">
        <v>1.6500000000000001E-2</v>
      </c>
      <c r="J393" s="295">
        <f t="shared" si="5"/>
        <v>1.6500000000000001E-2</v>
      </c>
      <c r="L393" s="301"/>
      <c r="M393" s="295"/>
    </row>
    <row r="394" spans="8:13" x14ac:dyDescent="0.2">
      <c r="H394" s="301">
        <v>43653</v>
      </c>
      <c r="I394" s="295">
        <v>7.7999999999999996E-3</v>
      </c>
      <c r="J394" s="295">
        <f t="shared" si="5"/>
        <v>7.7999999999999996E-3</v>
      </c>
      <c r="L394" s="301"/>
      <c r="M394" s="295"/>
    </row>
    <row r="395" spans="8:13" x14ac:dyDescent="0.2">
      <c r="H395" s="301">
        <v>43660</v>
      </c>
      <c r="I395" s="295">
        <v>-1.23E-2</v>
      </c>
      <c r="J395" s="295">
        <f t="shared" si="5"/>
        <v>-1.23E-2</v>
      </c>
      <c r="L395" s="301"/>
      <c r="M395" s="295"/>
    </row>
    <row r="396" spans="8:13" x14ac:dyDescent="0.2">
      <c r="H396" s="301">
        <v>43667</v>
      </c>
      <c r="I396" s="295">
        <v>1.6500000000000001E-2</v>
      </c>
      <c r="J396" s="295">
        <f t="shared" si="5"/>
        <v>1.6500000000000001E-2</v>
      </c>
      <c r="L396" s="301"/>
      <c r="M396" s="295"/>
    </row>
    <row r="397" spans="8:13" x14ac:dyDescent="0.2">
      <c r="H397" s="301">
        <v>43674</v>
      </c>
      <c r="I397" s="295">
        <v>-3.1E-2</v>
      </c>
      <c r="J397" s="295">
        <f t="shared" si="5"/>
        <v>-3.1E-2</v>
      </c>
      <c r="L397" s="301"/>
      <c r="M397" s="295"/>
    </row>
    <row r="398" spans="8:13" x14ac:dyDescent="0.2">
      <c r="H398" s="301">
        <v>43681</v>
      </c>
      <c r="I398" s="295">
        <v>-4.5999999999999999E-3</v>
      </c>
      <c r="J398" s="295">
        <f t="shared" si="5"/>
        <v>-4.5999999999999999E-3</v>
      </c>
      <c r="L398" s="301"/>
      <c r="M398" s="295"/>
    </row>
    <row r="399" spans="8:13" x14ac:dyDescent="0.2">
      <c r="H399" s="301">
        <v>43688</v>
      </c>
      <c r="I399" s="295">
        <v>-1.03E-2</v>
      </c>
      <c r="J399" s="295">
        <f t="shared" si="5"/>
        <v>-1.03E-2</v>
      </c>
      <c r="L399" s="301"/>
      <c r="M399" s="295"/>
    </row>
    <row r="400" spans="8:13" x14ac:dyDescent="0.2">
      <c r="H400" s="301">
        <v>43695</v>
      </c>
      <c r="I400" s="295">
        <v>-1.44E-2</v>
      </c>
      <c r="J400" s="295">
        <f t="shared" si="5"/>
        <v>-1.44E-2</v>
      </c>
      <c r="L400" s="301"/>
      <c r="M400" s="295"/>
    </row>
    <row r="401" spans="8:13" x14ac:dyDescent="0.2">
      <c r="H401" s="301">
        <v>43702</v>
      </c>
      <c r="I401" s="295">
        <v>2.7900000000000001E-2</v>
      </c>
      <c r="J401" s="295">
        <f t="shared" si="5"/>
        <v>2.7900000000000001E-2</v>
      </c>
      <c r="L401" s="301"/>
      <c r="M401" s="295"/>
    </row>
    <row r="402" spans="8:13" x14ac:dyDescent="0.2">
      <c r="H402" s="301">
        <v>43709</v>
      </c>
      <c r="I402" s="295">
        <v>1.7899999999999999E-2</v>
      </c>
      <c r="J402" s="295">
        <f t="shared" ref="J402:J465" si="6">I402-M402</f>
        <v>1.7899999999999999E-2</v>
      </c>
      <c r="L402" s="301"/>
      <c r="M402" s="295"/>
    </row>
    <row r="403" spans="8:13" x14ac:dyDescent="0.2">
      <c r="H403" s="301">
        <v>43716</v>
      </c>
      <c r="I403" s="295">
        <v>9.5999999999999992E-3</v>
      </c>
      <c r="J403" s="295">
        <f t="shared" si="6"/>
        <v>9.5999999999999992E-3</v>
      </c>
      <c r="L403" s="301"/>
      <c r="M403" s="295"/>
    </row>
    <row r="404" spans="8:13" x14ac:dyDescent="0.2">
      <c r="H404" s="301">
        <v>43723</v>
      </c>
      <c r="I404" s="295">
        <v>-5.1000000000000004E-3</v>
      </c>
      <c r="J404" s="295">
        <f t="shared" si="6"/>
        <v>-5.1000000000000004E-3</v>
      </c>
      <c r="L404" s="301"/>
      <c r="M404" s="295"/>
    </row>
    <row r="405" spans="8:13" x14ac:dyDescent="0.2">
      <c r="H405" s="301">
        <v>43730</v>
      </c>
      <c r="I405" s="295">
        <v>-1.01E-2</v>
      </c>
      <c r="J405" s="295">
        <f t="shared" si="6"/>
        <v>-1.01E-2</v>
      </c>
      <c r="L405" s="301"/>
      <c r="M405" s="295"/>
    </row>
    <row r="406" spans="8:13" x14ac:dyDescent="0.2">
      <c r="H406" s="301">
        <v>43737</v>
      </c>
      <c r="I406" s="295">
        <v>-3.3E-3</v>
      </c>
      <c r="J406" s="295">
        <f t="shared" si="6"/>
        <v>-3.3E-3</v>
      </c>
      <c r="L406" s="301"/>
      <c r="M406" s="295"/>
    </row>
    <row r="407" spans="8:13" x14ac:dyDescent="0.2">
      <c r="H407" s="301">
        <v>43744</v>
      </c>
      <c r="I407" s="295">
        <v>6.1999999999999998E-3</v>
      </c>
      <c r="J407" s="295">
        <f t="shared" si="6"/>
        <v>6.1999999999999998E-3</v>
      </c>
      <c r="L407" s="301"/>
      <c r="M407" s="295"/>
    </row>
    <row r="408" spans="8:13" x14ac:dyDescent="0.2">
      <c r="H408" s="301">
        <v>43751</v>
      </c>
      <c r="I408" s="295">
        <v>5.4000000000000003E-3</v>
      </c>
      <c r="J408" s="295">
        <f t="shared" si="6"/>
        <v>5.4000000000000003E-3</v>
      </c>
      <c r="L408" s="301"/>
      <c r="M408" s="295"/>
    </row>
    <row r="409" spans="8:13" x14ac:dyDescent="0.2">
      <c r="H409" s="301">
        <v>43758</v>
      </c>
      <c r="I409" s="295">
        <v>1.2200000000000001E-2</v>
      </c>
      <c r="J409" s="295">
        <f t="shared" si="6"/>
        <v>1.2200000000000001E-2</v>
      </c>
      <c r="L409" s="301"/>
      <c r="M409" s="295"/>
    </row>
    <row r="410" spans="8:13" x14ac:dyDescent="0.2">
      <c r="H410" s="301">
        <v>43765</v>
      </c>
      <c r="I410" s="295">
        <v>1.47E-2</v>
      </c>
      <c r="J410" s="295">
        <f t="shared" si="6"/>
        <v>1.47E-2</v>
      </c>
      <c r="L410" s="301"/>
      <c r="M410" s="295"/>
    </row>
    <row r="411" spans="8:13" x14ac:dyDescent="0.2">
      <c r="H411" s="301">
        <v>43772</v>
      </c>
      <c r="I411" s="295">
        <v>8.5000000000000006E-3</v>
      </c>
      <c r="J411" s="295">
        <f t="shared" si="6"/>
        <v>8.5000000000000006E-3</v>
      </c>
      <c r="L411" s="301"/>
      <c r="M411" s="295"/>
    </row>
    <row r="412" spans="8:13" x14ac:dyDescent="0.2">
      <c r="H412" s="301">
        <v>43779</v>
      </c>
      <c r="I412" s="295">
        <v>8.8999999999999999E-3</v>
      </c>
      <c r="J412" s="295">
        <f t="shared" si="6"/>
        <v>8.8999999999999999E-3</v>
      </c>
      <c r="L412" s="301"/>
      <c r="M412" s="295"/>
    </row>
    <row r="413" spans="8:13" x14ac:dyDescent="0.2">
      <c r="H413" s="301">
        <v>43786</v>
      </c>
      <c r="I413" s="295">
        <v>-3.3E-3</v>
      </c>
      <c r="J413" s="295">
        <f t="shared" si="6"/>
        <v>-3.3E-3</v>
      </c>
      <c r="L413" s="301"/>
      <c r="M413" s="295"/>
    </row>
    <row r="414" spans="8:13" x14ac:dyDescent="0.2">
      <c r="H414" s="301">
        <v>43793</v>
      </c>
      <c r="I414" s="295">
        <v>9.9000000000000008E-3</v>
      </c>
      <c r="J414" s="295">
        <f t="shared" si="6"/>
        <v>9.9000000000000008E-3</v>
      </c>
      <c r="L414" s="301"/>
      <c r="M414" s="295"/>
    </row>
    <row r="415" spans="8:13" x14ac:dyDescent="0.2">
      <c r="H415" s="301">
        <v>43800</v>
      </c>
      <c r="I415" s="295">
        <v>1.6000000000000001E-3</v>
      </c>
      <c r="J415" s="295">
        <f t="shared" si="6"/>
        <v>1.6000000000000001E-3</v>
      </c>
      <c r="L415" s="301"/>
      <c r="M415" s="295"/>
    </row>
    <row r="416" spans="8:13" x14ac:dyDescent="0.2">
      <c r="H416" s="301">
        <v>43807</v>
      </c>
      <c r="I416" s="295">
        <v>7.3000000000000001E-3</v>
      </c>
      <c r="J416" s="295">
        <f t="shared" si="6"/>
        <v>7.3000000000000001E-3</v>
      </c>
      <c r="L416" s="301"/>
      <c r="M416" s="295"/>
    </row>
    <row r="417" spans="8:13" x14ac:dyDescent="0.2">
      <c r="H417" s="301">
        <v>43814</v>
      </c>
      <c r="I417" s="295">
        <v>1.6500000000000001E-2</v>
      </c>
      <c r="J417" s="295">
        <f t="shared" si="6"/>
        <v>1.6500000000000001E-2</v>
      </c>
      <c r="L417" s="301"/>
      <c r="M417" s="295"/>
    </row>
    <row r="418" spans="8:13" x14ac:dyDescent="0.2">
      <c r="H418" s="301">
        <v>43821</v>
      </c>
      <c r="I418" s="295">
        <v>5.7999999999999996E-3</v>
      </c>
      <c r="J418" s="295">
        <f t="shared" si="6"/>
        <v>5.7999999999999996E-3</v>
      </c>
      <c r="L418" s="301"/>
      <c r="M418" s="295"/>
    </row>
    <row r="419" spans="8:13" x14ac:dyDescent="0.2">
      <c r="H419" s="301">
        <v>43828</v>
      </c>
      <c r="I419" s="295">
        <v>-1.6000000000000001E-3</v>
      </c>
      <c r="J419" s="295">
        <f t="shared" si="6"/>
        <v>-1.6000000000000001E-3</v>
      </c>
      <c r="L419" s="301"/>
      <c r="M419" s="295"/>
    </row>
    <row r="420" spans="8:13" x14ac:dyDescent="0.2">
      <c r="H420" s="301">
        <v>43835</v>
      </c>
      <c r="I420" s="295">
        <v>9.4000000000000004E-3</v>
      </c>
      <c r="J420" s="295">
        <f t="shared" si="6"/>
        <v>9.4000000000000004E-3</v>
      </c>
      <c r="L420" s="301"/>
      <c r="M420" s="295"/>
    </row>
    <row r="421" spans="8:13" x14ac:dyDescent="0.2">
      <c r="H421" s="301">
        <v>43842</v>
      </c>
      <c r="I421" s="295">
        <v>1.9699999999999999E-2</v>
      </c>
      <c r="J421" s="295">
        <f t="shared" si="6"/>
        <v>1.9699999999999999E-2</v>
      </c>
      <c r="L421" s="301"/>
      <c r="M421" s="295"/>
    </row>
    <row r="422" spans="8:13" x14ac:dyDescent="0.2">
      <c r="H422" s="301">
        <v>43849</v>
      </c>
      <c r="I422" s="295">
        <v>-1.03E-2</v>
      </c>
      <c r="J422" s="295">
        <f t="shared" si="6"/>
        <v>-1.03E-2</v>
      </c>
      <c r="L422" s="301"/>
      <c r="M422" s="295"/>
    </row>
    <row r="423" spans="8:13" x14ac:dyDescent="0.2">
      <c r="H423" s="301">
        <v>43856</v>
      </c>
      <c r="I423" s="295">
        <v>-2.12E-2</v>
      </c>
      <c r="J423" s="295">
        <f t="shared" si="6"/>
        <v>-2.12E-2</v>
      </c>
      <c r="L423" s="301"/>
      <c r="M423" s="295"/>
    </row>
    <row r="424" spans="8:13" x14ac:dyDescent="0.2">
      <c r="H424" s="301">
        <v>43863</v>
      </c>
      <c r="I424" s="295">
        <v>3.1699999999999999E-2</v>
      </c>
      <c r="J424" s="295">
        <f t="shared" si="6"/>
        <v>3.1699999999999999E-2</v>
      </c>
      <c r="L424" s="301"/>
      <c r="M424" s="295"/>
    </row>
    <row r="425" spans="8:13" x14ac:dyDescent="0.2">
      <c r="H425" s="301">
        <v>43870</v>
      </c>
      <c r="I425" s="295">
        <v>1.5800000000000002E-2</v>
      </c>
      <c r="J425" s="295">
        <f t="shared" si="6"/>
        <v>1.5800000000000002E-2</v>
      </c>
      <c r="L425" s="301"/>
      <c r="M425" s="295"/>
    </row>
    <row r="426" spans="8:13" x14ac:dyDescent="0.2">
      <c r="H426" s="301">
        <v>43877</v>
      </c>
      <c r="I426" s="295">
        <v>-1.2500000000000001E-2</v>
      </c>
      <c r="J426" s="295">
        <f t="shared" si="6"/>
        <v>-1.2500000000000001E-2</v>
      </c>
      <c r="L426" s="301"/>
      <c r="M426" s="295"/>
    </row>
    <row r="427" spans="8:13" x14ac:dyDescent="0.2">
      <c r="H427" s="301">
        <v>43884</v>
      </c>
      <c r="I427" s="295">
        <v>-0.1149</v>
      </c>
      <c r="J427" s="295">
        <f t="shared" si="6"/>
        <v>-0.1149</v>
      </c>
      <c r="L427" s="301"/>
      <c r="M427" s="295"/>
    </row>
    <row r="428" spans="8:13" x14ac:dyDescent="0.2">
      <c r="H428" s="301">
        <v>43891</v>
      </c>
      <c r="I428" s="295">
        <v>6.1000000000000004E-3</v>
      </c>
      <c r="J428" s="295">
        <f t="shared" si="6"/>
        <v>6.1000000000000004E-3</v>
      </c>
      <c r="L428" s="301"/>
      <c r="M428" s="295"/>
    </row>
    <row r="429" spans="8:13" x14ac:dyDescent="0.2">
      <c r="H429" s="301">
        <v>43898</v>
      </c>
      <c r="I429" s="295">
        <v>-8.7900000000000006E-2</v>
      </c>
      <c r="J429" s="295">
        <f t="shared" si="6"/>
        <v>-8.7900000000000006E-2</v>
      </c>
      <c r="L429" s="301"/>
      <c r="M429" s="295"/>
    </row>
    <row r="430" spans="8:13" x14ac:dyDescent="0.2">
      <c r="H430" s="301">
        <v>43905</v>
      </c>
      <c r="I430" s="295">
        <v>-0.14979999999999999</v>
      </c>
      <c r="J430" s="295">
        <f t="shared" si="6"/>
        <v>-0.14979999999999999</v>
      </c>
      <c r="L430" s="301"/>
      <c r="M430" s="295"/>
    </row>
    <row r="431" spans="8:13" x14ac:dyDescent="0.2">
      <c r="H431" s="301">
        <v>43912</v>
      </c>
      <c r="I431" s="295">
        <v>0.1026</v>
      </c>
      <c r="J431" s="295">
        <f t="shared" si="6"/>
        <v>0.1026</v>
      </c>
      <c r="L431" s="301"/>
      <c r="M431" s="295"/>
    </row>
    <row r="432" spans="8:13" x14ac:dyDescent="0.2">
      <c r="H432" s="301">
        <v>43919</v>
      </c>
      <c r="I432" s="295">
        <v>-2.0799999999999999E-2</v>
      </c>
      <c r="J432" s="295">
        <f t="shared" si="6"/>
        <v>-2.0799999999999999E-2</v>
      </c>
      <c r="L432" s="301"/>
      <c r="M432" s="295"/>
    </row>
    <row r="433" spans="8:13" x14ac:dyDescent="0.2">
      <c r="H433" s="301">
        <v>43926</v>
      </c>
      <c r="I433" s="295">
        <v>0.121</v>
      </c>
      <c r="J433" s="295">
        <f t="shared" si="6"/>
        <v>0.121</v>
      </c>
      <c r="L433" s="301"/>
      <c r="M433" s="295"/>
    </row>
    <row r="434" spans="8:13" x14ac:dyDescent="0.2">
      <c r="H434" s="301">
        <v>43933</v>
      </c>
      <c r="I434" s="295">
        <v>3.04E-2</v>
      </c>
      <c r="J434" s="295">
        <f t="shared" si="6"/>
        <v>3.04E-2</v>
      </c>
      <c r="L434" s="301"/>
      <c r="M434" s="295"/>
    </row>
    <row r="435" spans="8:13" x14ac:dyDescent="0.2">
      <c r="H435" s="301">
        <v>43940</v>
      </c>
      <c r="I435" s="295">
        <v>-1.32E-2</v>
      </c>
      <c r="J435" s="295">
        <f t="shared" si="6"/>
        <v>-1.32E-2</v>
      </c>
      <c r="L435" s="301"/>
      <c r="M435" s="295"/>
    </row>
    <row r="436" spans="8:13" x14ac:dyDescent="0.2">
      <c r="H436" s="301">
        <v>43947</v>
      </c>
      <c r="I436" s="295">
        <v>-2.0999999999999999E-3</v>
      </c>
      <c r="J436" s="295">
        <f t="shared" si="6"/>
        <v>-2.0999999999999999E-3</v>
      </c>
      <c r="L436" s="301"/>
      <c r="M436" s="295"/>
    </row>
    <row r="437" spans="8:13" x14ac:dyDescent="0.2">
      <c r="H437" s="301">
        <v>43954</v>
      </c>
      <c r="I437" s="295">
        <v>3.5000000000000003E-2</v>
      </c>
      <c r="J437" s="295">
        <f t="shared" si="6"/>
        <v>3.5000000000000003E-2</v>
      </c>
      <c r="L437" s="301"/>
      <c r="M437" s="295"/>
    </row>
    <row r="438" spans="8:13" x14ac:dyDescent="0.2">
      <c r="H438" s="301">
        <v>43961</v>
      </c>
      <c r="I438" s="295">
        <v>-2.2599999999999999E-2</v>
      </c>
      <c r="J438" s="295">
        <f t="shared" si="6"/>
        <v>-2.2599999999999999E-2</v>
      </c>
      <c r="L438" s="301"/>
      <c r="M438" s="295"/>
    </row>
    <row r="439" spans="8:13" x14ac:dyDescent="0.2">
      <c r="H439" s="301">
        <v>43968</v>
      </c>
      <c r="I439" s="295">
        <v>3.2000000000000001E-2</v>
      </c>
      <c r="J439" s="295">
        <f t="shared" si="6"/>
        <v>3.2000000000000001E-2</v>
      </c>
      <c r="L439" s="301"/>
      <c r="M439" s="295"/>
    </row>
    <row r="440" spans="8:13" x14ac:dyDescent="0.2">
      <c r="H440" s="301">
        <v>43975</v>
      </c>
      <c r="I440" s="295">
        <v>3.0099999999999998E-2</v>
      </c>
      <c r="J440" s="295">
        <f t="shared" si="6"/>
        <v>3.0099999999999998E-2</v>
      </c>
      <c r="L440" s="301"/>
      <c r="M440" s="295"/>
    </row>
    <row r="441" spans="8:13" x14ac:dyDescent="0.2">
      <c r="H441" s="301">
        <v>43982</v>
      </c>
      <c r="I441" s="295">
        <v>4.9099999999999998E-2</v>
      </c>
      <c r="J441" s="295">
        <f t="shared" si="6"/>
        <v>4.9099999999999998E-2</v>
      </c>
      <c r="L441" s="301"/>
      <c r="M441" s="295"/>
    </row>
    <row r="442" spans="8:13" x14ac:dyDescent="0.2">
      <c r="H442" s="301">
        <v>43989</v>
      </c>
      <c r="I442" s="295">
        <v>-4.7800000000000002E-2</v>
      </c>
      <c r="J442" s="295">
        <f t="shared" si="6"/>
        <v>-4.7800000000000002E-2</v>
      </c>
      <c r="L442" s="301"/>
      <c r="M442" s="295"/>
    </row>
    <row r="443" spans="8:13" x14ac:dyDescent="0.2">
      <c r="H443" s="301">
        <v>43996</v>
      </c>
      <c r="I443" s="295">
        <v>1.8599999999999998E-2</v>
      </c>
      <c r="J443" s="295">
        <f t="shared" si="6"/>
        <v>1.8599999999999998E-2</v>
      </c>
      <c r="L443" s="301"/>
      <c r="M443" s="295"/>
    </row>
    <row r="444" spans="8:13" x14ac:dyDescent="0.2">
      <c r="H444" s="301">
        <v>44003</v>
      </c>
      <c r="I444" s="295">
        <v>-2.86E-2</v>
      </c>
      <c r="J444" s="295">
        <f t="shared" si="6"/>
        <v>-2.86E-2</v>
      </c>
      <c r="L444" s="301"/>
      <c r="M444" s="295"/>
    </row>
    <row r="445" spans="8:13" x14ac:dyDescent="0.2">
      <c r="H445" s="301">
        <v>44010</v>
      </c>
      <c r="I445" s="295">
        <v>4.02E-2</v>
      </c>
      <c r="J445" s="295">
        <f t="shared" si="6"/>
        <v>4.02E-2</v>
      </c>
      <c r="L445" s="301"/>
      <c r="M445" s="295"/>
    </row>
    <row r="446" spans="8:13" x14ac:dyDescent="0.2">
      <c r="H446" s="301">
        <v>44017</v>
      </c>
      <c r="I446" s="295">
        <v>1.7600000000000001E-2</v>
      </c>
      <c r="J446" s="295">
        <f t="shared" si="6"/>
        <v>1.7600000000000001E-2</v>
      </c>
      <c r="L446" s="301"/>
      <c r="M446" s="295"/>
    </row>
    <row r="447" spans="8:13" x14ac:dyDescent="0.2">
      <c r="H447" s="301">
        <v>44024</v>
      </c>
      <c r="I447" s="295">
        <v>1.2500000000000001E-2</v>
      </c>
      <c r="J447" s="295">
        <f t="shared" si="6"/>
        <v>1.2500000000000001E-2</v>
      </c>
      <c r="L447" s="301"/>
      <c r="M447" s="295"/>
    </row>
    <row r="448" spans="8:13" x14ac:dyDescent="0.2">
      <c r="H448" s="301">
        <v>44031</v>
      </c>
      <c r="I448" s="295">
        <v>-2.8E-3</v>
      </c>
      <c r="J448" s="295">
        <f t="shared" si="6"/>
        <v>-2.8E-3</v>
      </c>
      <c r="L448" s="301"/>
      <c r="M448" s="295"/>
    </row>
    <row r="449" spans="8:13" x14ac:dyDescent="0.2">
      <c r="H449" s="301">
        <v>44038</v>
      </c>
      <c r="I449" s="295">
        <v>1.7299999999999999E-2</v>
      </c>
      <c r="J449" s="295">
        <f t="shared" si="6"/>
        <v>1.7299999999999999E-2</v>
      </c>
      <c r="L449" s="301"/>
      <c r="M449" s="295"/>
    </row>
    <row r="450" spans="8:13" x14ac:dyDescent="0.2">
      <c r="H450" s="301">
        <v>44045</v>
      </c>
      <c r="I450" s="295">
        <v>2.4500000000000001E-2</v>
      </c>
      <c r="J450" s="295">
        <f t="shared" si="6"/>
        <v>2.4500000000000001E-2</v>
      </c>
      <c r="L450" s="301"/>
      <c r="M450" s="295"/>
    </row>
    <row r="451" spans="8:13" x14ac:dyDescent="0.2">
      <c r="H451" s="301">
        <v>44052</v>
      </c>
      <c r="I451" s="295">
        <v>6.4000000000000003E-3</v>
      </c>
      <c r="J451" s="295">
        <f t="shared" si="6"/>
        <v>6.4000000000000003E-3</v>
      </c>
      <c r="L451" s="301"/>
      <c r="M451" s="295"/>
    </row>
    <row r="452" spans="8:13" x14ac:dyDescent="0.2">
      <c r="H452" s="301">
        <v>44059</v>
      </c>
      <c r="I452" s="295">
        <v>7.1999999999999998E-3</v>
      </c>
      <c r="J452" s="295">
        <f t="shared" si="6"/>
        <v>7.1999999999999998E-3</v>
      </c>
      <c r="L452" s="301"/>
      <c r="M452" s="295"/>
    </row>
    <row r="453" spans="8:13" x14ac:dyDescent="0.2">
      <c r="H453" s="301">
        <v>44066</v>
      </c>
      <c r="I453" s="295">
        <v>3.2599999999999997E-2</v>
      </c>
      <c r="J453" s="295">
        <f t="shared" si="6"/>
        <v>3.2599999999999997E-2</v>
      </c>
      <c r="L453" s="301"/>
      <c r="M453" s="295"/>
    </row>
    <row r="454" spans="8:13" x14ac:dyDescent="0.2">
      <c r="H454" s="301">
        <v>44073</v>
      </c>
      <c r="I454" s="295">
        <v>-2.3099999999999999E-2</v>
      </c>
      <c r="J454" s="295">
        <f t="shared" si="6"/>
        <v>-2.3099999999999999E-2</v>
      </c>
      <c r="L454" s="301"/>
      <c r="M454" s="295"/>
    </row>
    <row r="455" spans="8:13" x14ac:dyDescent="0.2">
      <c r="H455" s="301">
        <v>44080</v>
      </c>
      <c r="I455" s="295">
        <v>-2.5100000000000001E-2</v>
      </c>
      <c r="J455" s="295">
        <f t="shared" si="6"/>
        <v>-2.5100000000000001E-2</v>
      </c>
      <c r="L455" s="301"/>
      <c r="M455" s="295"/>
    </row>
    <row r="456" spans="8:13" x14ac:dyDescent="0.2">
      <c r="H456" s="301">
        <v>44087</v>
      </c>
      <c r="I456" s="295">
        <v>-6.4000000000000003E-3</v>
      </c>
      <c r="J456" s="295">
        <f t="shared" si="6"/>
        <v>-6.4000000000000003E-3</v>
      </c>
      <c r="L456" s="301"/>
      <c r="M456" s="295"/>
    </row>
    <row r="457" spans="8:13" x14ac:dyDescent="0.2">
      <c r="H457" s="301">
        <v>44094</v>
      </c>
      <c r="I457" s="295">
        <v>-6.3E-3</v>
      </c>
      <c r="J457" s="295">
        <f t="shared" si="6"/>
        <v>-6.3E-3</v>
      </c>
      <c r="L457" s="301"/>
      <c r="M457" s="295"/>
    </row>
    <row r="458" spans="8:13" x14ac:dyDescent="0.2">
      <c r="H458" s="301">
        <v>44101</v>
      </c>
      <c r="I458" s="295">
        <v>1.52E-2</v>
      </c>
      <c r="J458" s="295">
        <f t="shared" si="6"/>
        <v>1.52E-2</v>
      </c>
      <c r="L458" s="301"/>
      <c r="M458" s="295"/>
    </row>
    <row r="459" spans="8:13" x14ac:dyDescent="0.2">
      <c r="H459" s="301">
        <v>44108</v>
      </c>
      <c r="I459" s="295">
        <v>3.8399999999999997E-2</v>
      </c>
      <c r="J459" s="295">
        <f t="shared" si="6"/>
        <v>3.8399999999999997E-2</v>
      </c>
      <c r="L459" s="301"/>
      <c r="M459" s="295"/>
    </row>
    <row r="460" spans="8:13" x14ac:dyDescent="0.2">
      <c r="H460" s="301">
        <v>44115</v>
      </c>
      <c r="I460" s="295">
        <v>1.9E-3</v>
      </c>
      <c r="J460" s="295">
        <f t="shared" si="6"/>
        <v>1.9E-3</v>
      </c>
      <c r="L460" s="301"/>
      <c r="M460" s="295"/>
    </row>
    <row r="461" spans="8:13" x14ac:dyDescent="0.2">
      <c r="H461" s="301">
        <v>44122</v>
      </c>
      <c r="I461" s="295">
        <v>-5.3E-3</v>
      </c>
      <c r="J461" s="295">
        <f t="shared" si="6"/>
        <v>-5.3E-3</v>
      </c>
      <c r="L461" s="301"/>
      <c r="M461" s="295"/>
    </row>
    <row r="462" spans="8:13" x14ac:dyDescent="0.2">
      <c r="H462" s="301">
        <v>44129</v>
      </c>
      <c r="I462" s="295">
        <v>-5.6399999999999999E-2</v>
      </c>
      <c r="J462" s="295">
        <f t="shared" si="6"/>
        <v>-5.6399999999999999E-2</v>
      </c>
      <c r="L462" s="301"/>
      <c r="M462" s="295"/>
    </row>
    <row r="463" spans="8:13" x14ac:dyDescent="0.2">
      <c r="H463" s="301">
        <v>44136</v>
      </c>
      <c r="I463" s="295">
        <v>7.3200000000000001E-2</v>
      </c>
      <c r="J463" s="295">
        <f t="shared" si="6"/>
        <v>7.3200000000000001E-2</v>
      </c>
      <c r="L463" s="301"/>
      <c r="M463" s="295"/>
    </row>
    <row r="464" spans="8:13" x14ac:dyDescent="0.2">
      <c r="H464" s="301">
        <v>44143</v>
      </c>
      <c r="I464" s="295">
        <v>2.1600000000000001E-2</v>
      </c>
      <c r="J464" s="295">
        <f t="shared" si="6"/>
        <v>2.1600000000000001E-2</v>
      </c>
      <c r="L464" s="301"/>
      <c r="M464" s="295"/>
    </row>
    <row r="465" spans="8:13" x14ac:dyDescent="0.2">
      <c r="H465" s="301">
        <v>44150</v>
      </c>
      <c r="I465" s="295">
        <v>-7.7000000000000002E-3</v>
      </c>
      <c r="J465" s="295">
        <f t="shared" si="6"/>
        <v>-7.7000000000000002E-3</v>
      </c>
      <c r="L465" s="301"/>
      <c r="M465" s="295"/>
    </row>
    <row r="466" spans="8:13" x14ac:dyDescent="0.2">
      <c r="H466" s="301">
        <v>44157</v>
      </c>
      <c r="I466" s="295">
        <v>2.2700000000000001E-2</v>
      </c>
      <c r="J466" s="295">
        <f t="shared" ref="J466:J529" si="7">I466-M466</f>
        <v>2.2700000000000001E-2</v>
      </c>
      <c r="L466" s="301"/>
      <c r="M466" s="295"/>
    </row>
    <row r="467" spans="8:13" x14ac:dyDescent="0.2">
      <c r="H467" s="301">
        <v>44164</v>
      </c>
      <c r="I467" s="295">
        <v>1.67E-2</v>
      </c>
      <c r="J467" s="295">
        <f t="shared" si="7"/>
        <v>1.67E-2</v>
      </c>
      <c r="L467" s="301"/>
      <c r="M467" s="295"/>
    </row>
    <row r="468" spans="8:13" x14ac:dyDescent="0.2">
      <c r="H468" s="301">
        <v>44171</v>
      </c>
      <c r="I468" s="295">
        <v>-9.5999999999999992E-3</v>
      </c>
      <c r="J468" s="295">
        <f t="shared" si="7"/>
        <v>-9.5999999999999992E-3</v>
      </c>
      <c r="L468" s="301"/>
      <c r="M468" s="295"/>
    </row>
    <row r="469" spans="8:13" x14ac:dyDescent="0.2">
      <c r="H469" s="301">
        <v>44178</v>
      </c>
      <c r="I469" s="295">
        <v>1.2500000000000001E-2</v>
      </c>
      <c r="J469" s="295">
        <f t="shared" si="7"/>
        <v>1.2500000000000001E-2</v>
      </c>
      <c r="L469" s="301"/>
      <c r="M469" s="295"/>
    </row>
    <row r="470" spans="8:13" x14ac:dyDescent="0.2">
      <c r="H470" s="301">
        <v>44185</v>
      </c>
      <c r="I470" s="295">
        <v>-1.6999999999999999E-3</v>
      </c>
      <c r="J470" s="295">
        <f t="shared" si="7"/>
        <v>-1.6999999999999999E-3</v>
      </c>
      <c r="L470" s="301"/>
      <c r="M470" s="295"/>
    </row>
    <row r="471" spans="8:13" x14ac:dyDescent="0.2">
      <c r="H471" s="301">
        <v>44192</v>
      </c>
      <c r="I471" s="295">
        <v>1.43E-2</v>
      </c>
      <c r="J471" s="295">
        <f t="shared" si="7"/>
        <v>1.43E-2</v>
      </c>
      <c r="L471" s="301"/>
      <c r="M471" s="295"/>
    </row>
    <row r="472" spans="8:13" x14ac:dyDescent="0.2">
      <c r="H472" s="301">
        <v>44199</v>
      </c>
      <c r="I472" s="295">
        <v>1.83E-2</v>
      </c>
      <c r="J472" s="295">
        <f t="shared" si="7"/>
        <v>1.83E-2</v>
      </c>
      <c r="L472" s="301"/>
      <c r="M472" s="295"/>
    </row>
    <row r="473" spans="8:13" x14ac:dyDescent="0.2">
      <c r="H473" s="301">
        <v>44206</v>
      </c>
      <c r="I473" s="295">
        <v>-1.4800000000000001E-2</v>
      </c>
      <c r="J473" s="295">
        <f t="shared" si="7"/>
        <v>-1.4800000000000001E-2</v>
      </c>
      <c r="L473" s="301"/>
      <c r="M473" s="295"/>
    </row>
    <row r="474" spans="8:13" x14ac:dyDescent="0.2">
      <c r="H474" s="301">
        <v>44213</v>
      </c>
      <c r="I474" s="295">
        <v>1.9400000000000001E-2</v>
      </c>
      <c r="J474" s="295">
        <f t="shared" si="7"/>
        <v>1.9400000000000001E-2</v>
      </c>
      <c r="L474" s="301"/>
      <c r="M474" s="295"/>
    </row>
    <row r="475" spans="8:13" x14ac:dyDescent="0.2">
      <c r="H475" s="301">
        <v>44220</v>
      </c>
      <c r="I475" s="295">
        <v>-3.3099999999999997E-2</v>
      </c>
      <c r="J475" s="295">
        <f t="shared" si="7"/>
        <v>-3.3099999999999997E-2</v>
      </c>
      <c r="L475" s="301"/>
      <c r="M475" s="295"/>
    </row>
    <row r="476" spans="8:13" x14ac:dyDescent="0.2">
      <c r="H476" s="301">
        <v>44227</v>
      </c>
      <c r="I476" s="295">
        <v>4.65E-2</v>
      </c>
      <c r="J476" s="295">
        <f t="shared" si="7"/>
        <v>4.65E-2</v>
      </c>
      <c r="L476" s="301"/>
      <c r="M476" s="295"/>
    </row>
    <row r="477" spans="8:13" x14ac:dyDescent="0.2">
      <c r="H477" s="301">
        <v>44234</v>
      </c>
      <c r="I477" s="295">
        <v>1.23E-2</v>
      </c>
      <c r="J477" s="295">
        <f t="shared" si="7"/>
        <v>1.23E-2</v>
      </c>
      <c r="L477" s="301"/>
      <c r="M477" s="295"/>
    </row>
    <row r="478" spans="8:13" x14ac:dyDescent="0.2">
      <c r="H478" s="301">
        <v>44241</v>
      </c>
      <c r="I478" s="295">
        <v>-7.1000000000000004E-3</v>
      </c>
      <c r="J478" s="295">
        <f t="shared" si="7"/>
        <v>-7.1000000000000004E-3</v>
      </c>
      <c r="L478" s="301"/>
      <c r="M478" s="295"/>
    </row>
    <row r="479" spans="8:13" x14ac:dyDescent="0.2">
      <c r="H479" s="301">
        <v>44248</v>
      </c>
      <c r="I479" s="295">
        <v>-2.4500000000000001E-2</v>
      </c>
      <c r="J479" s="295">
        <f t="shared" si="7"/>
        <v>-2.4500000000000001E-2</v>
      </c>
      <c r="L479" s="301"/>
      <c r="M479" s="295"/>
    </row>
    <row r="480" spans="8:13" x14ac:dyDescent="0.2">
      <c r="H480" s="301">
        <v>44255</v>
      </c>
      <c r="I480" s="295">
        <v>8.0999999999999996E-3</v>
      </c>
      <c r="J480" s="295">
        <f t="shared" si="7"/>
        <v>8.0999999999999996E-3</v>
      </c>
      <c r="L480" s="301"/>
      <c r="M480" s="295"/>
    </row>
    <row r="481" spans="8:13" x14ac:dyDescent="0.2">
      <c r="H481" s="301">
        <v>44262</v>
      </c>
      <c r="I481" s="295">
        <v>2.64E-2</v>
      </c>
      <c r="J481" s="295">
        <f t="shared" si="7"/>
        <v>2.64E-2</v>
      </c>
      <c r="L481" s="301"/>
      <c r="M481" s="295"/>
    </row>
    <row r="482" spans="8:13" x14ac:dyDescent="0.2">
      <c r="H482" s="301">
        <v>44269</v>
      </c>
      <c r="I482" s="295">
        <v>-7.7000000000000002E-3</v>
      </c>
      <c r="J482" s="295">
        <f t="shared" si="7"/>
        <v>-7.7000000000000002E-3</v>
      </c>
      <c r="L482" s="301"/>
      <c r="M482" s="295"/>
    </row>
    <row r="483" spans="8:13" x14ac:dyDescent="0.2">
      <c r="H483" s="301">
        <v>44276</v>
      </c>
      <c r="I483" s="295">
        <v>1.5699999999999999E-2</v>
      </c>
      <c r="J483" s="295">
        <f t="shared" si="7"/>
        <v>1.5699999999999999E-2</v>
      </c>
      <c r="L483" s="301"/>
      <c r="M483" s="295"/>
    </row>
    <row r="484" spans="8:13" x14ac:dyDescent="0.2">
      <c r="H484" s="301">
        <v>44283</v>
      </c>
      <c r="I484" s="295">
        <v>1.14E-2</v>
      </c>
      <c r="J484" s="295">
        <f t="shared" si="7"/>
        <v>1.14E-2</v>
      </c>
      <c r="L484" s="301"/>
      <c r="M484" s="295"/>
    </row>
    <row r="485" spans="8:13" x14ac:dyDescent="0.2">
      <c r="H485" s="301">
        <v>44290</v>
      </c>
      <c r="I485" s="295">
        <v>2.7099999999999999E-2</v>
      </c>
      <c r="J485" s="295">
        <f t="shared" si="7"/>
        <v>2.7099999999999999E-2</v>
      </c>
      <c r="L485" s="301"/>
      <c r="M485" s="295"/>
    </row>
    <row r="486" spans="8:13" x14ac:dyDescent="0.2">
      <c r="H486" s="301">
        <v>44297</v>
      </c>
      <c r="I486" s="295">
        <v>1.37E-2</v>
      </c>
      <c r="J486" s="295">
        <f t="shared" si="7"/>
        <v>1.37E-2</v>
      </c>
      <c r="L486" s="301"/>
      <c r="M486" s="295"/>
    </row>
    <row r="487" spans="8:13" x14ac:dyDescent="0.2">
      <c r="H487" s="301">
        <v>44304</v>
      </c>
      <c r="I487" s="295">
        <v>-1.2999999999999999E-3</v>
      </c>
      <c r="J487" s="295">
        <f t="shared" si="7"/>
        <v>-1.2999999999999999E-3</v>
      </c>
      <c r="L487" s="301"/>
      <c r="M487" s="295"/>
    </row>
    <row r="488" spans="8:13" x14ac:dyDescent="0.2">
      <c r="H488" s="301">
        <v>44311</v>
      </c>
      <c r="I488" s="295">
        <v>2.0000000000000001E-4</v>
      </c>
      <c r="J488" s="295">
        <f t="shared" si="7"/>
        <v>2.0000000000000001E-4</v>
      </c>
      <c r="L488" s="301"/>
      <c r="M488" s="295"/>
    </row>
    <row r="489" spans="8:13" x14ac:dyDescent="0.2">
      <c r="H489" s="301">
        <v>44318</v>
      </c>
      <c r="I489" s="295">
        <v>1.23E-2</v>
      </c>
      <c r="J489" s="295">
        <f t="shared" si="7"/>
        <v>1.23E-2</v>
      </c>
      <c r="L489" s="301"/>
      <c r="M489" s="295"/>
    </row>
    <row r="490" spans="8:13" x14ac:dyDescent="0.2">
      <c r="H490" s="301">
        <v>44325</v>
      </c>
      <c r="I490" s="295">
        <v>-1.3899999999999999E-2</v>
      </c>
      <c r="J490" s="295">
        <f t="shared" si="7"/>
        <v>-1.3899999999999999E-2</v>
      </c>
      <c r="L490" s="301"/>
      <c r="M490" s="295"/>
    </row>
    <row r="491" spans="8:13" x14ac:dyDescent="0.2">
      <c r="H491" s="301">
        <v>44332</v>
      </c>
      <c r="I491" s="295">
        <v>-4.3E-3</v>
      </c>
      <c r="J491" s="295">
        <f t="shared" si="7"/>
        <v>-4.3E-3</v>
      </c>
      <c r="L491" s="301"/>
      <c r="M491" s="295"/>
    </row>
    <row r="492" spans="8:13" x14ac:dyDescent="0.2">
      <c r="H492" s="301">
        <v>44339</v>
      </c>
      <c r="I492" s="295">
        <v>1.1599999999999999E-2</v>
      </c>
      <c r="J492" s="295">
        <f t="shared" si="7"/>
        <v>1.1599999999999999E-2</v>
      </c>
      <c r="L492" s="301"/>
      <c r="M492" s="295"/>
    </row>
    <row r="493" spans="8:13" x14ac:dyDescent="0.2">
      <c r="H493" s="301">
        <v>44346</v>
      </c>
      <c r="I493" s="295">
        <v>6.1000000000000004E-3</v>
      </c>
      <c r="J493" s="295">
        <f t="shared" si="7"/>
        <v>6.1000000000000004E-3</v>
      </c>
      <c r="L493" s="301"/>
      <c r="M493" s="295"/>
    </row>
    <row r="494" spans="8:13" x14ac:dyDescent="0.2">
      <c r="H494" s="301">
        <v>44353</v>
      </c>
      <c r="I494" s="295">
        <v>4.1000000000000003E-3</v>
      </c>
      <c r="J494" s="295">
        <f t="shared" si="7"/>
        <v>4.1000000000000003E-3</v>
      </c>
      <c r="L494" s="301"/>
      <c r="M494" s="295"/>
    </row>
    <row r="495" spans="8:13" x14ac:dyDescent="0.2">
      <c r="H495" s="301">
        <v>44360</v>
      </c>
      <c r="I495" s="295">
        <v>-1.9099999999999999E-2</v>
      </c>
      <c r="J495" s="295">
        <f t="shared" si="7"/>
        <v>-1.9099999999999999E-2</v>
      </c>
      <c r="L495" s="301"/>
      <c r="M495" s="295"/>
    </row>
    <row r="496" spans="8:13" x14ac:dyDescent="0.2">
      <c r="H496" s="301">
        <v>44367</v>
      </c>
      <c r="I496" s="295">
        <v>2.7400000000000001E-2</v>
      </c>
      <c r="J496" s="295">
        <f t="shared" si="7"/>
        <v>2.7400000000000001E-2</v>
      </c>
      <c r="L496" s="301"/>
      <c r="M496" s="295"/>
    </row>
    <row r="497" spans="8:13" x14ac:dyDescent="0.2">
      <c r="H497" s="301">
        <v>44374</v>
      </c>
      <c r="I497" s="295">
        <v>1.67E-2</v>
      </c>
      <c r="J497" s="295">
        <f t="shared" si="7"/>
        <v>1.67E-2</v>
      </c>
      <c r="L497" s="301"/>
      <c r="M497" s="295"/>
    </row>
    <row r="498" spans="8:13" x14ac:dyDescent="0.2">
      <c r="H498" s="301">
        <v>44381</v>
      </c>
      <c r="I498" s="295">
        <v>4.0000000000000001E-3</v>
      </c>
      <c r="J498" s="295">
        <f t="shared" si="7"/>
        <v>4.0000000000000001E-3</v>
      </c>
      <c r="L498" s="301"/>
      <c r="M498" s="295"/>
    </row>
    <row r="499" spans="8:13" x14ac:dyDescent="0.2">
      <c r="H499" s="301">
        <v>44388</v>
      </c>
      <c r="I499" s="295">
        <v>-9.7000000000000003E-3</v>
      </c>
      <c r="J499" s="295">
        <f t="shared" si="7"/>
        <v>-9.7000000000000003E-3</v>
      </c>
      <c r="L499" s="301"/>
      <c r="M499" s="295"/>
    </row>
    <row r="500" spans="8:13" x14ac:dyDescent="0.2">
      <c r="H500" s="301">
        <v>44395</v>
      </c>
      <c r="I500" s="295">
        <v>1.9599999999999999E-2</v>
      </c>
      <c r="J500" s="295">
        <f t="shared" si="7"/>
        <v>1.9599999999999999E-2</v>
      </c>
      <c r="L500" s="301"/>
      <c r="M500" s="295"/>
    </row>
    <row r="501" spans="8:13" x14ac:dyDescent="0.2">
      <c r="H501" s="301">
        <v>44402</v>
      </c>
      <c r="I501" s="295">
        <v>-3.7000000000000002E-3</v>
      </c>
      <c r="J501" s="295">
        <f t="shared" si="7"/>
        <v>-3.7000000000000002E-3</v>
      </c>
      <c r="L501" s="301"/>
      <c r="M501" s="295"/>
    </row>
    <row r="502" spans="8:13" x14ac:dyDescent="0.2">
      <c r="H502" s="301">
        <v>44409</v>
      </c>
      <c r="I502" s="295">
        <v>9.4000000000000004E-3</v>
      </c>
      <c r="J502" s="295">
        <f t="shared" si="7"/>
        <v>9.4000000000000004E-3</v>
      </c>
      <c r="L502" s="301"/>
      <c r="M502" s="295"/>
    </row>
    <row r="503" spans="8:13" x14ac:dyDescent="0.2">
      <c r="H503" s="301">
        <v>44416</v>
      </c>
      <c r="I503" s="295">
        <v>7.1000000000000004E-3</v>
      </c>
      <c r="J503" s="295">
        <f t="shared" si="7"/>
        <v>7.1000000000000004E-3</v>
      </c>
      <c r="L503" s="301"/>
      <c r="M503" s="295"/>
    </row>
    <row r="504" spans="8:13" x14ac:dyDescent="0.2">
      <c r="H504" s="301">
        <v>44423</v>
      </c>
      <c r="I504" s="295">
        <v>-5.8999999999999999E-3</v>
      </c>
      <c r="J504" s="295">
        <f t="shared" si="7"/>
        <v>-5.8999999999999999E-3</v>
      </c>
      <c r="L504" s="301"/>
      <c r="M504" s="295"/>
    </row>
    <row r="505" spans="8:13" x14ac:dyDescent="0.2">
      <c r="H505" s="301">
        <v>44430</v>
      </c>
      <c r="I505" s="295">
        <v>1.52E-2</v>
      </c>
      <c r="J505" s="295">
        <f t="shared" si="7"/>
        <v>1.52E-2</v>
      </c>
      <c r="L505" s="301"/>
      <c r="M505" s="295"/>
    </row>
    <row r="506" spans="8:13" x14ac:dyDescent="0.2">
      <c r="H506" s="301">
        <v>44437</v>
      </c>
      <c r="I506" s="295">
        <v>5.7999999999999996E-3</v>
      </c>
      <c r="J506" s="295">
        <f t="shared" si="7"/>
        <v>5.7999999999999996E-3</v>
      </c>
      <c r="L506" s="301"/>
      <c r="M506" s="295"/>
    </row>
    <row r="507" spans="8:13" x14ac:dyDescent="0.2">
      <c r="H507" s="301">
        <v>44444</v>
      </c>
      <c r="I507" s="295">
        <v>-1.6899999999999998E-2</v>
      </c>
      <c r="J507" s="295">
        <f t="shared" si="7"/>
        <v>-1.6899999999999998E-2</v>
      </c>
      <c r="L507" s="301"/>
      <c r="M507" s="295"/>
    </row>
    <row r="508" spans="8:13" x14ac:dyDescent="0.2">
      <c r="H508" s="301">
        <v>44451</v>
      </c>
      <c r="I508" s="295">
        <v>-5.7000000000000002E-3</v>
      </c>
      <c r="J508" s="295">
        <f t="shared" si="7"/>
        <v>-5.7000000000000002E-3</v>
      </c>
      <c r="L508" s="301"/>
      <c r="M508" s="295"/>
    </row>
    <row r="509" spans="8:13" x14ac:dyDescent="0.2">
      <c r="H509" s="301">
        <v>44458</v>
      </c>
      <c r="I509" s="295">
        <v>5.1000000000000004E-3</v>
      </c>
      <c r="J509" s="295">
        <f t="shared" si="7"/>
        <v>5.1000000000000004E-3</v>
      </c>
      <c r="L509" s="301"/>
      <c r="M509" s="295"/>
    </row>
    <row r="510" spans="8:13" x14ac:dyDescent="0.2">
      <c r="H510" s="301">
        <v>44465</v>
      </c>
      <c r="I510" s="295">
        <v>-2.2100000000000002E-2</v>
      </c>
      <c r="J510" s="295">
        <f t="shared" si="7"/>
        <v>-2.2100000000000002E-2</v>
      </c>
      <c r="L510" s="301"/>
      <c r="M510" s="295"/>
    </row>
    <row r="511" spans="8:13" x14ac:dyDescent="0.2">
      <c r="H511" s="301">
        <v>44472</v>
      </c>
      <c r="I511" s="295">
        <v>7.9000000000000008E-3</v>
      </c>
      <c r="J511" s="295">
        <f t="shared" si="7"/>
        <v>7.9000000000000008E-3</v>
      </c>
      <c r="L511" s="301"/>
      <c r="M511" s="295"/>
    </row>
    <row r="512" spans="8:13" x14ac:dyDescent="0.2">
      <c r="H512" s="301">
        <v>44479</v>
      </c>
      <c r="I512" s="295">
        <v>1.8200000000000001E-2</v>
      </c>
      <c r="J512" s="295">
        <f t="shared" si="7"/>
        <v>1.8200000000000001E-2</v>
      </c>
      <c r="L512" s="301"/>
      <c r="M512" s="295"/>
    </row>
    <row r="513" spans="8:13" x14ac:dyDescent="0.2">
      <c r="H513" s="301">
        <v>44486</v>
      </c>
      <c r="I513" s="295">
        <v>1.6400000000000001E-2</v>
      </c>
      <c r="J513" s="295">
        <f t="shared" si="7"/>
        <v>1.6400000000000001E-2</v>
      </c>
      <c r="L513" s="301"/>
      <c r="M513" s="295"/>
    </row>
    <row r="514" spans="8:13" x14ac:dyDescent="0.2">
      <c r="H514" s="301">
        <v>44493</v>
      </c>
      <c r="I514" s="295">
        <v>1.3299999999999999E-2</v>
      </c>
      <c r="J514" s="295">
        <f t="shared" si="7"/>
        <v>1.3299999999999999E-2</v>
      </c>
      <c r="L514" s="301"/>
      <c r="M514" s="295"/>
    </row>
    <row r="515" spans="8:13" x14ac:dyDescent="0.2">
      <c r="H515" s="301">
        <v>44500</v>
      </c>
      <c r="I515" s="295">
        <v>0.02</v>
      </c>
      <c r="J515" s="295">
        <f t="shared" si="7"/>
        <v>0.02</v>
      </c>
      <c r="L515" s="301"/>
      <c r="M515" s="295"/>
    </row>
    <row r="516" spans="8:13" x14ac:dyDescent="0.2">
      <c r="H516" s="301">
        <v>44507</v>
      </c>
      <c r="I516" s="295">
        <v>-3.0999999999999999E-3</v>
      </c>
      <c r="J516" s="295">
        <f t="shared" si="7"/>
        <v>-3.0999999999999999E-3</v>
      </c>
      <c r="L516" s="301"/>
      <c r="M516" s="295"/>
    </row>
    <row r="517" spans="8:13" x14ac:dyDescent="0.2">
      <c r="H517" s="301">
        <v>44514</v>
      </c>
      <c r="I517" s="295">
        <v>3.2000000000000002E-3</v>
      </c>
      <c r="J517" s="295">
        <f t="shared" si="7"/>
        <v>3.2000000000000002E-3</v>
      </c>
      <c r="L517" s="301"/>
      <c r="M517" s="295"/>
    </row>
    <row r="518" spans="8:13" x14ac:dyDescent="0.2">
      <c r="H518" s="301">
        <v>44521</v>
      </c>
      <c r="I518" s="295">
        <v>-2.1999999999999999E-2</v>
      </c>
      <c r="J518" s="295">
        <f t="shared" si="7"/>
        <v>-2.1999999999999999E-2</v>
      </c>
      <c r="L518" s="301"/>
      <c r="M518" s="295"/>
    </row>
    <row r="519" spans="8:13" x14ac:dyDescent="0.2">
      <c r="H519" s="301">
        <v>44528</v>
      </c>
      <c r="I519" s="295">
        <v>-1.2200000000000001E-2</v>
      </c>
      <c r="J519" s="295">
        <f t="shared" si="7"/>
        <v>-1.2200000000000001E-2</v>
      </c>
      <c r="L519" s="301"/>
      <c r="M519" s="295"/>
    </row>
    <row r="520" spans="8:13" x14ac:dyDescent="0.2">
      <c r="H520" s="301">
        <v>44535</v>
      </c>
      <c r="I520" s="295">
        <v>3.8199999999999998E-2</v>
      </c>
      <c r="J520" s="295">
        <f t="shared" si="7"/>
        <v>3.8199999999999998E-2</v>
      </c>
      <c r="L520" s="301"/>
      <c r="M520" s="295"/>
    </row>
    <row r="521" spans="8:13" x14ac:dyDescent="0.2">
      <c r="H521" s="301">
        <v>44542</v>
      </c>
      <c r="I521" s="295">
        <v>-1.9400000000000001E-2</v>
      </c>
      <c r="J521" s="295">
        <f t="shared" si="7"/>
        <v>-1.9400000000000001E-2</v>
      </c>
      <c r="L521" s="301"/>
      <c r="M521" s="295"/>
    </row>
    <row r="522" spans="8:13" x14ac:dyDescent="0.2">
      <c r="H522" s="301">
        <v>44549</v>
      </c>
      <c r="I522" s="295">
        <v>2.2800000000000001E-2</v>
      </c>
      <c r="J522" s="295">
        <f t="shared" si="7"/>
        <v>2.2800000000000001E-2</v>
      </c>
      <c r="L522" s="301"/>
      <c r="M522" s="295"/>
    </row>
    <row r="523" spans="8:13" x14ac:dyDescent="0.2">
      <c r="H523" s="301">
        <v>44556</v>
      </c>
      <c r="I523" s="295">
        <v>8.5000000000000006E-3</v>
      </c>
      <c r="J523" s="295">
        <f t="shared" si="7"/>
        <v>8.5000000000000006E-3</v>
      </c>
      <c r="L523" s="301"/>
      <c r="M523" s="295"/>
    </row>
    <row r="524" spans="8:13" x14ac:dyDescent="0.2">
      <c r="H524" s="301">
        <v>44563</v>
      </c>
      <c r="I524" s="295">
        <v>-1.8700000000000001E-2</v>
      </c>
      <c r="J524" s="295">
        <f t="shared" si="7"/>
        <v>-1.8700000000000001E-2</v>
      </c>
      <c r="L524" s="301"/>
      <c r="M524" s="295"/>
    </row>
    <row r="525" spans="8:13" x14ac:dyDescent="0.2">
      <c r="H525" s="301">
        <v>44570</v>
      </c>
      <c r="I525" s="295">
        <v>-3.0000000000000001E-3</v>
      </c>
      <c r="J525" s="295">
        <f t="shared" si="7"/>
        <v>-3.0000000000000001E-3</v>
      </c>
      <c r="L525" s="301"/>
      <c r="M525" s="295"/>
    </row>
    <row r="526" spans="8:13" x14ac:dyDescent="0.2">
      <c r="H526" s="301">
        <v>44577</v>
      </c>
      <c r="I526" s="295">
        <v>-5.6800000000000003E-2</v>
      </c>
      <c r="J526" s="295">
        <f t="shared" si="7"/>
        <v>-5.6800000000000003E-2</v>
      </c>
      <c r="L526" s="301"/>
      <c r="M526" s="295"/>
    </row>
    <row r="527" spans="8:13" x14ac:dyDescent="0.2">
      <c r="H527" s="301">
        <v>44584</v>
      </c>
      <c r="I527" s="295">
        <v>7.7000000000000002E-3</v>
      </c>
      <c r="J527" s="295">
        <f t="shared" si="7"/>
        <v>7.7000000000000002E-3</v>
      </c>
      <c r="L527" s="301"/>
      <c r="M527" s="295"/>
    </row>
    <row r="528" spans="8:13" x14ac:dyDescent="0.2">
      <c r="H528" s="301">
        <v>44591</v>
      </c>
      <c r="I528" s="295">
        <v>1.55E-2</v>
      </c>
      <c r="J528" s="295">
        <f t="shared" si="7"/>
        <v>1.55E-2</v>
      </c>
      <c r="L528" s="301"/>
      <c r="M528" s="295"/>
    </row>
    <row r="529" spans="8:13" x14ac:dyDescent="0.2">
      <c r="H529" s="301">
        <v>44598</v>
      </c>
      <c r="I529" s="295">
        <v>-1.8200000000000001E-2</v>
      </c>
      <c r="J529" s="295">
        <f t="shared" si="7"/>
        <v>-1.8200000000000001E-2</v>
      </c>
      <c r="L529" s="301"/>
      <c r="M529" s="295"/>
    </row>
    <row r="530" spans="8:13" x14ac:dyDescent="0.2">
      <c r="H530" s="301">
        <v>44605</v>
      </c>
      <c r="I530" s="295">
        <v>-1.5800000000000002E-2</v>
      </c>
      <c r="J530" s="295">
        <f t="shared" ref="J530:J538" si="8">I530-M530</f>
        <v>-1.5800000000000002E-2</v>
      </c>
      <c r="L530" s="301"/>
      <c r="M530" s="295"/>
    </row>
    <row r="531" spans="8:13" x14ac:dyDescent="0.2">
      <c r="H531" s="301">
        <v>44612</v>
      </c>
      <c r="I531" s="295">
        <v>8.2000000000000007E-3</v>
      </c>
      <c r="J531" s="295">
        <f t="shared" si="8"/>
        <v>8.2000000000000007E-3</v>
      </c>
      <c r="L531" s="301"/>
      <c r="M531" s="295"/>
    </row>
    <row r="532" spans="8:13" x14ac:dyDescent="0.2">
      <c r="H532" s="301">
        <v>44619</v>
      </c>
      <c r="I532" s="295">
        <v>-1.2699999999999999E-2</v>
      </c>
      <c r="J532" s="295">
        <f t="shared" si="8"/>
        <v>-1.2699999999999999E-2</v>
      </c>
      <c r="L532" s="301"/>
      <c r="M532" s="295"/>
    </row>
    <row r="533" spans="8:13" x14ac:dyDescent="0.2">
      <c r="H533" s="301">
        <v>44626</v>
      </c>
      <c r="I533" s="295">
        <v>-2.8799999999999999E-2</v>
      </c>
      <c r="J533" s="295">
        <f t="shared" si="8"/>
        <v>-2.8799999999999999E-2</v>
      </c>
      <c r="L533" s="301"/>
      <c r="M533" s="295"/>
    </row>
    <row r="534" spans="8:13" x14ac:dyDescent="0.2">
      <c r="H534" s="301">
        <v>44633</v>
      </c>
      <c r="I534" s="295">
        <v>6.1600000000000002E-2</v>
      </c>
      <c r="J534" s="295">
        <f t="shared" si="8"/>
        <v>6.1600000000000002E-2</v>
      </c>
      <c r="L534" s="301"/>
      <c r="M534" s="295"/>
    </row>
    <row r="535" spans="8:13" x14ac:dyDescent="0.2">
      <c r="H535" s="301">
        <v>44640</v>
      </c>
      <c r="I535" s="295">
        <v>1.7899999999999999E-2</v>
      </c>
      <c r="J535" s="295">
        <f t="shared" si="8"/>
        <v>1.7899999999999999E-2</v>
      </c>
      <c r="L535" s="301"/>
      <c r="M535" s="295"/>
    </row>
    <row r="536" spans="8:13" x14ac:dyDescent="0.2">
      <c r="H536" s="301">
        <v>44647</v>
      </c>
      <c r="I536" s="295">
        <v>5.9999999999999995E-4</v>
      </c>
      <c r="J536" s="295">
        <f t="shared" si="8"/>
        <v>5.9999999999999995E-4</v>
      </c>
      <c r="L536" s="301"/>
      <c r="M536" s="295"/>
    </row>
    <row r="537" spans="8:13" x14ac:dyDescent="0.2">
      <c r="H537" s="301">
        <v>44654</v>
      </c>
      <c r="I537" s="295">
        <v>-1.2699999999999999E-2</v>
      </c>
      <c r="J537" s="295">
        <f t="shared" si="8"/>
        <v>-1.2699999999999999E-2</v>
      </c>
      <c r="L537" s="301"/>
      <c r="M537" s="295"/>
    </row>
    <row r="538" spans="8:13" x14ac:dyDescent="0.2">
      <c r="H538" s="301">
        <v>44661</v>
      </c>
      <c r="I538" s="295">
        <v>-2.1299999999999999E-2</v>
      </c>
      <c r="J538" s="295">
        <f t="shared" si="8"/>
        <v>-2.1299999999999999E-2</v>
      </c>
      <c r="L538" s="301"/>
      <c r="M538" s="295"/>
    </row>
    <row r="539" spans="8:13" x14ac:dyDescent="0.2">
      <c r="H539" s="301"/>
      <c r="I539" s="295"/>
      <c r="L539" s="301"/>
      <c r="M539" s="295"/>
    </row>
    <row r="540" spans="8:13" x14ac:dyDescent="0.2">
      <c r="H540" s="301"/>
      <c r="I540" s="295"/>
      <c r="L540" s="301"/>
      <c r="M540" s="295"/>
    </row>
    <row r="541" spans="8:13" x14ac:dyDescent="0.2">
      <c r="H541" s="301"/>
      <c r="I541" s="302"/>
    </row>
    <row r="542" spans="8:13" x14ac:dyDescent="0.2">
      <c r="H542" s="301"/>
      <c r="I542" s="302"/>
    </row>
    <row r="543" spans="8:13" x14ac:dyDescent="0.2">
      <c r="H543" s="301"/>
      <c r="I543" s="302"/>
    </row>
    <row r="544" spans="8:13" x14ac:dyDescent="0.2">
      <c r="H544" s="301"/>
      <c r="I544" s="302"/>
    </row>
    <row r="545" spans="8:9" x14ac:dyDescent="0.2">
      <c r="H545" s="301"/>
      <c r="I545" s="302"/>
    </row>
    <row r="546" spans="8:9" x14ac:dyDescent="0.2">
      <c r="H546" s="301"/>
      <c r="I546" s="302"/>
    </row>
    <row r="547" spans="8:9" x14ac:dyDescent="0.2">
      <c r="H547" s="301"/>
      <c r="I547" s="302"/>
    </row>
    <row r="548" spans="8:9" x14ac:dyDescent="0.2">
      <c r="H548" s="301"/>
      <c r="I548" s="302"/>
    </row>
    <row r="549" spans="8:9" x14ac:dyDescent="0.2">
      <c r="H549" s="301"/>
      <c r="I549" s="302"/>
    </row>
    <row r="550" spans="8:9" x14ac:dyDescent="0.2">
      <c r="I550" s="302"/>
    </row>
    <row r="551" spans="8:9" x14ac:dyDescent="0.2">
      <c r="H551" s="301"/>
      <c r="I551" s="302"/>
    </row>
    <row r="552" spans="8:9" x14ac:dyDescent="0.2">
      <c r="H552" s="301"/>
      <c r="I552" s="302"/>
    </row>
    <row r="553" spans="8:9" x14ac:dyDescent="0.2">
      <c r="H553" s="301"/>
      <c r="I553" s="302"/>
    </row>
    <row r="554" spans="8:9" x14ac:dyDescent="0.2">
      <c r="H554" s="301"/>
      <c r="I554" s="302"/>
    </row>
    <row r="555" spans="8:9" x14ac:dyDescent="0.2">
      <c r="H555" s="301"/>
      <c r="I555" s="302"/>
    </row>
    <row r="556" spans="8:9" x14ac:dyDescent="0.2">
      <c r="H556" s="301"/>
      <c r="I556" s="302"/>
    </row>
    <row r="557" spans="8:9" x14ac:dyDescent="0.2">
      <c r="H557" s="301"/>
      <c r="I557" s="302"/>
    </row>
    <row r="558" spans="8:9" x14ac:dyDescent="0.2">
      <c r="H558" s="301"/>
      <c r="I558" s="302"/>
    </row>
    <row r="559" spans="8:9" x14ac:dyDescent="0.2">
      <c r="H559" s="301"/>
      <c r="I559" s="302"/>
    </row>
    <row r="560" spans="8:9" x14ac:dyDescent="0.2">
      <c r="H560" s="301"/>
      <c r="I560" s="302"/>
    </row>
    <row r="561" spans="8:9" x14ac:dyDescent="0.2">
      <c r="H561" s="301"/>
      <c r="I561" s="302"/>
    </row>
    <row r="562" spans="8:9" x14ac:dyDescent="0.2">
      <c r="H562" s="301"/>
      <c r="I562" s="302"/>
    </row>
    <row r="563" spans="8:9" x14ac:dyDescent="0.2">
      <c r="H563" s="301"/>
      <c r="I563" s="302"/>
    </row>
    <row r="564" spans="8:9" x14ac:dyDescent="0.2">
      <c r="I564" s="302"/>
    </row>
    <row r="565" spans="8:9" x14ac:dyDescent="0.2">
      <c r="H565" s="301"/>
      <c r="I565" s="302"/>
    </row>
    <row r="566" spans="8:9" x14ac:dyDescent="0.2">
      <c r="H566" s="301"/>
      <c r="I566" s="302"/>
    </row>
    <row r="567" spans="8:9" x14ac:dyDescent="0.2">
      <c r="H567" s="301"/>
      <c r="I567" s="302"/>
    </row>
    <row r="568" spans="8:9" x14ac:dyDescent="0.2">
      <c r="H568" s="301"/>
      <c r="I568" s="302"/>
    </row>
    <row r="569" spans="8:9" x14ac:dyDescent="0.2">
      <c r="H569" s="301"/>
      <c r="I569" s="302"/>
    </row>
    <row r="570" spans="8:9" x14ac:dyDescent="0.2">
      <c r="H570" s="301"/>
      <c r="I570" s="302"/>
    </row>
    <row r="571" spans="8:9" x14ac:dyDescent="0.2">
      <c r="H571" s="301"/>
      <c r="I571" s="302"/>
    </row>
    <row r="572" spans="8:9" x14ac:dyDescent="0.2">
      <c r="H572" s="301"/>
      <c r="I572" s="302"/>
    </row>
    <row r="573" spans="8:9" x14ac:dyDescent="0.2">
      <c r="H573" s="301"/>
      <c r="I573" s="302"/>
    </row>
    <row r="574" spans="8:9" x14ac:dyDescent="0.2">
      <c r="H574" s="301"/>
      <c r="I574" s="302"/>
    </row>
    <row r="575" spans="8:9" x14ac:dyDescent="0.2">
      <c r="H575" s="301"/>
      <c r="I575" s="302"/>
    </row>
    <row r="576" spans="8:9" x14ac:dyDescent="0.2">
      <c r="H576" s="301"/>
      <c r="I576" s="302"/>
    </row>
    <row r="577" spans="8:9" x14ac:dyDescent="0.2">
      <c r="H577" s="301"/>
      <c r="I577" s="302"/>
    </row>
    <row r="578" spans="8:9" x14ac:dyDescent="0.2">
      <c r="I578" s="302"/>
    </row>
    <row r="579" spans="8:9" x14ac:dyDescent="0.2">
      <c r="H579" s="301"/>
      <c r="I579" s="302"/>
    </row>
    <row r="580" spans="8:9" x14ac:dyDescent="0.2">
      <c r="H580" s="301"/>
      <c r="I580" s="302"/>
    </row>
    <row r="581" spans="8:9" x14ac:dyDescent="0.2">
      <c r="H581" s="301"/>
      <c r="I581" s="302"/>
    </row>
    <row r="582" spans="8:9" x14ac:dyDescent="0.2">
      <c r="H582" s="301"/>
      <c r="I582" s="302"/>
    </row>
    <row r="583" spans="8:9" x14ac:dyDescent="0.2">
      <c r="H583" s="301"/>
      <c r="I583" s="302"/>
    </row>
    <row r="584" spans="8:9" x14ac:dyDescent="0.2">
      <c r="H584" s="301"/>
      <c r="I584" s="302"/>
    </row>
    <row r="585" spans="8:9" x14ac:dyDescent="0.2">
      <c r="H585" s="301"/>
      <c r="I585" s="302"/>
    </row>
    <row r="586" spans="8:9" x14ac:dyDescent="0.2">
      <c r="H586" s="301"/>
      <c r="I586" s="302"/>
    </row>
    <row r="587" spans="8:9" x14ac:dyDescent="0.2">
      <c r="H587" s="301"/>
      <c r="I587" s="302"/>
    </row>
    <row r="588" spans="8:9" x14ac:dyDescent="0.2">
      <c r="H588" s="301"/>
      <c r="I588" s="302"/>
    </row>
    <row r="589" spans="8:9" x14ac:dyDescent="0.2">
      <c r="H589" s="301"/>
      <c r="I589" s="302"/>
    </row>
    <row r="590" spans="8:9" x14ac:dyDescent="0.2">
      <c r="H590" s="301"/>
      <c r="I590" s="302"/>
    </row>
    <row r="591" spans="8:9" x14ac:dyDescent="0.2">
      <c r="H591" s="301"/>
      <c r="I591" s="302"/>
    </row>
    <row r="592" spans="8:9" x14ac:dyDescent="0.2">
      <c r="I592" s="302"/>
    </row>
    <row r="593" spans="8:9" x14ac:dyDescent="0.2">
      <c r="H593" s="301"/>
      <c r="I593" s="302"/>
    </row>
    <row r="594" spans="8:9" x14ac:dyDescent="0.2">
      <c r="H594" s="301"/>
      <c r="I594" s="302"/>
    </row>
    <row r="595" spans="8:9" x14ac:dyDescent="0.2">
      <c r="H595" s="301"/>
      <c r="I595" s="302"/>
    </row>
    <row r="596" spans="8:9" x14ac:dyDescent="0.2">
      <c r="H596" s="301"/>
      <c r="I596" s="302"/>
    </row>
    <row r="597" spans="8:9" x14ac:dyDescent="0.2">
      <c r="H597" s="301"/>
      <c r="I597" s="302"/>
    </row>
    <row r="598" spans="8:9" x14ac:dyDescent="0.2">
      <c r="H598" s="301"/>
      <c r="I598" s="302"/>
    </row>
    <row r="599" spans="8:9" x14ac:dyDescent="0.2">
      <c r="H599" s="301"/>
      <c r="I599" s="302"/>
    </row>
    <row r="600" spans="8:9" x14ac:dyDescent="0.2">
      <c r="H600" s="301"/>
      <c r="I600" s="302"/>
    </row>
    <row r="601" spans="8:9" x14ac:dyDescent="0.2">
      <c r="H601" s="301"/>
      <c r="I601" s="302"/>
    </row>
    <row r="602" spans="8:9" x14ac:dyDescent="0.2">
      <c r="H602" s="301"/>
      <c r="I602" s="302"/>
    </row>
    <row r="603" spans="8:9" x14ac:dyDescent="0.2">
      <c r="H603" s="301"/>
      <c r="I603" s="302"/>
    </row>
    <row r="604" spans="8:9" x14ac:dyDescent="0.2">
      <c r="H604" s="301"/>
      <c r="I604" s="302"/>
    </row>
    <row r="605" spans="8:9" x14ac:dyDescent="0.2">
      <c r="H605" s="301"/>
      <c r="I605" s="302"/>
    </row>
    <row r="606" spans="8:9" x14ac:dyDescent="0.2">
      <c r="I606" s="302"/>
    </row>
    <row r="607" spans="8:9" x14ac:dyDescent="0.2">
      <c r="H607" s="301"/>
      <c r="I607" s="302"/>
    </row>
    <row r="608" spans="8:9" x14ac:dyDescent="0.2">
      <c r="H608" s="301"/>
      <c r="I608" s="302"/>
    </row>
    <row r="609" spans="8:9" x14ac:dyDescent="0.2">
      <c r="H609" s="301"/>
      <c r="I609" s="302"/>
    </row>
    <row r="610" spans="8:9" x14ac:dyDescent="0.2">
      <c r="H610" s="301"/>
      <c r="I610" s="302"/>
    </row>
    <row r="611" spans="8:9" x14ac:dyDescent="0.2">
      <c r="H611" s="301"/>
      <c r="I611" s="302"/>
    </row>
    <row r="612" spans="8:9" x14ac:dyDescent="0.2">
      <c r="H612" s="301"/>
      <c r="I612" s="302"/>
    </row>
    <row r="613" spans="8:9" x14ac:dyDescent="0.2">
      <c r="H613" s="301"/>
      <c r="I613" s="302"/>
    </row>
    <row r="614" spans="8:9" x14ac:dyDescent="0.2">
      <c r="H614" s="301"/>
      <c r="I614" s="302"/>
    </row>
    <row r="615" spans="8:9" x14ac:dyDescent="0.2">
      <c r="H615" s="301"/>
      <c r="I615" s="302"/>
    </row>
    <row r="616" spans="8:9" x14ac:dyDescent="0.2">
      <c r="H616" s="301"/>
      <c r="I616" s="302"/>
    </row>
    <row r="617" spans="8:9" x14ac:dyDescent="0.2">
      <c r="H617" s="301"/>
      <c r="I617" s="302"/>
    </row>
    <row r="618" spans="8:9" x14ac:dyDescent="0.2">
      <c r="H618" s="301"/>
      <c r="I618" s="302"/>
    </row>
    <row r="619" spans="8:9" x14ac:dyDescent="0.2">
      <c r="H619" s="301"/>
      <c r="I619" s="302"/>
    </row>
    <row r="620" spans="8:9" x14ac:dyDescent="0.2">
      <c r="I620" s="302"/>
    </row>
    <row r="621" spans="8:9" x14ac:dyDescent="0.2">
      <c r="H621" s="301"/>
      <c r="I621" s="302"/>
    </row>
    <row r="622" spans="8:9" x14ac:dyDescent="0.2">
      <c r="H622" s="301"/>
      <c r="I622" s="302"/>
    </row>
    <row r="623" spans="8:9" x14ac:dyDescent="0.2">
      <c r="H623" s="301"/>
      <c r="I623" s="302"/>
    </row>
    <row r="624" spans="8:9" x14ac:dyDescent="0.2">
      <c r="H624" s="301"/>
      <c r="I624" s="302"/>
    </row>
    <row r="625" spans="8:9" x14ac:dyDescent="0.2">
      <c r="H625" s="301"/>
      <c r="I625" s="302"/>
    </row>
    <row r="626" spans="8:9" x14ac:dyDescent="0.2">
      <c r="H626" s="301"/>
      <c r="I626" s="302"/>
    </row>
    <row r="627" spans="8:9" x14ac:dyDescent="0.2">
      <c r="H627" s="301"/>
      <c r="I627" s="302"/>
    </row>
    <row r="628" spans="8:9" x14ac:dyDescent="0.2">
      <c r="H628" s="301"/>
      <c r="I628" s="302"/>
    </row>
    <row r="629" spans="8:9" x14ac:dyDescent="0.2">
      <c r="H629" s="301"/>
      <c r="I629" s="302"/>
    </row>
    <row r="630" spans="8:9" x14ac:dyDescent="0.2">
      <c r="H630" s="301"/>
      <c r="I630" s="302"/>
    </row>
    <row r="631" spans="8:9" x14ac:dyDescent="0.2">
      <c r="H631" s="301"/>
      <c r="I631" s="302"/>
    </row>
    <row r="632" spans="8:9" x14ac:dyDescent="0.2">
      <c r="H632" s="301"/>
      <c r="I632" s="302"/>
    </row>
    <row r="633" spans="8:9" x14ac:dyDescent="0.2">
      <c r="H633" s="301"/>
      <c r="I633" s="302"/>
    </row>
    <row r="634" spans="8:9" x14ac:dyDescent="0.2">
      <c r="I634" s="302"/>
    </row>
    <row r="635" spans="8:9" x14ac:dyDescent="0.2">
      <c r="H635" s="301"/>
      <c r="I635" s="302"/>
    </row>
    <row r="636" spans="8:9" x14ac:dyDescent="0.2">
      <c r="H636" s="301"/>
      <c r="I636" s="302"/>
    </row>
    <row r="637" spans="8:9" x14ac:dyDescent="0.2">
      <c r="H637" s="301"/>
      <c r="I637" s="302"/>
    </row>
    <row r="638" spans="8:9" x14ac:dyDescent="0.2">
      <c r="H638" s="301"/>
      <c r="I638" s="302"/>
    </row>
    <row r="639" spans="8:9" x14ac:dyDescent="0.2">
      <c r="H639" s="301"/>
      <c r="I639" s="302"/>
    </row>
    <row r="640" spans="8:9" x14ac:dyDescent="0.2">
      <c r="H640" s="301"/>
      <c r="I640" s="302"/>
    </row>
    <row r="641" spans="8:9" x14ac:dyDescent="0.2">
      <c r="H641" s="301"/>
      <c r="I641" s="302"/>
    </row>
    <row r="642" spans="8:9" x14ac:dyDescent="0.2">
      <c r="H642" s="301"/>
      <c r="I642" s="302"/>
    </row>
    <row r="643" spans="8:9" x14ac:dyDescent="0.2">
      <c r="H643" s="301"/>
      <c r="I643" s="302"/>
    </row>
    <row r="644" spans="8:9" x14ac:dyDescent="0.2">
      <c r="H644" s="301"/>
      <c r="I644" s="302"/>
    </row>
    <row r="645" spans="8:9" x14ac:dyDescent="0.2">
      <c r="H645" s="301"/>
      <c r="I645" s="302"/>
    </row>
    <row r="646" spans="8:9" x14ac:dyDescent="0.2">
      <c r="H646" s="301"/>
      <c r="I646" s="302"/>
    </row>
    <row r="647" spans="8:9" x14ac:dyDescent="0.2">
      <c r="H647" s="301"/>
      <c r="I647" s="302"/>
    </row>
    <row r="648" spans="8:9" x14ac:dyDescent="0.2">
      <c r="I648" s="302"/>
    </row>
    <row r="649" spans="8:9" x14ac:dyDescent="0.2">
      <c r="H649" s="301"/>
      <c r="I649" s="302"/>
    </row>
    <row r="650" spans="8:9" x14ac:dyDescent="0.2">
      <c r="H650" s="301"/>
      <c r="I650" s="302"/>
    </row>
    <row r="651" spans="8:9" x14ac:dyDescent="0.2">
      <c r="H651" s="301"/>
      <c r="I651" s="302"/>
    </row>
    <row r="652" spans="8:9" x14ac:dyDescent="0.2">
      <c r="H652" s="301"/>
      <c r="I652" s="302"/>
    </row>
    <row r="653" spans="8:9" x14ac:dyDescent="0.2">
      <c r="H653" s="301"/>
      <c r="I653" s="302"/>
    </row>
    <row r="654" spans="8:9" x14ac:dyDescent="0.2">
      <c r="H654" s="301"/>
      <c r="I654" s="302"/>
    </row>
    <row r="655" spans="8:9" x14ac:dyDescent="0.2">
      <c r="H655" s="301"/>
      <c r="I655" s="302"/>
    </row>
    <row r="656" spans="8:9" x14ac:dyDescent="0.2">
      <c r="H656" s="301"/>
      <c r="I656" s="302"/>
    </row>
    <row r="657" spans="8:9" x14ac:dyDescent="0.2">
      <c r="H657" s="301"/>
      <c r="I657" s="302"/>
    </row>
    <row r="658" spans="8:9" x14ac:dyDescent="0.2">
      <c r="H658" s="301"/>
      <c r="I658" s="302"/>
    </row>
    <row r="659" spans="8:9" x14ac:dyDescent="0.2">
      <c r="H659" s="301"/>
      <c r="I659" s="302"/>
    </row>
    <row r="660" spans="8:9" x14ac:dyDescent="0.2">
      <c r="H660" s="301"/>
      <c r="I660" s="302"/>
    </row>
    <row r="661" spans="8:9" x14ac:dyDescent="0.2">
      <c r="H661" s="301"/>
      <c r="I661" s="302"/>
    </row>
    <row r="662" spans="8:9" x14ac:dyDescent="0.2">
      <c r="I662" s="302"/>
    </row>
    <row r="663" spans="8:9" x14ac:dyDescent="0.2">
      <c r="H663" s="301"/>
      <c r="I663" s="302"/>
    </row>
    <row r="664" spans="8:9" x14ac:dyDescent="0.2">
      <c r="H664" s="301"/>
      <c r="I664" s="302"/>
    </row>
    <row r="665" spans="8:9" x14ac:dyDescent="0.2">
      <c r="H665" s="301"/>
      <c r="I665" s="302"/>
    </row>
    <row r="666" spans="8:9" x14ac:dyDescent="0.2">
      <c r="H666" s="301"/>
      <c r="I666" s="302"/>
    </row>
    <row r="667" spans="8:9" x14ac:dyDescent="0.2">
      <c r="H667" s="301"/>
      <c r="I667" s="302"/>
    </row>
    <row r="668" spans="8:9" x14ac:dyDescent="0.2">
      <c r="H668" s="301"/>
      <c r="I668" s="302"/>
    </row>
    <row r="669" spans="8:9" x14ac:dyDescent="0.2">
      <c r="H669" s="301"/>
      <c r="I669" s="302"/>
    </row>
    <row r="670" spans="8:9" x14ac:dyDescent="0.2">
      <c r="H670" s="301"/>
      <c r="I670" s="302"/>
    </row>
    <row r="671" spans="8:9" x14ac:dyDescent="0.2">
      <c r="H671" s="301"/>
      <c r="I671" s="302"/>
    </row>
    <row r="672" spans="8:9" x14ac:dyDescent="0.2">
      <c r="H672" s="301"/>
      <c r="I672" s="302"/>
    </row>
    <row r="673" spans="8:9" x14ac:dyDescent="0.2">
      <c r="H673" s="301"/>
      <c r="I673" s="302"/>
    </row>
    <row r="674" spans="8:9" x14ac:dyDescent="0.2">
      <c r="H674" s="301"/>
      <c r="I674" s="302"/>
    </row>
    <row r="675" spans="8:9" x14ac:dyDescent="0.2">
      <c r="H675" s="301"/>
      <c r="I675" s="302"/>
    </row>
    <row r="676" spans="8:9" x14ac:dyDescent="0.2">
      <c r="I676" s="302"/>
    </row>
    <row r="677" spans="8:9" x14ac:dyDescent="0.2">
      <c r="H677" s="301"/>
      <c r="I677" s="302"/>
    </row>
    <row r="678" spans="8:9" x14ac:dyDescent="0.2">
      <c r="H678" s="301"/>
      <c r="I678" s="302"/>
    </row>
    <row r="679" spans="8:9" x14ac:dyDescent="0.2">
      <c r="H679" s="301"/>
      <c r="I679" s="302"/>
    </row>
    <row r="680" spans="8:9" x14ac:dyDescent="0.2">
      <c r="H680" s="301"/>
      <c r="I680" s="302"/>
    </row>
    <row r="681" spans="8:9" x14ac:dyDescent="0.2">
      <c r="H681" s="301"/>
      <c r="I681" s="302"/>
    </row>
    <row r="682" spans="8:9" x14ac:dyDescent="0.2">
      <c r="H682" s="301"/>
      <c r="I682" s="302"/>
    </row>
    <row r="683" spans="8:9" x14ac:dyDescent="0.2">
      <c r="H683" s="301"/>
      <c r="I683" s="302"/>
    </row>
    <row r="684" spans="8:9" x14ac:dyDescent="0.2">
      <c r="H684" s="301"/>
      <c r="I684" s="302"/>
    </row>
    <row r="685" spans="8:9" x14ac:dyDescent="0.2">
      <c r="H685" s="301"/>
      <c r="I685" s="302"/>
    </row>
    <row r="686" spans="8:9" x14ac:dyDescent="0.2">
      <c r="H686" s="301"/>
      <c r="I686" s="302"/>
    </row>
    <row r="687" spans="8:9" x14ac:dyDescent="0.2">
      <c r="H687" s="301"/>
      <c r="I687" s="302"/>
    </row>
    <row r="688" spans="8:9" x14ac:dyDescent="0.2">
      <c r="H688" s="301"/>
      <c r="I688" s="302"/>
    </row>
    <row r="689" spans="8:9" x14ac:dyDescent="0.2">
      <c r="H689" s="301"/>
      <c r="I689" s="302"/>
    </row>
    <row r="690" spans="8:9" x14ac:dyDescent="0.2">
      <c r="I690" s="302"/>
    </row>
    <row r="691" spans="8:9" x14ac:dyDescent="0.2">
      <c r="H691" s="301"/>
      <c r="I691" s="302"/>
    </row>
    <row r="692" spans="8:9" x14ac:dyDescent="0.2">
      <c r="H692" s="301"/>
      <c r="I692" s="302"/>
    </row>
    <row r="693" spans="8:9" x14ac:dyDescent="0.2">
      <c r="H693" s="301"/>
      <c r="I693" s="302"/>
    </row>
    <row r="694" spans="8:9" x14ac:dyDescent="0.2">
      <c r="H694" s="301"/>
      <c r="I694" s="302"/>
    </row>
    <row r="695" spans="8:9" x14ac:dyDescent="0.2">
      <c r="H695" s="301"/>
      <c r="I695" s="302"/>
    </row>
    <row r="696" spans="8:9" x14ac:dyDescent="0.2">
      <c r="H696" s="301"/>
      <c r="I696" s="302"/>
    </row>
    <row r="697" spans="8:9" x14ac:dyDescent="0.2">
      <c r="H697" s="301"/>
      <c r="I697" s="302"/>
    </row>
    <row r="698" spans="8:9" x14ac:dyDescent="0.2">
      <c r="H698" s="301"/>
      <c r="I698" s="302"/>
    </row>
    <row r="699" spans="8:9" x14ac:dyDescent="0.2">
      <c r="H699" s="301"/>
      <c r="I699" s="302"/>
    </row>
    <row r="700" spans="8:9" x14ac:dyDescent="0.2">
      <c r="H700" s="301"/>
      <c r="I700" s="302"/>
    </row>
    <row r="701" spans="8:9" x14ac:dyDescent="0.2">
      <c r="H701" s="301"/>
      <c r="I701" s="302"/>
    </row>
    <row r="702" spans="8:9" x14ac:dyDescent="0.2">
      <c r="H702" s="301"/>
      <c r="I702" s="302"/>
    </row>
    <row r="703" spans="8:9" x14ac:dyDescent="0.2">
      <c r="H703" s="301"/>
      <c r="I703" s="302"/>
    </row>
    <row r="704" spans="8:9" x14ac:dyDescent="0.2">
      <c r="I704" s="302"/>
    </row>
    <row r="705" spans="8:9" x14ac:dyDescent="0.2">
      <c r="H705" s="301"/>
      <c r="I705" s="302"/>
    </row>
    <row r="706" spans="8:9" x14ac:dyDescent="0.2">
      <c r="H706" s="301"/>
      <c r="I706" s="302"/>
    </row>
    <row r="707" spans="8:9" x14ac:dyDescent="0.2">
      <c r="H707" s="301"/>
      <c r="I707" s="302"/>
    </row>
    <row r="708" spans="8:9" x14ac:dyDescent="0.2">
      <c r="H708" s="301"/>
      <c r="I708" s="302"/>
    </row>
    <row r="709" spans="8:9" x14ac:dyDescent="0.2">
      <c r="H709" s="301"/>
      <c r="I709" s="302"/>
    </row>
    <row r="710" spans="8:9" x14ac:dyDescent="0.2">
      <c r="H710" s="301"/>
      <c r="I710" s="302"/>
    </row>
    <row r="711" spans="8:9" x14ac:dyDescent="0.2">
      <c r="H711" s="301"/>
      <c r="I711" s="302"/>
    </row>
    <row r="712" spans="8:9" x14ac:dyDescent="0.2">
      <c r="H712" s="301"/>
      <c r="I712" s="302"/>
    </row>
    <row r="713" spans="8:9" x14ac:dyDescent="0.2">
      <c r="H713" s="301"/>
      <c r="I713" s="302"/>
    </row>
    <row r="714" spans="8:9" x14ac:dyDescent="0.2">
      <c r="H714" s="301"/>
      <c r="I714" s="302"/>
    </row>
    <row r="715" spans="8:9" x14ac:dyDescent="0.2">
      <c r="H715" s="301"/>
      <c r="I715" s="302"/>
    </row>
    <row r="716" spans="8:9" x14ac:dyDescent="0.2">
      <c r="H716" s="301"/>
      <c r="I716" s="302"/>
    </row>
    <row r="717" spans="8:9" x14ac:dyDescent="0.2">
      <c r="H717" s="301"/>
      <c r="I717" s="302"/>
    </row>
    <row r="718" spans="8:9" x14ac:dyDescent="0.2">
      <c r="I718" s="302"/>
    </row>
    <row r="719" spans="8:9" x14ac:dyDescent="0.2">
      <c r="H719" s="301"/>
      <c r="I719" s="302"/>
    </row>
    <row r="720" spans="8:9" x14ac:dyDescent="0.2">
      <c r="H720" s="301"/>
      <c r="I720" s="302"/>
    </row>
    <row r="721" spans="8:9" x14ac:dyDescent="0.2">
      <c r="H721" s="301"/>
      <c r="I721" s="302"/>
    </row>
    <row r="722" spans="8:9" x14ac:dyDescent="0.2">
      <c r="H722" s="301"/>
      <c r="I722" s="302"/>
    </row>
    <row r="723" spans="8:9" x14ac:dyDescent="0.2">
      <c r="H723" s="301"/>
      <c r="I723" s="302"/>
    </row>
    <row r="724" spans="8:9" x14ac:dyDescent="0.2">
      <c r="H724" s="301"/>
      <c r="I724" s="302"/>
    </row>
    <row r="725" spans="8:9" x14ac:dyDescent="0.2">
      <c r="H725" s="301"/>
      <c r="I725" s="302"/>
    </row>
    <row r="726" spans="8:9" x14ac:dyDescent="0.2">
      <c r="H726" s="301"/>
      <c r="I726" s="302"/>
    </row>
    <row r="727" spans="8:9" x14ac:dyDescent="0.2">
      <c r="H727" s="301"/>
      <c r="I727" s="302"/>
    </row>
    <row r="728" spans="8:9" x14ac:dyDescent="0.2">
      <c r="H728" s="301"/>
      <c r="I728" s="302"/>
    </row>
    <row r="729" spans="8:9" x14ac:dyDescent="0.2">
      <c r="H729" s="301"/>
      <c r="I729" s="302"/>
    </row>
    <row r="730" spans="8:9" x14ac:dyDescent="0.2">
      <c r="H730" s="301"/>
      <c r="I730" s="302"/>
    </row>
    <row r="731" spans="8:9" x14ac:dyDescent="0.2">
      <c r="H731" s="301"/>
      <c r="I731" s="302"/>
    </row>
    <row r="732" spans="8:9" x14ac:dyDescent="0.2">
      <c r="I732" s="302"/>
    </row>
    <row r="733" spans="8:9" x14ac:dyDescent="0.2">
      <c r="H733" s="301"/>
      <c r="I733" s="302"/>
    </row>
    <row r="734" spans="8:9" x14ac:dyDescent="0.2">
      <c r="H734" s="301"/>
      <c r="I734" s="302"/>
    </row>
    <row r="735" spans="8:9" x14ac:dyDescent="0.2">
      <c r="H735" s="301"/>
      <c r="I735" s="302"/>
    </row>
    <row r="736" spans="8:9" x14ac:dyDescent="0.2">
      <c r="H736" s="301"/>
      <c r="I736" s="302"/>
    </row>
    <row r="737" spans="8:9" x14ac:dyDescent="0.2">
      <c r="H737" s="301"/>
      <c r="I737" s="302"/>
    </row>
    <row r="738" spans="8:9" x14ac:dyDescent="0.2">
      <c r="H738" s="301"/>
      <c r="I738" s="302"/>
    </row>
    <row r="739" spans="8:9" x14ac:dyDescent="0.2">
      <c r="H739" s="301"/>
      <c r="I739" s="302"/>
    </row>
    <row r="740" spans="8:9" x14ac:dyDescent="0.2">
      <c r="H740" s="301"/>
      <c r="I740" s="302"/>
    </row>
    <row r="741" spans="8:9" x14ac:dyDescent="0.2">
      <c r="H741" s="301"/>
      <c r="I741" s="302"/>
    </row>
    <row r="742" spans="8:9" x14ac:dyDescent="0.2">
      <c r="H742" s="301"/>
      <c r="I742" s="302"/>
    </row>
    <row r="743" spans="8:9" x14ac:dyDescent="0.2">
      <c r="H743" s="301"/>
      <c r="I743" s="302"/>
    </row>
    <row r="744" spans="8:9" x14ac:dyDescent="0.2">
      <c r="H744" s="301"/>
      <c r="I744" s="302"/>
    </row>
    <row r="745" spans="8:9" x14ac:dyDescent="0.2">
      <c r="H745" s="301"/>
      <c r="I745" s="302"/>
    </row>
    <row r="746" spans="8:9" x14ac:dyDescent="0.2">
      <c r="I746" s="302"/>
    </row>
    <row r="747" spans="8:9" x14ac:dyDescent="0.2">
      <c r="H747" s="301"/>
      <c r="I747" s="302"/>
    </row>
    <row r="748" spans="8:9" x14ac:dyDescent="0.2">
      <c r="H748" s="301"/>
      <c r="I748" s="302"/>
    </row>
    <row r="749" spans="8:9" x14ac:dyDescent="0.2">
      <c r="H749" s="301"/>
      <c r="I749" s="302"/>
    </row>
    <row r="750" spans="8:9" x14ac:dyDescent="0.2">
      <c r="H750" s="301"/>
      <c r="I750" s="302"/>
    </row>
    <row r="751" spans="8:9" x14ac:dyDescent="0.2">
      <c r="H751" s="301"/>
      <c r="I751" s="302"/>
    </row>
    <row r="752" spans="8:9" x14ac:dyDescent="0.2">
      <c r="H752" s="301"/>
      <c r="I752" s="302"/>
    </row>
    <row r="753" spans="8:9" x14ac:dyDescent="0.2">
      <c r="H753" s="301"/>
      <c r="I753" s="302"/>
    </row>
    <row r="754" spans="8:9" x14ac:dyDescent="0.2">
      <c r="H754" s="301"/>
      <c r="I754" s="302"/>
    </row>
    <row r="755" spans="8:9" x14ac:dyDescent="0.2">
      <c r="H755" s="301"/>
      <c r="I755" s="302"/>
    </row>
    <row r="756" spans="8:9" x14ac:dyDescent="0.2">
      <c r="H756" s="301"/>
      <c r="I756" s="302"/>
    </row>
    <row r="757" spans="8:9" x14ac:dyDescent="0.2">
      <c r="H757" s="301"/>
      <c r="I757" s="302"/>
    </row>
    <row r="758" spans="8:9" x14ac:dyDescent="0.2">
      <c r="H758" s="301"/>
      <c r="I758" s="302"/>
    </row>
    <row r="759" spans="8:9" x14ac:dyDescent="0.2">
      <c r="H759" s="301"/>
      <c r="I759" s="302"/>
    </row>
    <row r="760" spans="8:9" x14ac:dyDescent="0.2">
      <c r="I760" s="302"/>
    </row>
    <row r="761" spans="8:9" x14ac:dyDescent="0.2">
      <c r="H761" s="301"/>
      <c r="I761" s="302"/>
    </row>
    <row r="762" spans="8:9" x14ac:dyDescent="0.2">
      <c r="H762" s="301"/>
      <c r="I762" s="302"/>
    </row>
    <row r="763" spans="8:9" x14ac:dyDescent="0.2">
      <c r="H763" s="301"/>
      <c r="I763" s="302"/>
    </row>
    <row r="764" spans="8:9" x14ac:dyDescent="0.2">
      <c r="H764" s="301"/>
      <c r="I764" s="302"/>
    </row>
    <row r="765" spans="8:9" x14ac:dyDescent="0.2">
      <c r="H765" s="301"/>
      <c r="I765" s="302"/>
    </row>
    <row r="766" spans="8:9" x14ac:dyDescent="0.2">
      <c r="H766" s="301"/>
      <c r="I766" s="302"/>
    </row>
    <row r="767" spans="8:9" x14ac:dyDescent="0.2">
      <c r="H767" s="301"/>
      <c r="I767" s="302"/>
    </row>
    <row r="768" spans="8:9" x14ac:dyDescent="0.2">
      <c r="H768" s="301"/>
      <c r="I768" s="302"/>
    </row>
    <row r="769" spans="8:9" x14ac:dyDescent="0.2">
      <c r="H769" s="301"/>
      <c r="I769" s="302"/>
    </row>
    <row r="770" spans="8:9" x14ac:dyDescent="0.2">
      <c r="H770" s="301"/>
      <c r="I770" s="302"/>
    </row>
    <row r="771" spans="8:9" x14ac:dyDescent="0.2">
      <c r="H771" s="301"/>
      <c r="I771" s="302"/>
    </row>
    <row r="772" spans="8:9" x14ac:dyDescent="0.2">
      <c r="H772" s="301"/>
      <c r="I772" s="302"/>
    </row>
    <row r="773" spans="8:9" x14ac:dyDescent="0.2">
      <c r="H773" s="301"/>
      <c r="I773" s="302"/>
    </row>
    <row r="774" spans="8:9" x14ac:dyDescent="0.2">
      <c r="I774" s="302"/>
    </row>
    <row r="775" spans="8:9" x14ac:dyDescent="0.2">
      <c r="H775" s="301"/>
      <c r="I775" s="302"/>
    </row>
    <row r="776" spans="8:9" x14ac:dyDescent="0.2">
      <c r="H776" s="301"/>
      <c r="I776" s="302"/>
    </row>
    <row r="777" spans="8:9" x14ac:dyDescent="0.2">
      <c r="H777" s="301"/>
      <c r="I777" s="302"/>
    </row>
    <row r="778" spans="8:9" x14ac:dyDescent="0.2">
      <c r="H778" s="301"/>
      <c r="I778" s="302"/>
    </row>
    <row r="779" spans="8:9" x14ac:dyDescent="0.2">
      <c r="H779" s="301"/>
      <c r="I779" s="302"/>
    </row>
    <row r="780" spans="8:9" x14ac:dyDescent="0.2">
      <c r="H780" s="301"/>
      <c r="I780" s="302"/>
    </row>
    <row r="781" spans="8:9" x14ac:dyDescent="0.2">
      <c r="H781" s="301"/>
      <c r="I781" s="302"/>
    </row>
    <row r="782" spans="8:9" x14ac:dyDescent="0.2">
      <c r="H782" s="301"/>
      <c r="I782" s="302"/>
    </row>
    <row r="783" spans="8:9" x14ac:dyDescent="0.2">
      <c r="H783" s="301"/>
      <c r="I783" s="302"/>
    </row>
    <row r="784" spans="8:9" x14ac:dyDescent="0.2">
      <c r="H784" s="301"/>
      <c r="I784" s="302"/>
    </row>
    <row r="785" spans="8:9" x14ac:dyDescent="0.2">
      <c r="H785" s="301"/>
      <c r="I785" s="302"/>
    </row>
    <row r="786" spans="8:9" x14ac:dyDescent="0.2">
      <c r="H786" s="301"/>
      <c r="I786" s="302"/>
    </row>
    <row r="787" spans="8:9" x14ac:dyDescent="0.2">
      <c r="H787" s="301"/>
      <c r="I787" s="302"/>
    </row>
    <row r="788" spans="8:9" x14ac:dyDescent="0.2">
      <c r="I788" s="302"/>
    </row>
    <row r="789" spans="8:9" x14ac:dyDescent="0.2">
      <c r="H789" s="301"/>
      <c r="I789" s="302"/>
    </row>
    <row r="790" spans="8:9" x14ac:dyDescent="0.2">
      <c r="H790" s="301"/>
      <c r="I790" s="302"/>
    </row>
    <row r="791" spans="8:9" x14ac:dyDescent="0.2">
      <c r="H791" s="301"/>
      <c r="I791" s="302"/>
    </row>
    <row r="792" spans="8:9" x14ac:dyDescent="0.2">
      <c r="H792" s="301"/>
      <c r="I792" s="302"/>
    </row>
    <row r="793" spans="8:9" x14ac:dyDescent="0.2">
      <c r="H793" s="301"/>
      <c r="I793" s="302"/>
    </row>
    <row r="794" spans="8:9" x14ac:dyDescent="0.2">
      <c r="H794" s="301"/>
      <c r="I794" s="302"/>
    </row>
    <row r="795" spans="8:9" x14ac:dyDescent="0.2">
      <c r="H795" s="301"/>
      <c r="I795" s="302"/>
    </row>
    <row r="796" spans="8:9" x14ac:dyDescent="0.2">
      <c r="H796" s="301"/>
      <c r="I796" s="302"/>
    </row>
    <row r="797" spans="8:9" x14ac:dyDescent="0.2">
      <c r="H797" s="301"/>
      <c r="I797" s="302"/>
    </row>
    <row r="798" spans="8:9" x14ac:dyDescent="0.2">
      <c r="H798" s="301"/>
      <c r="I798" s="302"/>
    </row>
    <row r="799" spans="8:9" x14ac:dyDescent="0.2">
      <c r="H799" s="301"/>
      <c r="I799" s="302"/>
    </row>
    <row r="800" spans="8:9" x14ac:dyDescent="0.2">
      <c r="H800" s="301"/>
      <c r="I800" s="302"/>
    </row>
    <row r="801" spans="8:9" x14ac:dyDescent="0.2">
      <c r="H801" s="301"/>
      <c r="I801" s="302"/>
    </row>
    <row r="802" spans="8:9" x14ac:dyDescent="0.2">
      <c r="I802" s="302"/>
    </row>
    <row r="803" spans="8:9" x14ac:dyDescent="0.2">
      <c r="H803" s="301"/>
      <c r="I803" s="302"/>
    </row>
    <row r="804" spans="8:9" x14ac:dyDescent="0.2">
      <c r="H804" s="301"/>
      <c r="I804" s="302"/>
    </row>
    <row r="805" spans="8:9" x14ac:dyDescent="0.2">
      <c r="H805" s="301"/>
      <c r="I805" s="302"/>
    </row>
    <row r="806" spans="8:9" x14ac:dyDescent="0.2">
      <c r="H806" s="301"/>
      <c r="I806" s="302"/>
    </row>
    <row r="807" spans="8:9" x14ac:dyDescent="0.2">
      <c r="H807" s="301"/>
      <c r="I807" s="302"/>
    </row>
    <row r="808" spans="8:9" x14ac:dyDescent="0.2">
      <c r="H808" s="301"/>
      <c r="I808" s="302"/>
    </row>
    <row r="809" spans="8:9" x14ac:dyDescent="0.2">
      <c r="H809" s="301"/>
      <c r="I809" s="302"/>
    </row>
    <row r="810" spans="8:9" x14ac:dyDescent="0.2">
      <c r="H810" s="301"/>
      <c r="I810" s="302"/>
    </row>
    <row r="811" spans="8:9" x14ac:dyDescent="0.2">
      <c r="H811" s="301"/>
      <c r="I811" s="302"/>
    </row>
    <row r="812" spans="8:9" x14ac:dyDescent="0.2">
      <c r="H812" s="301"/>
      <c r="I812" s="302"/>
    </row>
    <row r="813" spans="8:9" x14ac:dyDescent="0.2">
      <c r="H813" s="301"/>
      <c r="I813" s="302"/>
    </row>
    <row r="814" spans="8:9" x14ac:dyDescent="0.2">
      <c r="H814" s="301"/>
      <c r="I814" s="302"/>
    </row>
    <row r="815" spans="8:9" x14ac:dyDescent="0.2">
      <c r="H815" s="301"/>
      <c r="I815" s="302"/>
    </row>
    <row r="816" spans="8:9" x14ac:dyDescent="0.2">
      <c r="I816" s="302"/>
    </row>
    <row r="817" spans="8:9" x14ac:dyDescent="0.2">
      <c r="H817" s="301"/>
      <c r="I817" s="302"/>
    </row>
    <row r="818" spans="8:9" x14ac:dyDescent="0.2">
      <c r="H818" s="301"/>
      <c r="I818" s="302"/>
    </row>
    <row r="819" spans="8:9" x14ac:dyDescent="0.2">
      <c r="H819" s="301"/>
      <c r="I819" s="302"/>
    </row>
    <row r="820" spans="8:9" x14ac:dyDescent="0.2">
      <c r="H820" s="301"/>
      <c r="I820" s="302"/>
    </row>
    <row r="821" spans="8:9" x14ac:dyDescent="0.2">
      <c r="H821" s="301"/>
      <c r="I821" s="302"/>
    </row>
    <row r="822" spans="8:9" x14ac:dyDescent="0.2">
      <c r="H822" s="301"/>
      <c r="I822" s="302"/>
    </row>
    <row r="823" spans="8:9" x14ac:dyDescent="0.2">
      <c r="H823" s="301"/>
      <c r="I823" s="302"/>
    </row>
    <row r="824" spans="8:9" x14ac:dyDescent="0.2">
      <c r="H824" s="301"/>
      <c r="I824" s="302"/>
    </row>
    <row r="825" spans="8:9" x14ac:dyDescent="0.2">
      <c r="H825" s="301"/>
      <c r="I825" s="302"/>
    </row>
    <row r="826" spans="8:9" x14ac:dyDescent="0.2">
      <c r="H826" s="301"/>
      <c r="I826" s="302"/>
    </row>
    <row r="827" spans="8:9" x14ac:dyDescent="0.2">
      <c r="H827" s="301"/>
      <c r="I827" s="302"/>
    </row>
    <row r="828" spans="8:9" x14ac:dyDescent="0.2">
      <c r="H828" s="301"/>
      <c r="I828" s="302"/>
    </row>
    <row r="829" spans="8:9" x14ac:dyDescent="0.2">
      <c r="H829" s="301"/>
      <c r="I829" s="302"/>
    </row>
    <row r="830" spans="8:9" x14ac:dyDescent="0.2">
      <c r="I830" s="302"/>
    </row>
    <row r="831" spans="8:9" x14ac:dyDescent="0.2">
      <c r="H831" s="301"/>
      <c r="I831" s="302"/>
    </row>
    <row r="832" spans="8:9" x14ac:dyDescent="0.2">
      <c r="H832" s="301"/>
      <c r="I832" s="302"/>
    </row>
    <row r="833" spans="8:9" x14ac:dyDescent="0.2">
      <c r="H833" s="301"/>
      <c r="I833" s="302"/>
    </row>
    <row r="834" spans="8:9" x14ac:dyDescent="0.2">
      <c r="H834" s="301"/>
      <c r="I834" s="302"/>
    </row>
    <row r="835" spans="8:9" x14ac:dyDescent="0.2">
      <c r="H835" s="301"/>
      <c r="I835" s="302"/>
    </row>
    <row r="836" spans="8:9" x14ac:dyDescent="0.2">
      <c r="H836" s="301"/>
      <c r="I836" s="302"/>
    </row>
    <row r="837" spans="8:9" x14ac:dyDescent="0.2">
      <c r="H837" s="301"/>
      <c r="I837" s="302"/>
    </row>
    <row r="838" spans="8:9" x14ac:dyDescent="0.2">
      <c r="H838" s="301"/>
      <c r="I838" s="302"/>
    </row>
    <row r="839" spans="8:9" x14ac:dyDescent="0.2">
      <c r="H839" s="301"/>
      <c r="I839" s="302"/>
    </row>
    <row r="840" spans="8:9" x14ac:dyDescent="0.2">
      <c r="H840" s="301"/>
      <c r="I840" s="302"/>
    </row>
    <row r="841" spans="8:9" x14ac:dyDescent="0.2">
      <c r="H841" s="301"/>
      <c r="I841" s="302"/>
    </row>
    <row r="842" spans="8:9" x14ac:dyDescent="0.2">
      <c r="H842" s="301"/>
      <c r="I842" s="302"/>
    </row>
    <row r="843" spans="8:9" x14ac:dyDescent="0.2">
      <c r="H843" s="301"/>
      <c r="I843" s="302"/>
    </row>
    <row r="844" spans="8:9" x14ac:dyDescent="0.2">
      <c r="I844" s="302"/>
    </row>
    <row r="845" spans="8:9" x14ac:dyDescent="0.2">
      <c r="H845" s="301"/>
      <c r="I845" s="302"/>
    </row>
    <row r="846" spans="8:9" x14ac:dyDescent="0.2">
      <c r="H846" s="301"/>
      <c r="I846" s="302"/>
    </row>
    <row r="847" spans="8:9" x14ac:dyDescent="0.2">
      <c r="H847" s="301"/>
      <c r="I847" s="302"/>
    </row>
    <row r="848" spans="8:9" x14ac:dyDescent="0.2">
      <c r="H848" s="301"/>
      <c r="I848" s="302"/>
    </row>
    <row r="849" spans="8:9" x14ac:dyDescent="0.2">
      <c r="H849" s="301"/>
      <c r="I849" s="302"/>
    </row>
    <row r="850" spans="8:9" x14ac:dyDescent="0.2">
      <c r="H850" s="301"/>
      <c r="I850" s="302"/>
    </row>
    <row r="851" spans="8:9" x14ac:dyDescent="0.2">
      <c r="H851" s="301"/>
      <c r="I851" s="302"/>
    </row>
    <row r="852" spans="8:9" x14ac:dyDescent="0.2">
      <c r="H852" s="301"/>
      <c r="I852" s="302"/>
    </row>
    <row r="853" spans="8:9" x14ac:dyDescent="0.2">
      <c r="H853" s="301"/>
      <c r="I853" s="302"/>
    </row>
    <row r="854" spans="8:9" x14ac:dyDescent="0.2">
      <c r="H854" s="301"/>
      <c r="I854" s="302"/>
    </row>
    <row r="855" spans="8:9" x14ac:dyDescent="0.2">
      <c r="H855" s="301"/>
      <c r="I855" s="302"/>
    </row>
    <row r="856" spans="8:9" x14ac:dyDescent="0.2">
      <c r="H856" s="301"/>
      <c r="I856" s="302"/>
    </row>
    <row r="857" spans="8:9" x14ac:dyDescent="0.2">
      <c r="H857" s="301"/>
      <c r="I857" s="302"/>
    </row>
    <row r="858" spans="8:9" x14ac:dyDescent="0.2">
      <c r="I858" s="302"/>
    </row>
    <row r="859" spans="8:9" x14ac:dyDescent="0.2">
      <c r="H859" s="301"/>
      <c r="I859" s="302"/>
    </row>
    <row r="860" spans="8:9" x14ac:dyDescent="0.2">
      <c r="H860" s="301"/>
      <c r="I860" s="302"/>
    </row>
    <row r="861" spans="8:9" x14ac:dyDescent="0.2">
      <c r="H861" s="301"/>
      <c r="I861" s="302"/>
    </row>
    <row r="862" spans="8:9" x14ac:dyDescent="0.2">
      <c r="H862" s="301"/>
      <c r="I862" s="302"/>
    </row>
    <row r="863" spans="8:9" x14ac:dyDescent="0.2">
      <c r="H863" s="301"/>
      <c r="I863" s="302"/>
    </row>
    <row r="864" spans="8:9" x14ac:dyDescent="0.2">
      <c r="H864" s="301"/>
      <c r="I864" s="302"/>
    </row>
    <row r="865" spans="8:9" x14ac:dyDescent="0.2">
      <c r="H865" s="301"/>
      <c r="I865" s="302"/>
    </row>
    <row r="866" spans="8:9" x14ac:dyDescent="0.2">
      <c r="H866" s="301"/>
      <c r="I866" s="302"/>
    </row>
    <row r="867" spans="8:9" x14ac:dyDescent="0.2">
      <c r="H867" s="301"/>
      <c r="I867" s="302"/>
    </row>
    <row r="868" spans="8:9" x14ac:dyDescent="0.2">
      <c r="H868" s="301"/>
      <c r="I868" s="302"/>
    </row>
    <row r="869" spans="8:9" x14ac:dyDescent="0.2">
      <c r="H869" s="301"/>
      <c r="I869" s="302"/>
    </row>
    <row r="870" spans="8:9" x14ac:dyDescent="0.2">
      <c r="H870" s="301"/>
      <c r="I870" s="302"/>
    </row>
    <row r="871" spans="8:9" x14ac:dyDescent="0.2">
      <c r="H871" s="301"/>
      <c r="I871" s="302"/>
    </row>
    <row r="872" spans="8:9" x14ac:dyDescent="0.2">
      <c r="I872" s="302"/>
    </row>
    <row r="873" spans="8:9" x14ac:dyDescent="0.2">
      <c r="H873" s="301"/>
      <c r="I873" s="302"/>
    </row>
    <row r="874" spans="8:9" x14ac:dyDescent="0.2">
      <c r="H874" s="301"/>
      <c r="I874" s="302"/>
    </row>
    <row r="875" spans="8:9" x14ac:dyDescent="0.2">
      <c r="H875" s="301"/>
      <c r="I875" s="302"/>
    </row>
    <row r="876" spans="8:9" x14ac:dyDescent="0.2">
      <c r="H876" s="301"/>
      <c r="I876" s="302"/>
    </row>
    <row r="877" spans="8:9" x14ac:dyDescent="0.2">
      <c r="H877" s="301"/>
      <c r="I877" s="302"/>
    </row>
    <row r="878" spans="8:9" x14ac:dyDescent="0.2">
      <c r="H878" s="301"/>
      <c r="I878" s="302"/>
    </row>
    <row r="879" spans="8:9" x14ac:dyDescent="0.2">
      <c r="H879" s="301"/>
      <c r="I879" s="302"/>
    </row>
    <row r="880" spans="8:9" x14ac:dyDescent="0.2">
      <c r="H880" s="301"/>
      <c r="I880" s="302"/>
    </row>
    <row r="881" spans="8:9" x14ac:dyDescent="0.2">
      <c r="H881" s="301"/>
      <c r="I881" s="302"/>
    </row>
    <row r="882" spans="8:9" x14ac:dyDescent="0.2">
      <c r="H882" s="301"/>
      <c r="I882" s="302"/>
    </row>
    <row r="883" spans="8:9" x14ac:dyDescent="0.2">
      <c r="H883" s="301"/>
      <c r="I883" s="302"/>
    </row>
    <row r="884" spans="8:9" x14ac:dyDescent="0.2">
      <c r="H884" s="301"/>
      <c r="I884" s="302"/>
    </row>
    <row r="885" spans="8:9" x14ac:dyDescent="0.2">
      <c r="H885" s="301"/>
      <c r="I885" s="302"/>
    </row>
    <row r="886" spans="8:9" x14ac:dyDescent="0.2">
      <c r="I886" s="302"/>
    </row>
    <row r="887" spans="8:9" x14ac:dyDescent="0.2">
      <c r="H887" s="301"/>
      <c r="I887" s="302"/>
    </row>
    <row r="888" spans="8:9" x14ac:dyDescent="0.2">
      <c r="H888" s="301"/>
      <c r="I888" s="302"/>
    </row>
    <row r="889" spans="8:9" x14ac:dyDescent="0.2">
      <c r="H889" s="301"/>
      <c r="I889" s="302"/>
    </row>
    <row r="890" spans="8:9" x14ac:dyDescent="0.2">
      <c r="H890" s="301"/>
      <c r="I890" s="302"/>
    </row>
    <row r="891" spans="8:9" x14ac:dyDescent="0.2">
      <c r="H891" s="301"/>
      <c r="I891" s="302"/>
    </row>
    <row r="892" spans="8:9" x14ac:dyDescent="0.2">
      <c r="H892" s="301"/>
      <c r="I892" s="302"/>
    </row>
    <row r="893" spans="8:9" x14ac:dyDescent="0.2">
      <c r="H893" s="301"/>
      <c r="I893" s="302"/>
    </row>
    <row r="894" spans="8:9" x14ac:dyDescent="0.2">
      <c r="H894" s="301"/>
      <c r="I894" s="302"/>
    </row>
    <row r="895" spans="8:9" x14ac:dyDescent="0.2">
      <c r="H895" s="301"/>
      <c r="I895" s="302"/>
    </row>
    <row r="896" spans="8:9" x14ac:dyDescent="0.2">
      <c r="H896" s="301"/>
      <c r="I896" s="302"/>
    </row>
    <row r="897" spans="8:9" x14ac:dyDescent="0.2">
      <c r="H897" s="301"/>
      <c r="I897" s="302"/>
    </row>
    <row r="898" spans="8:9" x14ac:dyDescent="0.2">
      <c r="H898" s="301"/>
      <c r="I898" s="302"/>
    </row>
    <row r="899" spans="8:9" x14ac:dyDescent="0.2">
      <c r="H899" s="301"/>
      <c r="I899" s="302"/>
    </row>
    <row r="900" spans="8:9" x14ac:dyDescent="0.2">
      <c r="I900" s="302"/>
    </row>
    <row r="901" spans="8:9" x14ac:dyDescent="0.2">
      <c r="H901" s="301"/>
      <c r="I901" s="302"/>
    </row>
    <row r="902" spans="8:9" x14ac:dyDescent="0.2">
      <c r="H902" s="301"/>
      <c r="I902" s="302"/>
    </row>
    <row r="903" spans="8:9" x14ac:dyDescent="0.2">
      <c r="H903" s="301"/>
      <c r="I903" s="302"/>
    </row>
    <row r="904" spans="8:9" x14ac:dyDescent="0.2">
      <c r="H904" s="301"/>
      <c r="I904" s="302"/>
    </row>
    <row r="905" spans="8:9" x14ac:dyDescent="0.2">
      <c r="H905" s="301"/>
      <c r="I905" s="302"/>
    </row>
    <row r="906" spans="8:9" x14ac:dyDescent="0.2">
      <c r="H906" s="301"/>
      <c r="I906" s="302"/>
    </row>
    <row r="907" spans="8:9" x14ac:dyDescent="0.2">
      <c r="H907" s="301"/>
      <c r="I907" s="302"/>
    </row>
    <row r="908" spans="8:9" x14ac:dyDescent="0.2">
      <c r="H908" s="301"/>
      <c r="I908" s="302"/>
    </row>
    <row r="909" spans="8:9" x14ac:dyDescent="0.2">
      <c r="H909" s="301"/>
      <c r="I909" s="302"/>
    </row>
    <row r="910" spans="8:9" x14ac:dyDescent="0.2">
      <c r="H910" s="301"/>
      <c r="I910" s="302"/>
    </row>
    <row r="911" spans="8:9" x14ac:dyDescent="0.2">
      <c r="H911" s="301"/>
      <c r="I911" s="302"/>
    </row>
    <row r="912" spans="8:9" x14ac:dyDescent="0.2">
      <c r="H912" s="301"/>
      <c r="I912" s="302"/>
    </row>
    <row r="913" spans="8:9" x14ac:dyDescent="0.2">
      <c r="H913" s="301"/>
      <c r="I913" s="302"/>
    </row>
    <row r="914" spans="8:9" x14ac:dyDescent="0.2">
      <c r="I914" s="302"/>
    </row>
    <row r="915" spans="8:9" x14ac:dyDescent="0.2">
      <c r="H915" s="301"/>
      <c r="I915" s="302"/>
    </row>
    <row r="916" spans="8:9" x14ac:dyDescent="0.2">
      <c r="H916" s="301"/>
      <c r="I916" s="302"/>
    </row>
    <row r="917" spans="8:9" x14ac:dyDescent="0.2">
      <c r="H917" s="301"/>
      <c r="I917" s="302"/>
    </row>
    <row r="918" spans="8:9" x14ac:dyDescent="0.2">
      <c r="H918" s="301"/>
      <c r="I918" s="302"/>
    </row>
    <row r="919" spans="8:9" x14ac:dyDescent="0.2">
      <c r="H919" s="301"/>
      <c r="I919" s="302"/>
    </row>
    <row r="920" spans="8:9" x14ac:dyDescent="0.2">
      <c r="H920" s="301"/>
      <c r="I920" s="302"/>
    </row>
    <row r="921" spans="8:9" x14ac:dyDescent="0.2">
      <c r="H921" s="301"/>
      <c r="I921" s="302"/>
    </row>
    <row r="922" spans="8:9" x14ac:dyDescent="0.2">
      <c r="H922" s="301"/>
      <c r="I922" s="302"/>
    </row>
    <row r="923" spans="8:9" x14ac:dyDescent="0.2">
      <c r="H923" s="301"/>
      <c r="I923" s="302"/>
    </row>
    <row r="924" spans="8:9" x14ac:dyDescent="0.2">
      <c r="H924" s="301"/>
      <c r="I924" s="302"/>
    </row>
    <row r="925" spans="8:9" x14ac:dyDescent="0.2">
      <c r="H925" s="301"/>
      <c r="I925" s="302"/>
    </row>
    <row r="926" spans="8:9" x14ac:dyDescent="0.2">
      <c r="H926" s="301"/>
      <c r="I926" s="302"/>
    </row>
    <row r="927" spans="8:9" x14ac:dyDescent="0.2">
      <c r="H927" s="301"/>
      <c r="I927" s="302"/>
    </row>
    <row r="928" spans="8:9" x14ac:dyDescent="0.2">
      <c r="I928" s="302"/>
    </row>
    <row r="929" spans="8:9" x14ac:dyDescent="0.2">
      <c r="H929" s="301"/>
      <c r="I929" s="302"/>
    </row>
    <row r="930" spans="8:9" x14ac:dyDescent="0.2">
      <c r="H930" s="301"/>
      <c r="I930" s="302"/>
    </row>
    <row r="931" spans="8:9" x14ac:dyDescent="0.2">
      <c r="H931" s="301"/>
      <c r="I931" s="302"/>
    </row>
    <row r="932" spans="8:9" x14ac:dyDescent="0.2">
      <c r="H932" s="301"/>
      <c r="I932" s="302"/>
    </row>
    <row r="933" spans="8:9" x14ac:dyDescent="0.2">
      <c r="H933" s="301"/>
      <c r="I933" s="302"/>
    </row>
    <row r="934" spans="8:9" x14ac:dyDescent="0.2">
      <c r="H934" s="301"/>
      <c r="I934" s="302"/>
    </row>
    <row r="935" spans="8:9" x14ac:dyDescent="0.2">
      <c r="H935" s="301"/>
      <c r="I935" s="302"/>
    </row>
    <row r="936" spans="8:9" x14ac:dyDescent="0.2">
      <c r="H936" s="301"/>
      <c r="I936" s="302"/>
    </row>
    <row r="937" spans="8:9" x14ac:dyDescent="0.2">
      <c r="H937" s="301"/>
      <c r="I937" s="302"/>
    </row>
    <row r="938" spans="8:9" x14ac:dyDescent="0.2">
      <c r="H938" s="301"/>
      <c r="I938" s="302"/>
    </row>
    <row r="939" spans="8:9" x14ac:dyDescent="0.2">
      <c r="H939" s="301"/>
      <c r="I939" s="302"/>
    </row>
    <row r="940" spans="8:9" x14ac:dyDescent="0.2">
      <c r="H940" s="301"/>
      <c r="I940" s="302"/>
    </row>
    <row r="941" spans="8:9" x14ac:dyDescent="0.2">
      <c r="H941" s="301"/>
      <c r="I941" s="302"/>
    </row>
    <row r="942" spans="8:9" x14ac:dyDescent="0.2">
      <c r="I942" s="302"/>
    </row>
    <row r="943" spans="8:9" x14ac:dyDescent="0.2">
      <c r="H943" s="301"/>
      <c r="I943" s="302"/>
    </row>
    <row r="944" spans="8:9" x14ac:dyDescent="0.2">
      <c r="H944" s="301"/>
      <c r="I944" s="302"/>
    </row>
    <row r="945" spans="8:9" x14ac:dyDescent="0.2">
      <c r="H945" s="301"/>
      <c r="I945" s="302"/>
    </row>
    <row r="946" spans="8:9" x14ac:dyDescent="0.2">
      <c r="H946" s="301"/>
      <c r="I946" s="302"/>
    </row>
    <row r="947" spans="8:9" x14ac:dyDescent="0.2">
      <c r="H947" s="301"/>
      <c r="I947" s="302"/>
    </row>
    <row r="948" spans="8:9" x14ac:dyDescent="0.2">
      <c r="H948" s="301"/>
      <c r="I948" s="302"/>
    </row>
    <row r="949" spans="8:9" x14ac:dyDescent="0.2">
      <c r="H949" s="301"/>
      <c r="I949" s="302"/>
    </row>
    <row r="950" spans="8:9" x14ac:dyDescent="0.2">
      <c r="H950" s="301"/>
      <c r="I950" s="302"/>
    </row>
    <row r="951" spans="8:9" x14ac:dyDescent="0.2">
      <c r="H951" s="301"/>
      <c r="I951" s="302"/>
    </row>
    <row r="952" spans="8:9" x14ac:dyDescent="0.2">
      <c r="H952" s="301"/>
      <c r="I952" s="302"/>
    </row>
    <row r="953" spans="8:9" x14ac:dyDescent="0.2">
      <c r="H953" s="301"/>
      <c r="I953" s="302"/>
    </row>
    <row r="954" spans="8:9" x14ac:dyDescent="0.2">
      <c r="H954" s="301"/>
      <c r="I954" s="302"/>
    </row>
    <row r="955" spans="8:9" x14ac:dyDescent="0.2">
      <c r="H955" s="301"/>
      <c r="I955" s="302"/>
    </row>
    <row r="956" spans="8:9" x14ac:dyDescent="0.2">
      <c r="I956" s="302"/>
    </row>
    <row r="957" spans="8:9" x14ac:dyDescent="0.2">
      <c r="H957" s="301"/>
      <c r="I957" s="302"/>
    </row>
    <row r="958" spans="8:9" x14ac:dyDescent="0.2">
      <c r="H958" s="301"/>
      <c r="I958" s="302"/>
    </row>
    <row r="959" spans="8:9" x14ac:dyDescent="0.2">
      <c r="H959" s="301"/>
      <c r="I959" s="302"/>
    </row>
    <row r="960" spans="8:9" x14ac:dyDescent="0.2">
      <c r="H960" s="301"/>
      <c r="I960" s="302"/>
    </row>
    <row r="961" spans="8:9" x14ac:dyDescent="0.2">
      <c r="H961" s="301"/>
      <c r="I961" s="302"/>
    </row>
    <row r="962" spans="8:9" x14ac:dyDescent="0.2">
      <c r="H962" s="301"/>
      <c r="I962" s="302"/>
    </row>
    <row r="963" spans="8:9" x14ac:dyDescent="0.2">
      <c r="H963" s="301"/>
      <c r="I963" s="302"/>
    </row>
    <row r="964" spans="8:9" x14ac:dyDescent="0.2">
      <c r="H964" s="301"/>
      <c r="I964" s="302"/>
    </row>
    <row r="965" spans="8:9" x14ac:dyDescent="0.2">
      <c r="H965" s="301"/>
      <c r="I965" s="302"/>
    </row>
    <row r="966" spans="8:9" x14ac:dyDescent="0.2">
      <c r="H966" s="301"/>
      <c r="I966" s="302"/>
    </row>
    <row r="967" spans="8:9" x14ac:dyDescent="0.2">
      <c r="H967" s="301"/>
      <c r="I967" s="302"/>
    </row>
    <row r="968" spans="8:9" x14ac:dyDescent="0.2">
      <c r="H968" s="301"/>
      <c r="I968" s="302"/>
    </row>
    <row r="969" spans="8:9" x14ac:dyDescent="0.2">
      <c r="H969" s="301"/>
      <c r="I969" s="302"/>
    </row>
    <row r="970" spans="8:9" x14ac:dyDescent="0.2">
      <c r="I970" s="302"/>
    </row>
    <row r="971" spans="8:9" x14ac:dyDescent="0.2">
      <c r="H971" s="301"/>
      <c r="I971" s="302"/>
    </row>
    <row r="972" spans="8:9" x14ac:dyDescent="0.2">
      <c r="H972" s="301"/>
      <c r="I972" s="302"/>
    </row>
    <row r="973" spans="8:9" x14ac:dyDescent="0.2">
      <c r="H973" s="301"/>
      <c r="I973" s="302"/>
    </row>
    <row r="974" spans="8:9" x14ac:dyDescent="0.2">
      <c r="H974" s="301"/>
      <c r="I974" s="302"/>
    </row>
    <row r="975" spans="8:9" x14ac:dyDescent="0.2">
      <c r="H975" s="301"/>
      <c r="I975" s="302"/>
    </row>
    <row r="976" spans="8:9" x14ac:dyDescent="0.2">
      <c r="H976" s="301"/>
      <c r="I976" s="302"/>
    </row>
    <row r="977" spans="8:9" x14ac:dyDescent="0.2">
      <c r="H977" s="301"/>
      <c r="I977" s="302"/>
    </row>
    <row r="978" spans="8:9" x14ac:dyDescent="0.2">
      <c r="H978" s="301"/>
      <c r="I978" s="302"/>
    </row>
    <row r="979" spans="8:9" x14ac:dyDescent="0.2">
      <c r="H979" s="301"/>
      <c r="I979" s="302"/>
    </row>
    <row r="980" spans="8:9" x14ac:dyDescent="0.2">
      <c r="H980" s="301"/>
      <c r="I980" s="302"/>
    </row>
    <row r="981" spans="8:9" x14ac:dyDescent="0.2">
      <c r="H981" s="301"/>
      <c r="I981" s="302"/>
    </row>
    <row r="982" spans="8:9" x14ac:dyDescent="0.2">
      <c r="H982" s="301"/>
      <c r="I982" s="302"/>
    </row>
    <row r="983" spans="8:9" x14ac:dyDescent="0.2">
      <c r="H983" s="301"/>
      <c r="I983" s="302"/>
    </row>
    <row r="984" spans="8:9" x14ac:dyDescent="0.2">
      <c r="I984" s="302"/>
    </row>
    <row r="985" spans="8:9" x14ac:dyDescent="0.2">
      <c r="H985" s="301"/>
      <c r="I985" s="302"/>
    </row>
    <row r="986" spans="8:9" x14ac:dyDescent="0.2">
      <c r="H986" s="301"/>
      <c r="I986" s="302"/>
    </row>
    <row r="987" spans="8:9" x14ac:dyDescent="0.2">
      <c r="H987" s="301"/>
      <c r="I987" s="302"/>
    </row>
    <row r="988" spans="8:9" x14ac:dyDescent="0.2">
      <c r="H988" s="301"/>
      <c r="I988" s="302"/>
    </row>
    <row r="989" spans="8:9" x14ac:dyDescent="0.2">
      <c r="H989" s="301"/>
      <c r="I989" s="302"/>
    </row>
    <row r="990" spans="8:9" x14ac:dyDescent="0.2">
      <c r="H990" s="301"/>
      <c r="I990" s="302"/>
    </row>
    <row r="991" spans="8:9" x14ac:dyDescent="0.2">
      <c r="H991" s="301"/>
      <c r="I991" s="302"/>
    </row>
    <row r="992" spans="8:9" x14ac:dyDescent="0.2">
      <c r="H992" s="301"/>
      <c r="I992" s="302"/>
    </row>
    <row r="993" spans="8:9" x14ac:dyDescent="0.2">
      <c r="H993" s="301"/>
      <c r="I993" s="302"/>
    </row>
    <row r="994" spans="8:9" x14ac:dyDescent="0.2">
      <c r="H994" s="301"/>
      <c r="I994" s="302"/>
    </row>
    <row r="995" spans="8:9" x14ac:dyDescent="0.2">
      <c r="H995" s="301"/>
      <c r="I995" s="302"/>
    </row>
    <row r="996" spans="8:9" x14ac:dyDescent="0.2">
      <c r="H996" s="301"/>
      <c r="I996" s="302"/>
    </row>
    <row r="997" spans="8:9" x14ac:dyDescent="0.2">
      <c r="H997" s="301"/>
      <c r="I997" s="302"/>
    </row>
    <row r="998" spans="8:9" x14ac:dyDescent="0.2">
      <c r="I998" s="302"/>
    </row>
    <row r="999" spans="8:9" x14ac:dyDescent="0.2">
      <c r="H999" s="301"/>
      <c r="I999" s="302"/>
    </row>
    <row r="1000" spans="8:9" x14ac:dyDescent="0.2">
      <c r="H1000" s="301"/>
      <c r="I1000" s="302"/>
    </row>
    <row r="1001" spans="8:9" x14ac:dyDescent="0.2">
      <c r="H1001" s="301"/>
      <c r="I1001" s="302"/>
    </row>
    <row r="1002" spans="8:9" x14ac:dyDescent="0.2">
      <c r="H1002" s="301"/>
      <c r="I1002" s="302"/>
    </row>
    <row r="1003" spans="8:9" x14ac:dyDescent="0.2">
      <c r="H1003" s="301"/>
      <c r="I1003" s="302"/>
    </row>
    <row r="1004" spans="8:9" x14ac:dyDescent="0.2">
      <c r="H1004" s="301"/>
      <c r="I1004" s="302"/>
    </row>
    <row r="1005" spans="8:9" x14ac:dyDescent="0.2">
      <c r="H1005" s="301"/>
      <c r="I1005" s="302"/>
    </row>
    <row r="1006" spans="8:9" x14ac:dyDescent="0.2">
      <c r="H1006" s="301"/>
      <c r="I1006" s="302"/>
    </row>
    <row r="1007" spans="8:9" x14ac:dyDescent="0.2">
      <c r="H1007" s="301"/>
      <c r="I1007" s="302"/>
    </row>
    <row r="1008" spans="8:9" x14ac:dyDescent="0.2">
      <c r="H1008" s="301"/>
      <c r="I1008" s="302"/>
    </row>
    <row r="1009" spans="8:9" x14ac:dyDescent="0.2">
      <c r="H1009" s="301"/>
      <c r="I1009" s="302"/>
    </row>
    <row r="1010" spans="8:9" x14ac:dyDescent="0.2">
      <c r="H1010" s="301"/>
      <c r="I1010" s="302"/>
    </row>
    <row r="1011" spans="8:9" x14ac:dyDescent="0.2">
      <c r="H1011" s="301"/>
      <c r="I1011" s="302"/>
    </row>
    <row r="1012" spans="8:9" x14ac:dyDescent="0.2">
      <c r="I1012" s="302"/>
    </row>
    <row r="1013" spans="8:9" x14ac:dyDescent="0.2">
      <c r="H1013" s="301"/>
      <c r="I1013" s="302"/>
    </row>
    <row r="1014" spans="8:9" x14ac:dyDescent="0.2">
      <c r="H1014" s="301"/>
      <c r="I1014" s="302"/>
    </row>
    <row r="1015" spans="8:9" x14ac:dyDescent="0.2">
      <c r="H1015" s="301"/>
      <c r="I1015" s="302"/>
    </row>
    <row r="1016" spans="8:9" x14ac:dyDescent="0.2">
      <c r="H1016" s="301"/>
      <c r="I1016" s="302"/>
    </row>
    <row r="1017" spans="8:9" x14ac:dyDescent="0.2">
      <c r="H1017" s="301"/>
      <c r="I1017" s="302"/>
    </row>
    <row r="1018" spans="8:9" x14ac:dyDescent="0.2">
      <c r="H1018" s="301"/>
      <c r="I1018" s="302"/>
    </row>
    <row r="1019" spans="8:9" x14ac:dyDescent="0.2">
      <c r="H1019" s="301"/>
      <c r="I1019" s="302"/>
    </row>
    <row r="1020" spans="8:9" x14ac:dyDescent="0.2">
      <c r="H1020" s="301"/>
      <c r="I1020" s="302"/>
    </row>
    <row r="1021" spans="8:9" x14ac:dyDescent="0.2">
      <c r="H1021" s="301"/>
      <c r="I1021" s="302"/>
    </row>
    <row r="1022" spans="8:9" x14ac:dyDescent="0.2">
      <c r="H1022" s="301"/>
      <c r="I1022" s="302"/>
    </row>
    <row r="1023" spans="8:9" x14ac:dyDescent="0.2">
      <c r="H1023" s="301"/>
      <c r="I1023" s="302"/>
    </row>
    <row r="1024" spans="8:9" x14ac:dyDescent="0.2">
      <c r="H1024" s="301"/>
      <c r="I1024" s="302"/>
    </row>
    <row r="1025" spans="8:9" x14ac:dyDescent="0.2">
      <c r="H1025" s="301"/>
      <c r="I1025" s="302"/>
    </row>
    <row r="1026" spans="8:9" x14ac:dyDescent="0.2">
      <c r="I1026" s="302"/>
    </row>
    <row r="1027" spans="8:9" x14ac:dyDescent="0.2">
      <c r="H1027" s="301"/>
      <c r="I1027" s="302"/>
    </row>
    <row r="1028" spans="8:9" x14ac:dyDescent="0.2">
      <c r="H1028" s="301"/>
      <c r="I1028" s="302"/>
    </row>
    <row r="1029" spans="8:9" x14ac:dyDescent="0.2">
      <c r="H1029" s="301"/>
      <c r="I1029" s="302"/>
    </row>
    <row r="1030" spans="8:9" x14ac:dyDescent="0.2">
      <c r="H1030" s="301"/>
      <c r="I1030" s="302"/>
    </row>
    <row r="1031" spans="8:9" x14ac:dyDescent="0.2">
      <c r="H1031" s="301"/>
      <c r="I1031" s="302"/>
    </row>
    <row r="1032" spans="8:9" x14ac:dyDescent="0.2">
      <c r="H1032" s="301"/>
      <c r="I1032" s="302"/>
    </row>
    <row r="1033" spans="8:9" x14ac:dyDescent="0.2">
      <c r="H1033" s="301"/>
      <c r="I1033" s="302"/>
    </row>
    <row r="1034" spans="8:9" x14ac:dyDescent="0.2">
      <c r="H1034" s="301"/>
      <c r="I1034" s="302"/>
    </row>
    <row r="1035" spans="8:9" x14ac:dyDescent="0.2">
      <c r="H1035" s="301"/>
      <c r="I1035" s="302"/>
    </row>
    <row r="1036" spans="8:9" x14ac:dyDescent="0.2">
      <c r="H1036" s="301"/>
      <c r="I1036" s="302"/>
    </row>
    <row r="1037" spans="8:9" x14ac:dyDescent="0.2">
      <c r="H1037" s="301"/>
      <c r="I1037" s="302"/>
    </row>
    <row r="1038" spans="8:9" x14ac:dyDescent="0.2">
      <c r="H1038" s="301"/>
      <c r="I1038" s="302"/>
    </row>
    <row r="1039" spans="8:9" x14ac:dyDescent="0.2">
      <c r="H1039" s="301"/>
      <c r="I1039" s="302"/>
    </row>
    <row r="1040" spans="8:9" x14ac:dyDescent="0.2">
      <c r="I1040" s="302"/>
    </row>
    <row r="1041" spans="8:9" x14ac:dyDescent="0.2">
      <c r="H1041" s="301"/>
      <c r="I1041" s="302"/>
    </row>
    <row r="1042" spans="8:9" x14ac:dyDescent="0.2">
      <c r="H1042" s="301"/>
      <c r="I1042" s="302"/>
    </row>
    <row r="1043" spans="8:9" x14ac:dyDescent="0.2">
      <c r="H1043" s="301"/>
      <c r="I1043" s="302"/>
    </row>
    <row r="1044" spans="8:9" x14ac:dyDescent="0.2">
      <c r="H1044" s="301"/>
      <c r="I1044" s="302"/>
    </row>
    <row r="1045" spans="8:9" x14ac:dyDescent="0.2">
      <c r="H1045" s="301"/>
      <c r="I1045" s="302"/>
    </row>
    <row r="1046" spans="8:9" x14ac:dyDescent="0.2">
      <c r="H1046" s="301"/>
      <c r="I1046" s="302"/>
    </row>
    <row r="1047" spans="8:9" x14ac:dyDescent="0.2">
      <c r="H1047" s="301"/>
      <c r="I1047" s="302"/>
    </row>
    <row r="1048" spans="8:9" x14ac:dyDescent="0.2">
      <c r="H1048" s="301"/>
      <c r="I1048" s="302"/>
    </row>
    <row r="1049" spans="8:9" x14ac:dyDescent="0.2">
      <c r="H1049" s="301"/>
      <c r="I1049" s="302"/>
    </row>
    <row r="1050" spans="8:9" x14ac:dyDescent="0.2">
      <c r="H1050" s="301"/>
      <c r="I1050" s="302"/>
    </row>
    <row r="1051" spans="8:9" x14ac:dyDescent="0.2">
      <c r="H1051" s="301"/>
      <c r="I1051" s="302"/>
    </row>
    <row r="1052" spans="8:9" x14ac:dyDescent="0.2">
      <c r="H1052" s="301"/>
      <c r="I1052" s="302"/>
    </row>
    <row r="1053" spans="8:9" x14ac:dyDescent="0.2">
      <c r="H1053" s="301"/>
      <c r="I1053" s="302"/>
    </row>
    <row r="1054" spans="8:9" x14ac:dyDescent="0.2">
      <c r="I1054" s="302"/>
    </row>
    <row r="1055" spans="8:9" x14ac:dyDescent="0.2">
      <c r="H1055" s="301"/>
      <c r="I1055" s="302"/>
    </row>
    <row r="1056" spans="8:9" x14ac:dyDescent="0.2">
      <c r="H1056" s="301"/>
      <c r="I1056" s="302"/>
    </row>
    <row r="1057" spans="8:9" x14ac:dyDescent="0.2">
      <c r="H1057" s="301"/>
      <c r="I1057" s="302"/>
    </row>
    <row r="1058" spans="8:9" x14ac:dyDescent="0.2">
      <c r="H1058" s="301"/>
      <c r="I1058" s="302"/>
    </row>
    <row r="1059" spans="8:9" x14ac:dyDescent="0.2">
      <c r="H1059" s="301"/>
      <c r="I1059" s="302"/>
    </row>
    <row r="1060" spans="8:9" x14ac:dyDescent="0.2">
      <c r="H1060" s="301"/>
      <c r="I1060" s="302"/>
    </row>
    <row r="1061" spans="8:9" x14ac:dyDescent="0.2">
      <c r="H1061" s="301"/>
      <c r="I1061" s="302"/>
    </row>
    <row r="1062" spans="8:9" x14ac:dyDescent="0.2">
      <c r="H1062" s="301"/>
      <c r="I1062" s="302"/>
    </row>
    <row r="1063" spans="8:9" x14ac:dyDescent="0.2">
      <c r="H1063" s="301"/>
      <c r="I1063" s="302"/>
    </row>
    <row r="1064" spans="8:9" x14ac:dyDescent="0.2">
      <c r="H1064" s="301"/>
      <c r="I1064" s="302"/>
    </row>
    <row r="1065" spans="8:9" x14ac:dyDescent="0.2">
      <c r="H1065" s="301"/>
      <c r="I1065" s="302"/>
    </row>
    <row r="1066" spans="8:9" x14ac:dyDescent="0.2">
      <c r="H1066" s="301"/>
      <c r="I1066" s="302"/>
    </row>
    <row r="1067" spans="8:9" x14ac:dyDescent="0.2">
      <c r="H1067" s="301"/>
      <c r="I1067" s="302"/>
    </row>
    <row r="1068" spans="8:9" x14ac:dyDescent="0.2">
      <c r="I1068" s="302"/>
    </row>
    <row r="1069" spans="8:9" x14ac:dyDescent="0.2">
      <c r="H1069" s="301"/>
      <c r="I1069" s="302"/>
    </row>
    <row r="1070" spans="8:9" x14ac:dyDescent="0.2">
      <c r="H1070" s="301"/>
      <c r="I1070" s="302"/>
    </row>
    <row r="1071" spans="8:9" x14ac:dyDescent="0.2">
      <c r="H1071" s="301"/>
      <c r="I1071" s="302"/>
    </row>
    <row r="1072" spans="8:9" x14ac:dyDescent="0.2">
      <c r="H1072" s="301"/>
      <c r="I1072" s="302"/>
    </row>
    <row r="1073" spans="8:9" x14ac:dyDescent="0.2">
      <c r="H1073" s="301"/>
      <c r="I1073" s="302"/>
    </row>
    <row r="1074" spans="8:9" x14ac:dyDescent="0.2">
      <c r="H1074" s="301"/>
      <c r="I1074" s="302"/>
    </row>
    <row r="1075" spans="8:9" x14ac:dyDescent="0.2">
      <c r="H1075" s="301"/>
      <c r="I1075" s="302"/>
    </row>
    <row r="1076" spans="8:9" x14ac:dyDescent="0.2">
      <c r="H1076" s="301"/>
      <c r="I1076" s="302"/>
    </row>
    <row r="1077" spans="8:9" x14ac:dyDescent="0.2">
      <c r="H1077" s="301"/>
      <c r="I1077" s="302"/>
    </row>
    <row r="1078" spans="8:9" x14ac:dyDescent="0.2">
      <c r="H1078" s="301"/>
      <c r="I1078" s="302"/>
    </row>
    <row r="1079" spans="8:9" x14ac:dyDescent="0.2">
      <c r="H1079" s="301"/>
      <c r="I1079" s="302"/>
    </row>
    <row r="1080" spans="8:9" x14ac:dyDescent="0.2">
      <c r="H1080" s="301"/>
      <c r="I1080" s="302"/>
    </row>
    <row r="1081" spans="8:9" x14ac:dyDescent="0.2">
      <c r="H1081" s="301"/>
      <c r="I1081" s="302"/>
    </row>
    <row r="1082" spans="8:9" x14ac:dyDescent="0.2">
      <c r="I1082" s="302"/>
    </row>
    <row r="1083" spans="8:9" x14ac:dyDescent="0.2">
      <c r="H1083" s="301"/>
      <c r="I1083" s="302"/>
    </row>
    <row r="1084" spans="8:9" x14ac:dyDescent="0.2">
      <c r="H1084" s="301"/>
      <c r="I1084" s="302"/>
    </row>
    <row r="1085" spans="8:9" x14ac:dyDescent="0.2">
      <c r="H1085" s="301"/>
      <c r="I1085" s="302"/>
    </row>
    <row r="1086" spans="8:9" x14ac:dyDescent="0.2">
      <c r="H1086" s="301"/>
      <c r="I1086" s="302"/>
    </row>
    <row r="1087" spans="8:9" x14ac:dyDescent="0.2">
      <c r="H1087" s="301"/>
      <c r="I1087" s="302"/>
    </row>
    <row r="1088" spans="8:9" x14ac:dyDescent="0.2">
      <c r="H1088" s="301"/>
      <c r="I1088" s="302"/>
    </row>
    <row r="1089" spans="8:9" x14ac:dyDescent="0.2">
      <c r="H1089" s="301"/>
      <c r="I1089" s="302"/>
    </row>
    <row r="1090" spans="8:9" x14ac:dyDescent="0.2">
      <c r="H1090" s="301"/>
      <c r="I1090" s="302"/>
    </row>
    <row r="1091" spans="8:9" x14ac:dyDescent="0.2">
      <c r="H1091" s="301"/>
      <c r="I1091" s="302"/>
    </row>
    <row r="1092" spans="8:9" x14ac:dyDescent="0.2">
      <c r="H1092" s="301"/>
      <c r="I1092" s="302"/>
    </row>
    <row r="1093" spans="8:9" x14ac:dyDescent="0.2">
      <c r="H1093" s="301"/>
      <c r="I1093" s="302"/>
    </row>
    <row r="1094" spans="8:9" x14ac:dyDescent="0.2">
      <c r="H1094" s="301"/>
      <c r="I1094" s="302"/>
    </row>
    <row r="1095" spans="8:9" x14ac:dyDescent="0.2">
      <c r="H1095" s="301"/>
      <c r="I1095" s="302"/>
    </row>
    <row r="1096" spans="8:9" x14ac:dyDescent="0.2">
      <c r="I1096" s="302"/>
    </row>
    <row r="1097" spans="8:9" x14ac:dyDescent="0.2">
      <c r="H1097" s="301"/>
      <c r="I1097" s="302"/>
    </row>
    <row r="1098" spans="8:9" x14ac:dyDescent="0.2">
      <c r="H1098" s="301"/>
      <c r="I1098" s="302"/>
    </row>
    <row r="1099" spans="8:9" x14ac:dyDescent="0.2">
      <c r="H1099" s="301"/>
      <c r="I1099" s="302"/>
    </row>
    <row r="1100" spans="8:9" x14ac:dyDescent="0.2">
      <c r="H1100" s="301"/>
      <c r="I1100" s="302"/>
    </row>
    <row r="1101" spans="8:9" x14ac:dyDescent="0.2">
      <c r="H1101" s="301"/>
      <c r="I1101" s="302"/>
    </row>
    <row r="1102" spans="8:9" x14ac:dyDescent="0.2">
      <c r="H1102" s="301"/>
      <c r="I1102" s="302"/>
    </row>
    <row r="1103" spans="8:9" x14ac:dyDescent="0.2">
      <c r="H1103" s="301"/>
      <c r="I1103" s="302"/>
    </row>
    <row r="1104" spans="8:9" x14ac:dyDescent="0.2">
      <c r="H1104" s="301"/>
      <c r="I1104" s="302"/>
    </row>
    <row r="1105" spans="8:9" x14ac:dyDescent="0.2">
      <c r="H1105" s="301"/>
      <c r="I1105" s="302"/>
    </row>
    <row r="1106" spans="8:9" x14ac:dyDescent="0.2">
      <c r="H1106" s="301"/>
      <c r="I1106" s="302"/>
    </row>
    <row r="1107" spans="8:9" x14ac:dyDescent="0.2">
      <c r="H1107" s="301"/>
      <c r="I1107" s="302"/>
    </row>
    <row r="1108" spans="8:9" x14ac:dyDescent="0.2">
      <c r="H1108" s="301"/>
      <c r="I1108" s="302"/>
    </row>
    <row r="1109" spans="8:9" x14ac:dyDescent="0.2">
      <c r="H1109" s="301"/>
      <c r="I1109" s="302"/>
    </row>
    <row r="1110" spans="8:9" x14ac:dyDescent="0.2">
      <c r="I1110" s="302"/>
    </row>
    <row r="1111" spans="8:9" x14ac:dyDescent="0.2">
      <c r="H1111" s="301"/>
      <c r="I1111" s="302"/>
    </row>
    <row r="1112" spans="8:9" x14ac:dyDescent="0.2">
      <c r="H1112" s="301"/>
      <c r="I1112" s="302"/>
    </row>
    <row r="1113" spans="8:9" x14ac:dyDescent="0.2">
      <c r="H1113" s="301"/>
      <c r="I1113" s="302"/>
    </row>
    <row r="1114" spans="8:9" x14ac:dyDescent="0.2">
      <c r="H1114" s="301"/>
      <c r="I1114" s="302"/>
    </row>
    <row r="1115" spans="8:9" x14ac:dyDescent="0.2">
      <c r="H1115" s="301"/>
      <c r="I1115" s="302"/>
    </row>
    <row r="1116" spans="8:9" x14ac:dyDescent="0.2">
      <c r="H1116" s="301"/>
      <c r="I1116" s="302"/>
    </row>
    <row r="1117" spans="8:9" x14ac:dyDescent="0.2">
      <c r="H1117" s="301"/>
      <c r="I1117" s="302"/>
    </row>
    <row r="1118" spans="8:9" x14ac:dyDescent="0.2">
      <c r="H1118" s="301"/>
      <c r="I1118" s="302"/>
    </row>
    <row r="1119" spans="8:9" x14ac:dyDescent="0.2">
      <c r="H1119" s="301"/>
      <c r="I1119" s="302"/>
    </row>
    <row r="1120" spans="8:9" x14ac:dyDescent="0.2">
      <c r="H1120" s="301"/>
      <c r="I1120" s="302"/>
    </row>
    <row r="1121" spans="8:9" x14ac:dyDescent="0.2">
      <c r="H1121" s="301"/>
      <c r="I1121" s="302"/>
    </row>
    <row r="1122" spans="8:9" x14ac:dyDescent="0.2">
      <c r="H1122" s="301"/>
      <c r="I1122" s="302"/>
    </row>
    <row r="1123" spans="8:9" x14ac:dyDescent="0.2">
      <c r="H1123" s="301"/>
      <c r="I1123" s="302"/>
    </row>
    <row r="1124" spans="8:9" x14ac:dyDescent="0.2">
      <c r="I1124" s="302"/>
    </row>
    <row r="1125" spans="8:9" x14ac:dyDescent="0.2">
      <c r="H1125" s="301"/>
      <c r="I1125" s="302"/>
    </row>
    <row r="1126" spans="8:9" x14ac:dyDescent="0.2">
      <c r="H1126" s="301"/>
      <c r="I1126" s="302"/>
    </row>
    <row r="1127" spans="8:9" x14ac:dyDescent="0.2">
      <c r="H1127" s="301"/>
      <c r="I1127" s="302"/>
    </row>
    <row r="1128" spans="8:9" x14ac:dyDescent="0.2">
      <c r="H1128" s="301"/>
      <c r="I1128" s="302"/>
    </row>
    <row r="1129" spans="8:9" x14ac:dyDescent="0.2">
      <c r="H1129" s="301"/>
      <c r="I1129" s="302"/>
    </row>
    <row r="1130" spans="8:9" x14ac:dyDescent="0.2">
      <c r="H1130" s="301"/>
      <c r="I1130" s="302"/>
    </row>
    <row r="1131" spans="8:9" x14ac:dyDescent="0.2">
      <c r="H1131" s="301"/>
      <c r="I1131" s="302"/>
    </row>
    <row r="1132" spans="8:9" x14ac:dyDescent="0.2">
      <c r="H1132" s="301"/>
      <c r="I1132" s="302"/>
    </row>
    <row r="1133" spans="8:9" x14ac:dyDescent="0.2">
      <c r="H1133" s="301"/>
      <c r="I1133" s="302"/>
    </row>
    <row r="1134" spans="8:9" x14ac:dyDescent="0.2">
      <c r="H1134" s="301"/>
      <c r="I1134" s="302"/>
    </row>
    <row r="1135" spans="8:9" x14ac:dyDescent="0.2">
      <c r="H1135" s="301"/>
      <c r="I1135" s="302"/>
    </row>
    <row r="1136" spans="8:9" x14ac:dyDescent="0.2">
      <c r="H1136" s="301"/>
      <c r="I1136" s="302"/>
    </row>
    <row r="1137" spans="8:9" x14ac:dyDescent="0.2">
      <c r="H1137" s="301"/>
      <c r="I1137" s="302"/>
    </row>
    <row r="1138" spans="8:9" x14ac:dyDescent="0.2">
      <c r="I1138" s="302"/>
    </row>
    <row r="1139" spans="8:9" x14ac:dyDescent="0.2">
      <c r="H1139" s="301"/>
      <c r="I1139" s="302"/>
    </row>
    <row r="1140" spans="8:9" x14ac:dyDescent="0.2">
      <c r="H1140" s="301"/>
      <c r="I1140" s="302"/>
    </row>
    <row r="1141" spans="8:9" x14ac:dyDescent="0.2">
      <c r="H1141" s="301"/>
      <c r="I1141" s="302"/>
    </row>
    <row r="1142" spans="8:9" x14ac:dyDescent="0.2">
      <c r="H1142" s="301"/>
      <c r="I1142" s="302"/>
    </row>
    <row r="1143" spans="8:9" x14ac:dyDescent="0.2">
      <c r="H1143" s="301"/>
      <c r="I1143" s="302"/>
    </row>
    <row r="1144" spans="8:9" x14ac:dyDescent="0.2">
      <c r="H1144" s="301"/>
      <c r="I1144" s="302"/>
    </row>
    <row r="1145" spans="8:9" x14ac:dyDescent="0.2">
      <c r="H1145" s="301"/>
      <c r="I1145" s="302"/>
    </row>
    <row r="1146" spans="8:9" x14ac:dyDescent="0.2">
      <c r="H1146" s="301"/>
      <c r="I1146" s="302"/>
    </row>
    <row r="1147" spans="8:9" x14ac:dyDescent="0.2">
      <c r="H1147" s="301"/>
      <c r="I1147" s="302"/>
    </row>
    <row r="1148" spans="8:9" x14ac:dyDescent="0.2">
      <c r="H1148" s="301"/>
      <c r="I1148" s="302"/>
    </row>
    <row r="1149" spans="8:9" x14ac:dyDescent="0.2">
      <c r="H1149" s="301"/>
      <c r="I1149" s="302"/>
    </row>
    <row r="1150" spans="8:9" x14ac:dyDescent="0.2">
      <c r="H1150" s="301"/>
      <c r="I1150" s="302"/>
    </row>
    <row r="1151" spans="8:9" x14ac:dyDescent="0.2">
      <c r="H1151" s="301"/>
      <c r="I1151" s="302"/>
    </row>
    <row r="1152" spans="8:9" x14ac:dyDescent="0.2">
      <c r="I1152" s="302"/>
    </row>
    <row r="1153" spans="8:9" x14ac:dyDescent="0.2">
      <c r="H1153" s="301"/>
      <c r="I1153" s="302"/>
    </row>
    <row r="1154" spans="8:9" x14ac:dyDescent="0.2">
      <c r="H1154" s="301"/>
      <c r="I1154" s="302"/>
    </row>
    <row r="1155" spans="8:9" x14ac:dyDescent="0.2">
      <c r="H1155" s="301"/>
      <c r="I1155" s="302"/>
    </row>
    <row r="1156" spans="8:9" x14ac:dyDescent="0.2">
      <c r="H1156" s="301"/>
      <c r="I1156" s="302"/>
    </row>
    <row r="1157" spans="8:9" x14ac:dyDescent="0.2">
      <c r="H1157" s="301"/>
      <c r="I1157" s="302"/>
    </row>
    <row r="1158" spans="8:9" x14ac:dyDescent="0.2">
      <c r="H1158" s="301"/>
      <c r="I1158" s="302"/>
    </row>
    <row r="1159" spans="8:9" x14ac:dyDescent="0.2">
      <c r="H1159" s="301"/>
      <c r="I1159" s="302"/>
    </row>
    <row r="1160" spans="8:9" x14ac:dyDescent="0.2">
      <c r="H1160" s="301"/>
      <c r="I1160" s="302"/>
    </row>
    <row r="1161" spans="8:9" x14ac:dyDescent="0.2">
      <c r="H1161" s="301"/>
      <c r="I1161" s="302"/>
    </row>
    <row r="1162" spans="8:9" x14ac:dyDescent="0.2">
      <c r="H1162" s="301"/>
      <c r="I1162" s="302"/>
    </row>
    <row r="1163" spans="8:9" x14ac:dyDescent="0.2">
      <c r="H1163" s="301"/>
      <c r="I1163" s="302"/>
    </row>
    <row r="1164" spans="8:9" x14ac:dyDescent="0.2">
      <c r="H1164" s="301"/>
      <c r="I1164" s="302"/>
    </row>
    <row r="1165" spans="8:9" x14ac:dyDescent="0.2">
      <c r="H1165" s="301"/>
      <c r="I1165" s="302"/>
    </row>
    <row r="1166" spans="8:9" x14ac:dyDescent="0.2">
      <c r="I1166" s="302"/>
    </row>
    <row r="1167" spans="8:9" x14ac:dyDescent="0.2">
      <c r="H1167" s="301"/>
      <c r="I1167" s="302"/>
    </row>
    <row r="1168" spans="8:9" x14ac:dyDescent="0.2">
      <c r="H1168" s="301"/>
      <c r="I1168" s="302"/>
    </row>
    <row r="1169" spans="8:9" x14ac:dyDescent="0.2">
      <c r="H1169" s="301"/>
      <c r="I1169" s="302"/>
    </row>
    <row r="1170" spans="8:9" x14ac:dyDescent="0.2">
      <c r="H1170" s="301"/>
      <c r="I1170" s="302"/>
    </row>
    <row r="1171" spans="8:9" x14ac:dyDescent="0.2">
      <c r="H1171" s="301"/>
      <c r="I1171" s="302"/>
    </row>
    <row r="1172" spans="8:9" x14ac:dyDescent="0.2">
      <c r="H1172" s="301"/>
      <c r="I1172" s="302"/>
    </row>
    <row r="1173" spans="8:9" x14ac:dyDescent="0.2">
      <c r="H1173" s="301"/>
      <c r="I1173" s="302"/>
    </row>
    <row r="1174" spans="8:9" x14ac:dyDescent="0.2">
      <c r="H1174" s="301"/>
      <c r="I1174" s="302"/>
    </row>
    <row r="1175" spans="8:9" x14ac:dyDescent="0.2">
      <c r="H1175" s="301"/>
      <c r="I1175" s="302"/>
    </row>
    <row r="1176" spans="8:9" x14ac:dyDescent="0.2">
      <c r="H1176" s="301"/>
      <c r="I1176" s="302"/>
    </row>
    <row r="1177" spans="8:9" x14ac:dyDescent="0.2">
      <c r="H1177" s="301"/>
      <c r="I1177" s="302"/>
    </row>
    <row r="1178" spans="8:9" x14ac:dyDescent="0.2">
      <c r="H1178" s="301"/>
      <c r="I1178" s="302"/>
    </row>
    <row r="1179" spans="8:9" x14ac:dyDescent="0.2">
      <c r="H1179" s="301"/>
      <c r="I1179" s="302"/>
    </row>
    <row r="1180" spans="8:9" x14ac:dyDescent="0.2">
      <c r="I1180" s="302"/>
    </row>
    <row r="1181" spans="8:9" x14ac:dyDescent="0.2">
      <c r="H1181" s="301"/>
      <c r="I1181" s="302"/>
    </row>
    <row r="1182" spans="8:9" x14ac:dyDescent="0.2">
      <c r="H1182" s="301"/>
      <c r="I1182" s="302"/>
    </row>
    <row r="1183" spans="8:9" x14ac:dyDescent="0.2">
      <c r="H1183" s="301"/>
      <c r="I1183" s="302"/>
    </row>
    <row r="1184" spans="8:9" x14ac:dyDescent="0.2">
      <c r="H1184" s="301"/>
      <c r="I1184" s="302"/>
    </row>
    <row r="1185" spans="8:9" x14ac:dyDescent="0.2">
      <c r="H1185" s="301"/>
      <c r="I1185" s="302"/>
    </row>
    <row r="1186" spans="8:9" x14ac:dyDescent="0.2">
      <c r="H1186" s="301"/>
      <c r="I1186" s="302"/>
    </row>
    <row r="1187" spans="8:9" x14ac:dyDescent="0.2">
      <c r="H1187" s="301"/>
      <c r="I1187" s="302"/>
    </row>
    <row r="1188" spans="8:9" x14ac:dyDescent="0.2">
      <c r="H1188" s="301"/>
      <c r="I1188" s="302"/>
    </row>
    <row r="1189" spans="8:9" x14ac:dyDescent="0.2">
      <c r="H1189" s="301"/>
      <c r="I1189" s="302"/>
    </row>
    <row r="1190" spans="8:9" x14ac:dyDescent="0.2">
      <c r="H1190" s="301"/>
      <c r="I1190" s="302"/>
    </row>
    <row r="1191" spans="8:9" x14ac:dyDescent="0.2">
      <c r="H1191" s="301"/>
      <c r="I1191" s="302"/>
    </row>
    <row r="1192" spans="8:9" x14ac:dyDescent="0.2">
      <c r="H1192" s="301"/>
      <c r="I1192" s="302"/>
    </row>
    <row r="1193" spans="8:9" x14ac:dyDescent="0.2">
      <c r="H1193" s="301"/>
      <c r="I1193" s="302"/>
    </row>
    <row r="1194" spans="8:9" x14ac:dyDescent="0.2">
      <c r="I1194" s="302"/>
    </row>
    <row r="1195" spans="8:9" x14ac:dyDescent="0.2">
      <c r="H1195" s="301"/>
      <c r="I1195" s="302"/>
    </row>
    <row r="1196" spans="8:9" x14ac:dyDescent="0.2">
      <c r="H1196" s="301"/>
      <c r="I1196" s="302"/>
    </row>
    <row r="1197" spans="8:9" x14ac:dyDescent="0.2">
      <c r="H1197" s="301"/>
      <c r="I1197" s="302"/>
    </row>
    <row r="1198" spans="8:9" x14ac:dyDescent="0.2">
      <c r="H1198" s="301"/>
      <c r="I1198" s="302"/>
    </row>
    <row r="1199" spans="8:9" x14ac:dyDescent="0.2">
      <c r="H1199" s="301"/>
      <c r="I1199" s="302"/>
    </row>
    <row r="1200" spans="8:9" x14ac:dyDescent="0.2">
      <c r="H1200" s="301"/>
      <c r="I1200" s="302"/>
    </row>
    <row r="1201" spans="8:9" x14ac:dyDescent="0.2">
      <c r="H1201" s="301"/>
      <c r="I1201" s="302"/>
    </row>
    <row r="1202" spans="8:9" x14ac:dyDescent="0.2">
      <c r="H1202" s="301"/>
      <c r="I1202" s="302"/>
    </row>
    <row r="1203" spans="8:9" x14ac:dyDescent="0.2">
      <c r="H1203" s="301"/>
      <c r="I1203" s="302"/>
    </row>
    <row r="1204" spans="8:9" x14ac:dyDescent="0.2">
      <c r="H1204" s="301"/>
      <c r="I1204" s="302"/>
    </row>
    <row r="1205" spans="8:9" x14ac:dyDescent="0.2">
      <c r="H1205" s="301"/>
      <c r="I1205" s="302"/>
    </row>
    <row r="1206" spans="8:9" x14ac:dyDescent="0.2">
      <c r="H1206" s="301"/>
      <c r="I1206" s="302"/>
    </row>
    <row r="1207" spans="8:9" x14ac:dyDescent="0.2">
      <c r="H1207" s="301"/>
      <c r="I1207" s="302"/>
    </row>
    <row r="1208" spans="8:9" x14ac:dyDescent="0.2">
      <c r="I1208" s="302"/>
    </row>
    <row r="1209" spans="8:9" x14ac:dyDescent="0.2">
      <c r="H1209" s="301"/>
      <c r="I1209" s="302"/>
    </row>
    <row r="1210" spans="8:9" x14ac:dyDescent="0.2">
      <c r="H1210" s="301"/>
      <c r="I1210" s="302"/>
    </row>
    <row r="1211" spans="8:9" x14ac:dyDescent="0.2">
      <c r="H1211" s="301"/>
      <c r="I1211" s="302"/>
    </row>
    <row r="1212" spans="8:9" x14ac:dyDescent="0.2">
      <c r="H1212" s="301"/>
      <c r="I1212" s="302"/>
    </row>
    <row r="1213" spans="8:9" x14ac:dyDescent="0.2">
      <c r="H1213" s="301"/>
      <c r="I1213" s="302"/>
    </row>
    <row r="1214" spans="8:9" x14ac:dyDescent="0.2">
      <c r="H1214" s="301"/>
      <c r="I1214" s="302"/>
    </row>
    <row r="1215" spans="8:9" x14ac:dyDescent="0.2">
      <c r="H1215" s="301"/>
      <c r="I1215" s="302"/>
    </row>
    <row r="1216" spans="8:9" x14ac:dyDescent="0.2">
      <c r="H1216" s="301"/>
      <c r="I1216" s="302"/>
    </row>
    <row r="1217" spans="8:9" x14ac:dyDescent="0.2">
      <c r="H1217" s="301"/>
      <c r="I1217" s="302"/>
    </row>
    <row r="1218" spans="8:9" x14ac:dyDescent="0.2">
      <c r="H1218" s="301"/>
      <c r="I1218" s="302"/>
    </row>
    <row r="1219" spans="8:9" x14ac:dyDescent="0.2">
      <c r="H1219" s="301"/>
      <c r="I1219" s="302"/>
    </row>
    <row r="1220" spans="8:9" x14ac:dyDescent="0.2">
      <c r="H1220" s="301"/>
      <c r="I1220" s="302"/>
    </row>
    <row r="1221" spans="8:9" x14ac:dyDescent="0.2">
      <c r="H1221" s="301"/>
      <c r="I1221" s="302"/>
    </row>
    <row r="1222" spans="8:9" x14ac:dyDescent="0.2">
      <c r="I1222" s="302"/>
    </row>
    <row r="1223" spans="8:9" x14ac:dyDescent="0.2">
      <c r="H1223" s="301"/>
      <c r="I1223" s="302"/>
    </row>
    <row r="1224" spans="8:9" x14ac:dyDescent="0.2">
      <c r="H1224" s="301"/>
      <c r="I1224" s="302"/>
    </row>
    <row r="1225" spans="8:9" x14ac:dyDescent="0.2">
      <c r="H1225" s="301"/>
      <c r="I1225" s="302"/>
    </row>
    <row r="1226" spans="8:9" x14ac:dyDescent="0.2">
      <c r="H1226" s="301"/>
      <c r="I1226" s="302"/>
    </row>
    <row r="1227" spans="8:9" x14ac:dyDescent="0.2">
      <c r="H1227" s="301"/>
      <c r="I1227" s="302"/>
    </row>
    <row r="1228" spans="8:9" x14ac:dyDescent="0.2">
      <c r="H1228" s="301"/>
      <c r="I1228" s="302"/>
    </row>
    <row r="1229" spans="8:9" x14ac:dyDescent="0.2">
      <c r="H1229" s="301"/>
      <c r="I1229" s="302"/>
    </row>
    <row r="1230" spans="8:9" x14ac:dyDescent="0.2">
      <c r="H1230" s="301"/>
      <c r="I1230" s="302"/>
    </row>
    <row r="1231" spans="8:9" x14ac:dyDescent="0.2">
      <c r="H1231" s="301"/>
      <c r="I1231" s="302"/>
    </row>
    <row r="1232" spans="8:9" x14ac:dyDescent="0.2">
      <c r="H1232" s="301"/>
      <c r="I1232" s="302"/>
    </row>
    <row r="1233" spans="8:9" x14ac:dyDescent="0.2">
      <c r="H1233" s="301"/>
      <c r="I1233" s="302"/>
    </row>
    <row r="1234" spans="8:9" x14ac:dyDescent="0.2">
      <c r="H1234" s="301"/>
      <c r="I1234" s="302"/>
    </row>
    <row r="1235" spans="8:9" x14ac:dyDescent="0.2">
      <c r="H1235" s="301"/>
      <c r="I1235" s="302"/>
    </row>
    <row r="1236" spans="8:9" x14ac:dyDescent="0.2">
      <c r="I1236" s="302"/>
    </row>
    <row r="1237" spans="8:9" x14ac:dyDescent="0.2">
      <c r="H1237" s="301"/>
      <c r="I1237" s="302"/>
    </row>
    <row r="1238" spans="8:9" x14ac:dyDescent="0.2">
      <c r="H1238" s="301"/>
      <c r="I1238" s="302"/>
    </row>
    <row r="1239" spans="8:9" x14ac:dyDescent="0.2">
      <c r="H1239" s="301"/>
      <c r="I1239" s="302"/>
    </row>
    <row r="1240" spans="8:9" x14ac:dyDescent="0.2">
      <c r="H1240" s="301"/>
      <c r="I1240" s="302"/>
    </row>
    <row r="1241" spans="8:9" x14ac:dyDescent="0.2">
      <c r="H1241" s="301"/>
      <c r="I1241" s="302"/>
    </row>
    <row r="1242" spans="8:9" x14ac:dyDescent="0.2">
      <c r="H1242" s="301"/>
      <c r="I1242" s="302"/>
    </row>
    <row r="1243" spans="8:9" x14ac:dyDescent="0.2">
      <c r="H1243" s="301"/>
      <c r="I1243" s="302"/>
    </row>
    <row r="1244" spans="8:9" x14ac:dyDescent="0.2">
      <c r="H1244" s="301"/>
      <c r="I1244" s="302"/>
    </row>
    <row r="1245" spans="8:9" x14ac:dyDescent="0.2">
      <c r="H1245" s="301"/>
      <c r="I1245" s="302"/>
    </row>
    <row r="1246" spans="8:9" x14ac:dyDescent="0.2">
      <c r="H1246" s="301"/>
      <c r="I1246" s="302"/>
    </row>
    <row r="1247" spans="8:9" x14ac:dyDescent="0.2">
      <c r="H1247" s="301"/>
      <c r="I1247" s="302"/>
    </row>
    <row r="1248" spans="8:9" x14ac:dyDescent="0.2">
      <c r="H1248" s="301"/>
      <c r="I1248" s="302"/>
    </row>
    <row r="1249" spans="8:9" x14ac:dyDescent="0.2">
      <c r="H1249" s="301"/>
      <c r="I1249" s="302"/>
    </row>
    <row r="1250" spans="8:9" x14ac:dyDescent="0.2">
      <c r="I1250" s="302"/>
    </row>
    <row r="1251" spans="8:9" x14ac:dyDescent="0.2">
      <c r="H1251" s="301"/>
      <c r="I1251" s="302"/>
    </row>
    <row r="1252" spans="8:9" x14ac:dyDescent="0.2">
      <c r="H1252" s="301"/>
      <c r="I1252" s="302"/>
    </row>
    <row r="1253" spans="8:9" x14ac:dyDescent="0.2">
      <c r="H1253" s="301"/>
      <c r="I1253" s="302"/>
    </row>
    <row r="1254" spans="8:9" x14ac:dyDescent="0.2">
      <c r="H1254" s="301"/>
      <c r="I1254" s="302"/>
    </row>
    <row r="1255" spans="8:9" x14ac:dyDescent="0.2">
      <c r="H1255" s="301"/>
      <c r="I1255" s="302"/>
    </row>
    <row r="1256" spans="8:9" x14ac:dyDescent="0.2">
      <c r="H1256" s="301"/>
      <c r="I1256" s="302"/>
    </row>
    <row r="1257" spans="8:9" x14ac:dyDescent="0.2">
      <c r="H1257" s="301"/>
      <c r="I1257" s="302"/>
    </row>
    <row r="1258" spans="8:9" x14ac:dyDescent="0.2">
      <c r="H1258" s="301"/>
      <c r="I1258" s="302"/>
    </row>
    <row r="1259" spans="8:9" x14ac:dyDescent="0.2">
      <c r="H1259" s="301"/>
      <c r="I1259" s="302"/>
    </row>
    <row r="1260" spans="8:9" x14ac:dyDescent="0.2">
      <c r="H1260" s="301"/>
      <c r="I1260" s="302"/>
    </row>
    <row r="1261" spans="8:9" x14ac:dyDescent="0.2">
      <c r="H1261" s="301"/>
      <c r="I1261" s="302"/>
    </row>
    <row r="1262" spans="8:9" x14ac:dyDescent="0.2">
      <c r="H1262" s="301"/>
      <c r="I1262" s="302"/>
    </row>
    <row r="1263" spans="8:9" x14ac:dyDescent="0.2">
      <c r="H1263" s="301"/>
      <c r="I1263" s="302"/>
    </row>
    <row r="1264" spans="8:9" x14ac:dyDescent="0.2">
      <c r="I1264" s="302"/>
    </row>
    <row r="1265" spans="8:9" x14ac:dyDescent="0.2">
      <c r="H1265" s="301"/>
      <c r="I1265" s="302"/>
    </row>
    <row r="1266" spans="8:9" x14ac:dyDescent="0.2">
      <c r="H1266" s="301"/>
      <c r="I1266" s="302"/>
    </row>
    <row r="1267" spans="8:9" x14ac:dyDescent="0.2">
      <c r="H1267" s="301"/>
      <c r="I1267" s="302"/>
    </row>
    <row r="1268" spans="8:9" x14ac:dyDescent="0.2">
      <c r="H1268" s="301"/>
      <c r="I1268" s="302"/>
    </row>
    <row r="1269" spans="8:9" x14ac:dyDescent="0.2">
      <c r="H1269" s="301"/>
      <c r="I1269" s="302"/>
    </row>
    <row r="1270" spans="8:9" x14ac:dyDescent="0.2">
      <c r="H1270" s="301"/>
      <c r="I1270" s="302"/>
    </row>
    <row r="1271" spans="8:9" x14ac:dyDescent="0.2">
      <c r="H1271" s="301"/>
      <c r="I1271" s="302"/>
    </row>
    <row r="1272" spans="8:9" x14ac:dyDescent="0.2">
      <c r="H1272" s="301"/>
      <c r="I1272" s="302"/>
    </row>
    <row r="1273" spans="8:9" x14ac:dyDescent="0.2">
      <c r="H1273" s="301"/>
      <c r="I1273" s="302"/>
    </row>
    <row r="1274" spans="8:9" x14ac:dyDescent="0.2">
      <c r="H1274" s="301"/>
      <c r="I1274" s="302"/>
    </row>
    <row r="1275" spans="8:9" x14ac:dyDescent="0.2">
      <c r="H1275" s="301"/>
      <c r="I1275" s="302"/>
    </row>
    <row r="1276" spans="8:9" x14ac:dyDescent="0.2">
      <c r="H1276" s="301"/>
      <c r="I1276" s="302"/>
    </row>
    <row r="1277" spans="8:9" x14ac:dyDescent="0.2">
      <c r="H1277" s="301"/>
      <c r="I1277" s="302"/>
    </row>
    <row r="1278" spans="8:9" x14ac:dyDescent="0.2">
      <c r="I1278" s="302"/>
    </row>
    <row r="1279" spans="8:9" x14ac:dyDescent="0.2">
      <c r="H1279" s="301"/>
      <c r="I1279" s="302"/>
    </row>
    <row r="1280" spans="8:9" x14ac:dyDescent="0.2">
      <c r="H1280" s="301"/>
      <c r="I1280" s="302"/>
    </row>
    <row r="1281" spans="8:9" x14ac:dyDescent="0.2">
      <c r="H1281" s="301"/>
      <c r="I1281" s="302"/>
    </row>
    <row r="1282" spans="8:9" x14ac:dyDescent="0.2">
      <c r="H1282" s="301"/>
      <c r="I1282" s="302"/>
    </row>
    <row r="1283" spans="8:9" x14ac:dyDescent="0.2">
      <c r="H1283" s="301"/>
      <c r="I1283" s="302"/>
    </row>
    <row r="1284" spans="8:9" x14ac:dyDescent="0.2">
      <c r="H1284" s="301"/>
      <c r="I1284" s="302"/>
    </row>
    <row r="1285" spans="8:9" x14ac:dyDescent="0.2">
      <c r="H1285" s="301"/>
      <c r="I1285" s="302"/>
    </row>
    <row r="1286" spans="8:9" x14ac:dyDescent="0.2">
      <c r="H1286" s="301"/>
      <c r="I1286" s="302"/>
    </row>
    <row r="1287" spans="8:9" x14ac:dyDescent="0.2">
      <c r="H1287" s="301"/>
      <c r="I1287" s="302"/>
    </row>
    <row r="1288" spans="8:9" x14ac:dyDescent="0.2">
      <c r="H1288" s="301"/>
      <c r="I1288" s="302"/>
    </row>
    <row r="1289" spans="8:9" x14ac:dyDescent="0.2">
      <c r="H1289" s="301"/>
      <c r="I1289" s="302"/>
    </row>
    <row r="1290" spans="8:9" x14ac:dyDescent="0.2">
      <c r="H1290" s="301"/>
      <c r="I1290" s="302"/>
    </row>
    <row r="1291" spans="8:9" x14ac:dyDescent="0.2">
      <c r="H1291" s="301"/>
      <c r="I1291" s="302"/>
    </row>
    <row r="1292" spans="8:9" x14ac:dyDescent="0.2">
      <c r="I1292" s="302"/>
    </row>
    <row r="1293" spans="8:9" x14ac:dyDescent="0.2">
      <c r="H1293" s="301"/>
      <c r="I1293" s="302"/>
    </row>
    <row r="1294" spans="8:9" x14ac:dyDescent="0.2">
      <c r="H1294" s="301"/>
      <c r="I1294" s="302"/>
    </row>
    <row r="1295" spans="8:9" x14ac:dyDescent="0.2">
      <c r="H1295" s="301"/>
      <c r="I1295" s="302"/>
    </row>
    <row r="1296" spans="8:9" x14ac:dyDescent="0.2">
      <c r="H1296" s="301"/>
      <c r="I1296" s="302"/>
    </row>
    <row r="1297" spans="8:9" x14ac:dyDescent="0.2">
      <c r="H1297" s="301"/>
      <c r="I1297" s="302"/>
    </row>
    <row r="1298" spans="8:9" x14ac:dyDescent="0.2">
      <c r="H1298" s="301"/>
      <c r="I1298" s="302"/>
    </row>
    <row r="1299" spans="8:9" x14ac:dyDescent="0.2">
      <c r="H1299" s="301"/>
      <c r="I1299" s="302"/>
    </row>
    <row r="1300" spans="8:9" x14ac:dyDescent="0.2">
      <c r="H1300" s="301"/>
      <c r="I1300" s="302"/>
    </row>
    <row r="1301" spans="8:9" x14ac:dyDescent="0.2">
      <c r="H1301" s="301"/>
      <c r="I1301" s="302"/>
    </row>
    <row r="1302" spans="8:9" x14ac:dyDescent="0.2">
      <c r="H1302" s="301"/>
      <c r="I1302" s="302"/>
    </row>
    <row r="1303" spans="8:9" x14ac:dyDescent="0.2">
      <c r="H1303" s="301"/>
      <c r="I1303" s="302"/>
    </row>
    <row r="1304" spans="8:9" x14ac:dyDescent="0.2">
      <c r="H1304" s="301"/>
      <c r="I1304" s="302"/>
    </row>
    <row r="1305" spans="8:9" x14ac:dyDescent="0.2">
      <c r="H1305" s="301"/>
      <c r="I1305" s="302"/>
    </row>
    <row r="1306" spans="8:9" x14ac:dyDescent="0.2">
      <c r="I1306" s="302"/>
    </row>
    <row r="1307" spans="8:9" x14ac:dyDescent="0.2">
      <c r="H1307" s="301"/>
      <c r="I1307" s="302"/>
    </row>
    <row r="1308" spans="8:9" x14ac:dyDescent="0.2">
      <c r="H1308" s="301"/>
      <c r="I1308" s="302"/>
    </row>
    <row r="1309" spans="8:9" x14ac:dyDescent="0.2">
      <c r="H1309" s="301"/>
      <c r="I1309" s="302"/>
    </row>
    <row r="1310" spans="8:9" x14ac:dyDescent="0.2">
      <c r="H1310" s="301"/>
      <c r="I1310" s="302"/>
    </row>
    <row r="1311" spans="8:9" x14ac:dyDescent="0.2">
      <c r="H1311" s="301"/>
      <c r="I1311" s="302"/>
    </row>
    <row r="1312" spans="8:9" x14ac:dyDescent="0.2">
      <c r="H1312" s="301"/>
      <c r="I1312" s="302"/>
    </row>
    <row r="1313" spans="8:9" x14ac:dyDescent="0.2">
      <c r="H1313" s="301"/>
      <c r="I1313" s="302"/>
    </row>
    <row r="1314" spans="8:9" x14ac:dyDescent="0.2">
      <c r="H1314" s="301"/>
      <c r="I1314" s="302"/>
    </row>
    <row r="1315" spans="8:9" x14ac:dyDescent="0.2">
      <c r="H1315" s="301"/>
      <c r="I1315" s="302"/>
    </row>
    <row r="1316" spans="8:9" x14ac:dyDescent="0.2">
      <c r="H1316" s="301"/>
      <c r="I1316" s="302"/>
    </row>
    <row r="1317" spans="8:9" x14ac:dyDescent="0.2">
      <c r="H1317" s="301"/>
      <c r="I1317" s="302"/>
    </row>
    <row r="1318" spans="8:9" x14ac:dyDescent="0.2">
      <c r="H1318" s="301"/>
      <c r="I1318" s="302"/>
    </row>
    <row r="1319" spans="8:9" x14ac:dyDescent="0.2">
      <c r="H1319" s="301"/>
      <c r="I1319" s="302"/>
    </row>
    <row r="1320" spans="8:9" x14ac:dyDescent="0.2">
      <c r="I1320" s="302"/>
    </row>
    <row r="1321" spans="8:9" x14ac:dyDescent="0.2">
      <c r="H1321" s="301"/>
      <c r="I1321" s="302"/>
    </row>
    <row r="1322" spans="8:9" x14ac:dyDescent="0.2">
      <c r="H1322" s="301"/>
      <c r="I1322" s="302"/>
    </row>
    <row r="1323" spans="8:9" x14ac:dyDescent="0.2">
      <c r="H1323" s="301"/>
      <c r="I1323" s="302"/>
    </row>
    <row r="1324" spans="8:9" x14ac:dyDescent="0.2">
      <c r="H1324" s="301"/>
      <c r="I1324" s="302"/>
    </row>
    <row r="1325" spans="8:9" x14ac:dyDescent="0.2">
      <c r="H1325" s="301"/>
      <c r="I1325" s="302"/>
    </row>
    <row r="1326" spans="8:9" x14ac:dyDescent="0.2">
      <c r="H1326" s="301"/>
      <c r="I1326" s="302"/>
    </row>
    <row r="1327" spans="8:9" x14ac:dyDescent="0.2">
      <c r="H1327" s="301"/>
      <c r="I1327" s="302"/>
    </row>
    <row r="1328" spans="8:9" x14ac:dyDescent="0.2">
      <c r="H1328" s="301"/>
      <c r="I1328" s="302"/>
    </row>
    <row r="1329" spans="8:9" x14ac:dyDescent="0.2">
      <c r="H1329" s="301"/>
      <c r="I1329" s="302"/>
    </row>
    <row r="1330" spans="8:9" x14ac:dyDescent="0.2">
      <c r="H1330" s="301"/>
      <c r="I1330" s="302"/>
    </row>
    <row r="1331" spans="8:9" x14ac:dyDescent="0.2">
      <c r="H1331" s="301"/>
      <c r="I1331" s="302"/>
    </row>
    <row r="1332" spans="8:9" x14ac:dyDescent="0.2">
      <c r="H1332" s="301"/>
      <c r="I1332" s="302"/>
    </row>
    <row r="1333" spans="8:9" x14ac:dyDescent="0.2">
      <c r="H1333" s="301"/>
      <c r="I1333" s="302"/>
    </row>
    <row r="1334" spans="8:9" x14ac:dyDescent="0.2">
      <c r="I1334" s="302"/>
    </row>
    <row r="1335" spans="8:9" x14ac:dyDescent="0.2">
      <c r="H1335" s="301"/>
      <c r="I1335" s="302"/>
    </row>
    <row r="1336" spans="8:9" x14ac:dyDescent="0.2">
      <c r="H1336" s="301"/>
      <c r="I1336" s="302"/>
    </row>
    <row r="1337" spans="8:9" x14ac:dyDescent="0.2">
      <c r="H1337" s="301"/>
      <c r="I1337" s="302"/>
    </row>
    <row r="1338" spans="8:9" x14ac:dyDescent="0.2">
      <c r="H1338" s="301"/>
      <c r="I1338" s="302"/>
    </row>
    <row r="1339" spans="8:9" x14ac:dyDescent="0.2">
      <c r="H1339" s="301"/>
      <c r="I1339" s="302"/>
    </row>
    <row r="1340" spans="8:9" x14ac:dyDescent="0.2">
      <c r="H1340" s="301"/>
      <c r="I1340" s="302"/>
    </row>
    <row r="1341" spans="8:9" x14ac:dyDescent="0.2">
      <c r="H1341" s="301"/>
      <c r="I1341" s="302"/>
    </row>
    <row r="1342" spans="8:9" x14ac:dyDescent="0.2">
      <c r="H1342" s="301"/>
      <c r="I1342" s="302"/>
    </row>
    <row r="1343" spans="8:9" x14ac:dyDescent="0.2">
      <c r="H1343" s="301"/>
      <c r="I1343" s="302"/>
    </row>
    <row r="1344" spans="8:9" x14ac:dyDescent="0.2">
      <c r="H1344" s="301"/>
      <c r="I1344" s="302"/>
    </row>
    <row r="1345" spans="8:9" x14ac:dyDescent="0.2">
      <c r="H1345" s="301"/>
      <c r="I1345" s="302"/>
    </row>
    <row r="1346" spans="8:9" x14ac:dyDescent="0.2">
      <c r="H1346" s="301"/>
      <c r="I1346" s="302"/>
    </row>
    <row r="1347" spans="8:9" x14ac:dyDescent="0.2">
      <c r="H1347" s="301"/>
      <c r="I1347" s="302"/>
    </row>
    <row r="1348" spans="8:9" x14ac:dyDescent="0.2">
      <c r="I1348" s="302"/>
    </row>
    <row r="1349" spans="8:9" x14ac:dyDescent="0.2">
      <c r="H1349" s="301"/>
      <c r="I1349" s="302"/>
    </row>
    <row r="1350" spans="8:9" x14ac:dyDescent="0.2">
      <c r="H1350" s="301"/>
      <c r="I1350" s="302"/>
    </row>
    <row r="1351" spans="8:9" x14ac:dyDescent="0.2">
      <c r="H1351" s="301"/>
      <c r="I1351" s="302"/>
    </row>
    <row r="1352" spans="8:9" x14ac:dyDescent="0.2">
      <c r="H1352" s="301"/>
      <c r="I1352" s="302"/>
    </row>
    <row r="1353" spans="8:9" x14ac:dyDescent="0.2">
      <c r="H1353" s="301"/>
      <c r="I1353" s="302"/>
    </row>
    <row r="1354" spans="8:9" x14ac:dyDescent="0.2">
      <c r="H1354" s="301"/>
      <c r="I1354" s="302"/>
    </row>
    <row r="1355" spans="8:9" x14ac:dyDescent="0.2">
      <c r="H1355" s="301"/>
      <c r="I1355" s="302"/>
    </row>
    <row r="1356" spans="8:9" x14ac:dyDescent="0.2">
      <c r="H1356" s="301"/>
      <c r="I1356" s="302"/>
    </row>
    <row r="1357" spans="8:9" x14ac:dyDescent="0.2">
      <c r="H1357" s="301"/>
      <c r="I1357" s="302"/>
    </row>
    <row r="1358" spans="8:9" x14ac:dyDescent="0.2">
      <c r="H1358" s="301"/>
      <c r="I1358" s="302"/>
    </row>
    <row r="1359" spans="8:9" x14ac:dyDescent="0.2">
      <c r="H1359" s="301"/>
      <c r="I1359" s="302"/>
    </row>
    <row r="1360" spans="8:9" x14ac:dyDescent="0.2">
      <c r="H1360" s="301"/>
      <c r="I1360" s="302"/>
    </row>
    <row r="1361" spans="8:9" x14ac:dyDescent="0.2">
      <c r="H1361" s="301"/>
      <c r="I1361" s="302"/>
    </row>
    <row r="1362" spans="8:9" x14ac:dyDescent="0.2">
      <c r="I1362" s="302"/>
    </row>
    <row r="1363" spans="8:9" x14ac:dyDescent="0.2">
      <c r="H1363" s="301"/>
      <c r="I1363" s="302"/>
    </row>
    <row r="1364" spans="8:9" x14ac:dyDescent="0.2">
      <c r="H1364" s="301"/>
      <c r="I1364" s="302"/>
    </row>
    <row r="1365" spans="8:9" x14ac:dyDescent="0.2">
      <c r="H1365" s="301"/>
      <c r="I1365" s="302"/>
    </row>
    <row r="1366" spans="8:9" x14ac:dyDescent="0.2">
      <c r="H1366" s="301"/>
      <c r="I1366" s="302"/>
    </row>
    <row r="1367" spans="8:9" x14ac:dyDescent="0.2">
      <c r="H1367" s="301"/>
      <c r="I1367" s="302"/>
    </row>
    <row r="1368" spans="8:9" x14ac:dyDescent="0.2">
      <c r="H1368" s="301"/>
      <c r="I1368" s="302"/>
    </row>
    <row r="1369" spans="8:9" x14ac:dyDescent="0.2">
      <c r="H1369" s="301"/>
      <c r="I1369" s="302"/>
    </row>
    <row r="1370" spans="8:9" x14ac:dyDescent="0.2">
      <c r="H1370" s="301"/>
      <c r="I1370" s="302"/>
    </row>
    <row r="1371" spans="8:9" x14ac:dyDescent="0.2">
      <c r="H1371" s="301"/>
      <c r="I1371" s="302"/>
    </row>
    <row r="1372" spans="8:9" x14ac:dyDescent="0.2">
      <c r="H1372" s="301"/>
      <c r="I1372" s="302"/>
    </row>
    <row r="1373" spans="8:9" x14ac:dyDescent="0.2">
      <c r="H1373" s="301"/>
      <c r="I1373" s="302"/>
    </row>
    <row r="1374" spans="8:9" x14ac:dyDescent="0.2">
      <c r="H1374" s="301"/>
      <c r="I1374" s="302"/>
    </row>
    <row r="1375" spans="8:9" x14ac:dyDescent="0.2">
      <c r="H1375" s="301"/>
      <c r="I1375" s="302"/>
    </row>
    <row r="1376" spans="8:9" x14ac:dyDescent="0.2">
      <c r="I1376" s="302"/>
    </row>
    <row r="1377" spans="8:9" x14ac:dyDescent="0.2">
      <c r="H1377" s="301"/>
      <c r="I1377" s="302"/>
    </row>
    <row r="1378" spans="8:9" x14ac:dyDescent="0.2">
      <c r="H1378" s="301"/>
      <c r="I1378" s="302"/>
    </row>
    <row r="1379" spans="8:9" x14ac:dyDescent="0.2">
      <c r="H1379" s="301"/>
      <c r="I1379" s="302"/>
    </row>
    <row r="1380" spans="8:9" x14ac:dyDescent="0.2">
      <c r="H1380" s="301"/>
      <c r="I1380" s="302"/>
    </row>
    <row r="1381" spans="8:9" x14ac:dyDescent="0.2">
      <c r="H1381" s="301"/>
      <c r="I1381" s="302"/>
    </row>
    <row r="1382" spans="8:9" x14ac:dyDescent="0.2">
      <c r="H1382" s="301"/>
      <c r="I1382" s="302"/>
    </row>
    <row r="1383" spans="8:9" x14ac:dyDescent="0.2">
      <c r="H1383" s="301"/>
      <c r="I1383" s="302"/>
    </row>
    <row r="1384" spans="8:9" x14ac:dyDescent="0.2">
      <c r="H1384" s="301"/>
      <c r="I1384" s="302"/>
    </row>
    <row r="1385" spans="8:9" x14ac:dyDescent="0.2">
      <c r="H1385" s="301"/>
      <c r="I1385" s="302"/>
    </row>
    <row r="1386" spans="8:9" x14ac:dyDescent="0.2">
      <c r="H1386" s="301"/>
      <c r="I1386" s="302"/>
    </row>
    <row r="1387" spans="8:9" x14ac:dyDescent="0.2">
      <c r="H1387" s="301"/>
      <c r="I1387" s="302"/>
    </row>
    <row r="1388" spans="8:9" x14ac:dyDescent="0.2">
      <c r="H1388" s="301"/>
      <c r="I1388" s="302"/>
    </row>
    <row r="1389" spans="8:9" x14ac:dyDescent="0.2">
      <c r="H1389" s="301"/>
      <c r="I1389" s="302"/>
    </row>
    <row r="1390" spans="8:9" x14ac:dyDescent="0.2">
      <c r="I1390" s="302"/>
    </row>
    <row r="1391" spans="8:9" x14ac:dyDescent="0.2">
      <c r="H1391" s="301"/>
      <c r="I1391" s="302"/>
    </row>
    <row r="1392" spans="8:9" x14ac:dyDescent="0.2">
      <c r="H1392" s="301"/>
      <c r="I1392" s="302"/>
    </row>
    <row r="1393" spans="8:9" x14ac:dyDescent="0.2">
      <c r="H1393" s="301"/>
      <c r="I1393" s="302"/>
    </row>
    <row r="1394" spans="8:9" x14ac:dyDescent="0.2">
      <c r="H1394" s="301"/>
      <c r="I1394" s="302"/>
    </row>
    <row r="1395" spans="8:9" x14ac:dyDescent="0.2">
      <c r="H1395" s="301"/>
      <c r="I1395" s="302"/>
    </row>
    <row r="1396" spans="8:9" x14ac:dyDescent="0.2">
      <c r="H1396" s="301"/>
      <c r="I1396" s="302"/>
    </row>
    <row r="1397" spans="8:9" x14ac:dyDescent="0.2">
      <c r="H1397" s="301"/>
      <c r="I1397" s="302"/>
    </row>
    <row r="1398" spans="8:9" x14ac:dyDescent="0.2">
      <c r="H1398" s="301"/>
      <c r="I1398" s="302"/>
    </row>
    <row r="1399" spans="8:9" x14ac:dyDescent="0.2">
      <c r="H1399" s="301"/>
      <c r="I1399" s="302"/>
    </row>
    <row r="1400" spans="8:9" x14ac:dyDescent="0.2">
      <c r="H1400" s="301"/>
      <c r="I1400" s="302"/>
    </row>
    <row r="1401" spans="8:9" x14ac:dyDescent="0.2">
      <c r="H1401" s="301"/>
      <c r="I1401" s="302"/>
    </row>
    <row r="1402" spans="8:9" x14ac:dyDescent="0.2">
      <c r="H1402" s="301"/>
      <c r="I1402" s="302"/>
    </row>
    <row r="1403" spans="8:9" x14ac:dyDescent="0.2">
      <c r="H1403" s="301"/>
      <c r="I1403" s="302"/>
    </row>
    <row r="1404" spans="8:9" x14ac:dyDescent="0.2">
      <c r="I1404" s="302"/>
    </row>
    <row r="1405" spans="8:9" x14ac:dyDescent="0.2">
      <c r="H1405" s="301"/>
      <c r="I1405" s="302"/>
    </row>
    <row r="1406" spans="8:9" x14ac:dyDescent="0.2">
      <c r="H1406" s="301"/>
      <c r="I1406" s="302"/>
    </row>
    <row r="1407" spans="8:9" x14ac:dyDescent="0.2">
      <c r="H1407" s="301"/>
      <c r="I1407" s="302"/>
    </row>
    <row r="1408" spans="8:9" x14ac:dyDescent="0.2">
      <c r="H1408" s="301"/>
      <c r="I1408" s="302"/>
    </row>
    <row r="1409" spans="8:9" x14ac:dyDescent="0.2">
      <c r="H1409" s="301"/>
      <c r="I1409" s="302"/>
    </row>
    <row r="1410" spans="8:9" x14ac:dyDescent="0.2">
      <c r="H1410" s="301"/>
      <c r="I1410" s="302"/>
    </row>
    <row r="1411" spans="8:9" x14ac:dyDescent="0.2">
      <c r="H1411" s="301"/>
      <c r="I1411" s="302"/>
    </row>
    <row r="1412" spans="8:9" x14ac:dyDescent="0.2">
      <c r="H1412" s="301"/>
      <c r="I1412" s="302"/>
    </row>
    <row r="1413" spans="8:9" x14ac:dyDescent="0.2">
      <c r="H1413" s="301"/>
      <c r="I1413" s="302"/>
    </row>
    <row r="1414" spans="8:9" x14ac:dyDescent="0.2">
      <c r="H1414" s="301"/>
      <c r="I1414" s="302"/>
    </row>
    <row r="1415" spans="8:9" x14ac:dyDescent="0.2">
      <c r="H1415" s="301"/>
      <c r="I1415" s="302"/>
    </row>
    <row r="1416" spans="8:9" x14ac:dyDescent="0.2">
      <c r="H1416" s="301"/>
      <c r="I1416" s="302"/>
    </row>
    <row r="1417" spans="8:9" x14ac:dyDescent="0.2">
      <c r="H1417" s="301"/>
      <c r="I1417" s="302"/>
    </row>
    <row r="1418" spans="8:9" x14ac:dyDescent="0.2">
      <c r="I1418" s="302"/>
    </row>
    <row r="1419" spans="8:9" x14ac:dyDescent="0.2">
      <c r="H1419" s="301"/>
      <c r="I1419" s="302"/>
    </row>
    <row r="1420" spans="8:9" x14ac:dyDescent="0.2">
      <c r="H1420" s="301"/>
      <c r="I1420" s="302"/>
    </row>
    <row r="1421" spans="8:9" x14ac:dyDescent="0.2">
      <c r="H1421" s="301"/>
      <c r="I1421" s="302"/>
    </row>
    <row r="1422" spans="8:9" x14ac:dyDescent="0.2">
      <c r="H1422" s="301"/>
      <c r="I1422" s="302"/>
    </row>
    <row r="1423" spans="8:9" x14ac:dyDescent="0.2">
      <c r="H1423" s="301"/>
      <c r="I1423" s="302"/>
    </row>
    <row r="1424" spans="8:9" x14ac:dyDescent="0.2">
      <c r="H1424" s="301"/>
      <c r="I1424" s="302"/>
    </row>
    <row r="1425" spans="8:9" x14ac:dyDescent="0.2">
      <c r="H1425" s="301"/>
      <c r="I1425" s="302"/>
    </row>
    <row r="1426" spans="8:9" x14ac:dyDescent="0.2">
      <c r="H1426" s="301"/>
      <c r="I1426" s="302"/>
    </row>
    <row r="1427" spans="8:9" x14ac:dyDescent="0.2">
      <c r="H1427" s="301"/>
      <c r="I1427" s="302"/>
    </row>
    <row r="1428" spans="8:9" x14ac:dyDescent="0.2">
      <c r="H1428" s="301"/>
      <c r="I1428" s="302"/>
    </row>
    <row r="1429" spans="8:9" x14ac:dyDescent="0.2">
      <c r="H1429" s="301"/>
      <c r="I1429" s="302"/>
    </row>
    <row r="1430" spans="8:9" x14ac:dyDescent="0.2">
      <c r="H1430" s="301"/>
      <c r="I1430" s="302"/>
    </row>
    <row r="1431" spans="8:9" x14ac:dyDescent="0.2">
      <c r="H1431" s="301"/>
      <c r="I1431" s="302"/>
    </row>
    <row r="1432" spans="8:9" x14ac:dyDescent="0.2">
      <c r="I1432" s="302"/>
    </row>
    <row r="1433" spans="8:9" x14ac:dyDescent="0.2">
      <c r="H1433" s="301"/>
      <c r="I1433" s="302"/>
    </row>
    <row r="1434" spans="8:9" x14ac:dyDescent="0.2">
      <c r="H1434" s="301"/>
      <c r="I1434" s="302"/>
    </row>
    <row r="1435" spans="8:9" x14ac:dyDescent="0.2">
      <c r="H1435" s="301"/>
      <c r="I1435" s="302"/>
    </row>
    <row r="1436" spans="8:9" x14ac:dyDescent="0.2">
      <c r="H1436" s="301"/>
      <c r="I1436" s="302"/>
    </row>
    <row r="1437" spans="8:9" x14ac:dyDescent="0.2">
      <c r="H1437" s="301"/>
      <c r="I1437" s="302"/>
    </row>
    <row r="1438" spans="8:9" x14ac:dyDescent="0.2">
      <c r="H1438" s="301"/>
      <c r="I1438" s="302"/>
    </row>
    <row r="1439" spans="8:9" x14ac:dyDescent="0.2">
      <c r="H1439" s="301"/>
      <c r="I1439" s="302"/>
    </row>
    <row r="1440" spans="8:9" x14ac:dyDescent="0.2">
      <c r="H1440" s="301"/>
      <c r="I1440" s="302"/>
    </row>
    <row r="1441" spans="8:9" x14ac:dyDescent="0.2">
      <c r="H1441" s="301"/>
      <c r="I1441" s="302"/>
    </row>
    <row r="1442" spans="8:9" x14ac:dyDescent="0.2">
      <c r="H1442" s="301"/>
      <c r="I1442" s="302"/>
    </row>
    <row r="1443" spans="8:9" x14ac:dyDescent="0.2">
      <c r="H1443" s="301"/>
      <c r="I1443" s="302"/>
    </row>
    <row r="1444" spans="8:9" x14ac:dyDescent="0.2">
      <c r="H1444" s="301"/>
      <c r="I1444" s="302"/>
    </row>
    <row r="1445" spans="8:9" x14ac:dyDescent="0.2">
      <c r="H1445" s="301"/>
      <c r="I1445" s="302"/>
    </row>
    <row r="1446" spans="8:9" x14ac:dyDescent="0.2">
      <c r="I1446" s="302"/>
    </row>
    <row r="1447" spans="8:9" x14ac:dyDescent="0.2">
      <c r="H1447" s="301"/>
      <c r="I1447" s="302"/>
    </row>
    <row r="1448" spans="8:9" x14ac:dyDescent="0.2">
      <c r="H1448" s="301"/>
      <c r="I1448" s="302"/>
    </row>
    <row r="1449" spans="8:9" x14ac:dyDescent="0.2">
      <c r="H1449" s="301"/>
      <c r="I1449" s="302"/>
    </row>
    <row r="1450" spans="8:9" x14ac:dyDescent="0.2">
      <c r="H1450" s="301"/>
      <c r="I1450" s="302"/>
    </row>
    <row r="1451" spans="8:9" x14ac:dyDescent="0.2">
      <c r="H1451" s="301"/>
      <c r="I1451" s="302"/>
    </row>
    <row r="1452" spans="8:9" x14ac:dyDescent="0.2">
      <c r="H1452" s="301"/>
      <c r="I1452" s="302"/>
    </row>
    <row r="1453" spans="8:9" x14ac:dyDescent="0.2">
      <c r="H1453" s="301"/>
      <c r="I1453" s="302"/>
    </row>
    <row r="1454" spans="8:9" x14ac:dyDescent="0.2">
      <c r="H1454" s="301"/>
      <c r="I1454" s="302"/>
    </row>
    <row r="1455" spans="8:9" x14ac:dyDescent="0.2">
      <c r="H1455" s="301"/>
      <c r="I1455" s="302"/>
    </row>
    <row r="1456" spans="8:9" x14ac:dyDescent="0.2">
      <c r="H1456" s="301"/>
      <c r="I1456" s="302"/>
    </row>
    <row r="1457" spans="8:9" x14ac:dyDescent="0.2">
      <c r="H1457" s="301"/>
      <c r="I1457" s="302"/>
    </row>
    <row r="1458" spans="8:9" x14ac:dyDescent="0.2">
      <c r="H1458" s="301"/>
      <c r="I1458" s="302"/>
    </row>
    <row r="1459" spans="8:9" x14ac:dyDescent="0.2">
      <c r="H1459" s="301"/>
      <c r="I1459" s="302"/>
    </row>
    <row r="1460" spans="8:9" x14ac:dyDescent="0.2">
      <c r="I1460" s="302"/>
    </row>
    <row r="1461" spans="8:9" x14ac:dyDescent="0.2">
      <c r="H1461" s="301"/>
      <c r="I1461" s="302"/>
    </row>
    <row r="1462" spans="8:9" x14ac:dyDescent="0.2">
      <c r="H1462" s="301"/>
      <c r="I1462" s="302"/>
    </row>
    <row r="1463" spans="8:9" x14ac:dyDescent="0.2">
      <c r="H1463" s="301"/>
      <c r="I1463" s="302"/>
    </row>
    <row r="1464" spans="8:9" x14ac:dyDescent="0.2">
      <c r="H1464" s="301"/>
      <c r="I1464" s="302"/>
    </row>
    <row r="1465" spans="8:9" x14ac:dyDescent="0.2">
      <c r="H1465" s="301"/>
      <c r="I1465" s="302"/>
    </row>
    <row r="1466" spans="8:9" x14ac:dyDescent="0.2">
      <c r="H1466" s="301"/>
      <c r="I1466" s="302"/>
    </row>
    <row r="1467" spans="8:9" x14ac:dyDescent="0.2">
      <c r="H1467" s="301"/>
      <c r="I1467" s="302"/>
    </row>
    <row r="1468" spans="8:9" x14ac:dyDescent="0.2">
      <c r="H1468" s="301"/>
      <c r="I1468" s="302"/>
    </row>
    <row r="1469" spans="8:9" x14ac:dyDescent="0.2">
      <c r="H1469" s="301"/>
      <c r="I1469" s="302"/>
    </row>
    <row r="1470" spans="8:9" x14ac:dyDescent="0.2">
      <c r="H1470" s="301"/>
      <c r="I1470" s="302"/>
    </row>
    <row r="1471" spans="8:9" x14ac:dyDescent="0.2">
      <c r="H1471" s="301"/>
      <c r="I1471" s="302"/>
    </row>
    <row r="1472" spans="8:9" x14ac:dyDescent="0.2">
      <c r="H1472" s="301"/>
      <c r="I1472" s="302"/>
    </row>
    <row r="1473" spans="8:9" x14ac:dyDescent="0.2">
      <c r="H1473" s="301"/>
      <c r="I1473" s="302"/>
    </row>
    <row r="1474" spans="8:9" x14ac:dyDescent="0.2">
      <c r="I1474" s="302"/>
    </row>
    <row r="1475" spans="8:9" x14ac:dyDescent="0.2">
      <c r="H1475" s="301"/>
      <c r="I1475" s="302"/>
    </row>
    <row r="1476" spans="8:9" x14ac:dyDescent="0.2">
      <c r="H1476" s="301"/>
      <c r="I1476" s="302"/>
    </row>
    <row r="1477" spans="8:9" x14ac:dyDescent="0.2">
      <c r="H1477" s="301"/>
      <c r="I1477" s="302"/>
    </row>
    <row r="1478" spans="8:9" x14ac:dyDescent="0.2">
      <c r="H1478" s="301"/>
      <c r="I1478" s="302"/>
    </row>
    <row r="1479" spans="8:9" x14ac:dyDescent="0.2">
      <c r="H1479" s="301"/>
      <c r="I1479" s="302"/>
    </row>
    <row r="1480" spans="8:9" x14ac:dyDescent="0.2">
      <c r="H1480" s="301"/>
      <c r="I1480" s="302"/>
    </row>
    <row r="1481" spans="8:9" x14ac:dyDescent="0.2">
      <c r="H1481" s="301"/>
      <c r="I1481" s="302"/>
    </row>
    <row r="1482" spans="8:9" x14ac:dyDescent="0.2">
      <c r="H1482" s="301"/>
      <c r="I1482" s="302"/>
    </row>
    <row r="1483" spans="8:9" x14ac:dyDescent="0.2">
      <c r="H1483" s="301"/>
      <c r="I1483" s="302"/>
    </row>
    <row r="1484" spans="8:9" x14ac:dyDescent="0.2">
      <c r="H1484" s="301"/>
      <c r="I1484" s="302"/>
    </row>
    <row r="1485" spans="8:9" x14ac:dyDescent="0.2">
      <c r="H1485" s="301"/>
      <c r="I1485" s="302"/>
    </row>
    <row r="1486" spans="8:9" x14ac:dyDescent="0.2">
      <c r="H1486" s="301"/>
      <c r="I1486" s="302"/>
    </row>
    <row r="1487" spans="8:9" x14ac:dyDescent="0.2">
      <c r="H1487" s="301"/>
      <c r="I1487" s="302"/>
    </row>
    <row r="1488" spans="8:9" x14ac:dyDescent="0.2">
      <c r="I1488" s="302"/>
    </row>
    <row r="1489" spans="8:9" x14ac:dyDescent="0.2">
      <c r="H1489" s="301"/>
      <c r="I1489" s="302"/>
    </row>
    <row r="1490" spans="8:9" x14ac:dyDescent="0.2">
      <c r="H1490" s="301"/>
      <c r="I1490" s="302"/>
    </row>
    <row r="1491" spans="8:9" x14ac:dyDescent="0.2">
      <c r="H1491" s="301"/>
      <c r="I1491" s="302"/>
    </row>
    <row r="1492" spans="8:9" x14ac:dyDescent="0.2">
      <c r="H1492" s="301"/>
      <c r="I1492" s="302"/>
    </row>
    <row r="1493" spans="8:9" x14ac:dyDescent="0.2">
      <c r="H1493" s="301"/>
      <c r="I1493" s="302"/>
    </row>
    <row r="1494" spans="8:9" x14ac:dyDescent="0.2">
      <c r="H1494" s="301"/>
      <c r="I1494" s="302"/>
    </row>
    <row r="1495" spans="8:9" x14ac:dyDescent="0.2">
      <c r="H1495" s="301"/>
      <c r="I1495" s="302"/>
    </row>
    <row r="1496" spans="8:9" x14ac:dyDescent="0.2">
      <c r="H1496" s="301"/>
      <c r="I1496" s="302"/>
    </row>
    <row r="1497" spans="8:9" x14ac:dyDescent="0.2">
      <c r="H1497" s="301"/>
      <c r="I1497" s="302"/>
    </row>
    <row r="1498" spans="8:9" x14ac:dyDescent="0.2">
      <c r="H1498" s="301"/>
      <c r="I1498" s="302"/>
    </row>
    <row r="1499" spans="8:9" x14ac:dyDescent="0.2">
      <c r="H1499" s="301"/>
      <c r="I1499" s="302"/>
    </row>
    <row r="1500" spans="8:9" x14ac:dyDescent="0.2">
      <c r="H1500" s="301"/>
      <c r="I1500" s="302"/>
    </row>
    <row r="1501" spans="8:9" x14ac:dyDescent="0.2">
      <c r="H1501" s="301"/>
      <c r="I1501" s="302"/>
    </row>
    <row r="1502" spans="8:9" x14ac:dyDescent="0.2">
      <c r="I1502" s="302"/>
    </row>
    <row r="1503" spans="8:9" x14ac:dyDescent="0.2">
      <c r="H1503" s="301"/>
      <c r="I1503" s="302"/>
    </row>
    <row r="1504" spans="8:9" x14ac:dyDescent="0.2">
      <c r="H1504" s="301"/>
      <c r="I1504" s="302"/>
    </row>
    <row r="1505" spans="8:9" x14ac:dyDescent="0.2">
      <c r="H1505" s="301"/>
      <c r="I1505" s="302"/>
    </row>
    <row r="1506" spans="8:9" x14ac:dyDescent="0.2">
      <c r="H1506" s="301"/>
      <c r="I1506" s="302"/>
    </row>
    <row r="1507" spans="8:9" x14ac:dyDescent="0.2">
      <c r="H1507" s="301"/>
      <c r="I1507" s="302"/>
    </row>
    <row r="1508" spans="8:9" x14ac:dyDescent="0.2">
      <c r="H1508" s="301"/>
      <c r="I1508" s="302"/>
    </row>
    <row r="1509" spans="8:9" x14ac:dyDescent="0.2">
      <c r="H1509" s="301"/>
      <c r="I1509" s="302"/>
    </row>
    <row r="1510" spans="8:9" x14ac:dyDescent="0.2">
      <c r="H1510" s="301"/>
      <c r="I1510" s="302"/>
    </row>
    <row r="1511" spans="8:9" x14ac:dyDescent="0.2">
      <c r="H1511" s="301"/>
      <c r="I1511" s="302"/>
    </row>
    <row r="1512" spans="8:9" x14ac:dyDescent="0.2">
      <c r="H1512" s="301"/>
      <c r="I1512" s="302"/>
    </row>
    <row r="1513" spans="8:9" x14ac:dyDescent="0.2">
      <c r="H1513" s="301"/>
      <c r="I1513" s="302"/>
    </row>
    <row r="1514" spans="8:9" x14ac:dyDescent="0.2">
      <c r="H1514" s="301"/>
      <c r="I1514" s="302"/>
    </row>
    <row r="1515" spans="8:9" x14ac:dyDescent="0.2">
      <c r="H1515" s="301"/>
      <c r="I1515" s="302"/>
    </row>
    <row r="1516" spans="8:9" x14ac:dyDescent="0.2">
      <c r="I1516" s="302"/>
    </row>
    <row r="1517" spans="8:9" x14ac:dyDescent="0.2">
      <c r="H1517" s="301"/>
      <c r="I1517" s="302"/>
    </row>
    <row r="1518" spans="8:9" x14ac:dyDescent="0.2">
      <c r="H1518" s="301"/>
      <c r="I1518" s="302"/>
    </row>
    <row r="1519" spans="8:9" x14ac:dyDescent="0.2">
      <c r="H1519" s="301"/>
      <c r="I1519" s="302"/>
    </row>
    <row r="1520" spans="8:9" x14ac:dyDescent="0.2">
      <c r="H1520" s="301"/>
      <c r="I1520" s="302"/>
    </row>
    <row r="1521" spans="8:9" x14ac:dyDescent="0.2">
      <c r="H1521" s="301"/>
      <c r="I1521" s="302"/>
    </row>
    <row r="1522" spans="8:9" x14ac:dyDescent="0.2">
      <c r="H1522" s="301"/>
      <c r="I1522" s="302"/>
    </row>
    <row r="1523" spans="8:9" x14ac:dyDescent="0.2">
      <c r="H1523" s="301"/>
      <c r="I1523" s="302"/>
    </row>
    <row r="1524" spans="8:9" x14ac:dyDescent="0.2">
      <c r="H1524" s="301"/>
      <c r="I1524" s="302"/>
    </row>
    <row r="1525" spans="8:9" x14ac:dyDescent="0.2">
      <c r="H1525" s="301"/>
      <c r="I1525" s="302"/>
    </row>
    <row r="1526" spans="8:9" x14ac:dyDescent="0.2">
      <c r="H1526" s="301"/>
      <c r="I1526" s="302"/>
    </row>
    <row r="1527" spans="8:9" x14ac:dyDescent="0.2">
      <c r="H1527" s="301"/>
      <c r="I1527" s="302"/>
    </row>
    <row r="1528" spans="8:9" x14ac:dyDescent="0.2">
      <c r="H1528" s="301"/>
      <c r="I1528" s="302"/>
    </row>
    <row r="1529" spans="8:9" x14ac:dyDescent="0.2">
      <c r="H1529" s="301"/>
      <c r="I1529" s="302"/>
    </row>
    <row r="1530" spans="8:9" x14ac:dyDescent="0.2">
      <c r="I1530" s="302"/>
    </row>
    <row r="1531" spans="8:9" x14ac:dyDescent="0.2">
      <c r="H1531" s="301"/>
      <c r="I1531" s="302"/>
    </row>
    <row r="1532" spans="8:9" x14ac:dyDescent="0.2">
      <c r="H1532" s="301"/>
      <c r="I1532" s="302"/>
    </row>
    <row r="1533" spans="8:9" x14ac:dyDescent="0.2">
      <c r="H1533" s="301"/>
      <c r="I1533" s="302"/>
    </row>
    <row r="1534" spans="8:9" x14ac:dyDescent="0.2">
      <c r="H1534" s="301"/>
      <c r="I1534" s="302"/>
    </row>
    <row r="1535" spans="8:9" x14ac:dyDescent="0.2">
      <c r="H1535" s="301"/>
      <c r="I1535" s="302"/>
    </row>
    <row r="1536" spans="8:9" x14ac:dyDescent="0.2">
      <c r="H1536" s="301"/>
      <c r="I1536" s="302"/>
    </row>
    <row r="1537" spans="8:9" x14ac:dyDescent="0.2">
      <c r="H1537" s="301"/>
      <c r="I1537" s="302"/>
    </row>
    <row r="1538" spans="8:9" x14ac:dyDescent="0.2">
      <c r="H1538" s="301"/>
      <c r="I1538" s="302"/>
    </row>
    <row r="1539" spans="8:9" x14ac:dyDescent="0.2">
      <c r="H1539" s="301"/>
      <c r="I1539" s="302"/>
    </row>
    <row r="1540" spans="8:9" x14ac:dyDescent="0.2">
      <c r="H1540" s="301"/>
      <c r="I1540" s="302"/>
    </row>
    <row r="1541" spans="8:9" x14ac:dyDescent="0.2">
      <c r="H1541" s="301"/>
      <c r="I1541" s="302"/>
    </row>
    <row r="1542" spans="8:9" x14ac:dyDescent="0.2">
      <c r="H1542" s="301"/>
      <c r="I1542" s="302"/>
    </row>
    <row r="1543" spans="8:9" x14ac:dyDescent="0.2">
      <c r="H1543" s="301"/>
      <c r="I1543" s="302"/>
    </row>
    <row r="1544" spans="8:9" x14ac:dyDescent="0.2">
      <c r="I1544" s="302"/>
    </row>
    <row r="1545" spans="8:9" x14ac:dyDescent="0.2">
      <c r="H1545" s="301"/>
      <c r="I1545" s="302"/>
    </row>
    <row r="1546" spans="8:9" x14ac:dyDescent="0.2">
      <c r="H1546" s="301"/>
      <c r="I1546" s="302"/>
    </row>
    <row r="1547" spans="8:9" x14ac:dyDescent="0.2">
      <c r="H1547" s="301"/>
      <c r="I1547" s="302"/>
    </row>
    <row r="1548" spans="8:9" x14ac:dyDescent="0.2">
      <c r="H1548" s="301"/>
      <c r="I1548" s="302"/>
    </row>
    <row r="1549" spans="8:9" x14ac:dyDescent="0.2">
      <c r="H1549" s="301"/>
      <c r="I1549" s="302"/>
    </row>
    <row r="1550" spans="8:9" x14ac:dyDescent="0.2">
      <c r="H1550" s="301"/>
      <c r="I1550" s="302"/>
    </row>
    <row r="1551" spans="8:9" x14ac:dyDescent="0.2">
      <c r="H1551" s="301"/>
      <c r="I1551" s="302"/>
    </row>
    <row r="1552" spans="8:9" x14ac:dyDescent="0.2">
      <c r="H1552" s="301"/>
      <c r="I1552" s="302"/>
    </row>
    <row r="1553" spans="8:9" x14ac:dyDescent="0.2">
      <c r="H1553" s="301"/>
      <c r="I1553" s="302"/>
    </row>
    <row r="1554" spans="8:9" x14ac:dyDescent="0.2">
      <c r="H1554" s="301"/>
      <c r="I1554" s="302"/>
    </row>
    <row r="1555" spans="8:9" x14ac:dyDescent="0.2">
      <c r="H1555" s="301"/>
      <c r="I1555" s="302"/>
    </row>
    <row r="1556" spans="8:9" x14ac:dyDescent="0.2">
      <c r="H1556" s="301"/>
      <c r="I1556" s="302"/>
    </row>
    <row r="1557" spans="8:9" x14ac:dyDescent="0.2">
      <c r="H1557" s="301"/>
      <c r="I1557" s="302"/>
    </row>
    <row r="1558" spans="8:9" x14ac:dyDescent="0.2">
      <c r="I1558" s="302"/>
    </row>
    <row r="1559" spans="8:9" x14ac:dyDescent="0.2">
      <c r="H1559" s="301"/>
      <c r="I1559" s="302"/>
    </row>
    <row r="1560" spans="8:9" x14ac:dyDescent="0.2">
      <c r="H1560" s="301"/>
      <c r="I1560" s="302"/>
    </row>
    <row r="1561" spans="8:9" x14ac:dyDescent="0.2">
      <c r="H1561" s="301"/>
      <c r="I1561" s="302"/>
    </row>
    <row r="1562" spans="8:9" x14ac:dyDescent="0.2">
      <c r="H1562" s="301"/>
      <c r="I1562" s="302"/>
    </row>
    <row r="1563" spans="8:9" x14ac:dyDescent="0.2">
      <c r="H1563" s="301"/>
      <c r="I1563" s="302"/>
    </row>
    <row r="1564" spans="8:9" x14ac:dyDescent="0.2">
      <c r="H1564" s="301"/>
      <c r="I1564" s="302"/>
    </row>
    <row r="1565" spans="8:9" x14ac:dyDescent="0.2">
      <c r="H1565" s="301"/>
      <c r="I1565" s="302"/>
    </row>
    <row r="1566" spans="8:9" x14ac:dyDescent="0.2">
      <c r="H1566" s="301"/>
      <c r="I1566" s="302"/>
    </row>
    <row r="1567" spans="8:9" x14ac:dyDescent="0.2">
      <c r="H1567" s="301"/>
      <c r="I1567" s="302"/>
    </row>
    <row r="1568" spans="8:9" x14ac:dyDescent="0.2">
      <c r="H1568" s="301"/>
      <c r="I1568" s="302"/>
    </row>
    <row r="1569" spans="8:9" x14ac:dyDescent="0.2">
      <c r="H1569" s="301"/>
      <c r="I1569" s="302"/>
    </row>
    <row r="1570" spans="8:9" x14ac:dyDescent="0.2">
      <c r="H1570" s="301"/>
      <c r="I1570" s="302"/>
    </row>
    <row r="1571" spans="8:9" x14ac:dyDescent="0.2">
      <c r="H1571" s="301"/>
      <c r="I1571" s="302"/>
    </row>
    <row r="1572" spans="8:9" x14ac:dyDescent="0.2">
      <c r="I1572" s="302"/>
    </row>
    <row r="1573" spans="8:9" x14ac:dyDescent="0.2">
      <c r="H1573" s="301"/>
      <c r="I1573" s="302"/>
    </row>
    <row r="1574" spans="8:9" x14ac:dyDescent="0.2">
      <c r="H1574" s="301"/>
      <c r="I1574" s="302"/>
    </row>
    <row r="1575" spans="8:9" x14ac:dyDescent="0.2">
      <c r="H1575" s="301"/>
      <c r="I1575" s="302"/>
    </row>
    <row r="1576" spans="8:9" x14ac:dyDescent="0.2">
      <c r="H1576" s="301"/>
      <c r="I1576" s="302"/>
    </row>
    <row r="1577" spans="8:9" x14ac:dyDescent="0.2">
      <c r="H1577" s="301"/>
      <c r="I1577" s="302"/>
    </row>
    <row r="1578" spans="8:9" x14ac:dyDescent="0.2">
      <c r="H1578" s="301"/>
      <c r="I1578" s="302"/>
    </row>
    <row r="1579" spans="8:9" x14ac:dyDescent="0.2">
      <c r="H1579" s="301"/>
      <c r="I1579" s="302"/>
    </row>
    <row r="1580" spans="8:9" x14ac:dyDescent="0.2">
      <c r="H1580" s="301"/>
      <c r="I1580" s="302"/>
    </row>
    <row r="1581" spans="8:9" x14ac:dyDescent="0.2">
      <c r="H1581" s="301"/>
      <c r="I1581" s="302"/>
    </row>
    <row r="1582" spans="8:9" x14ac:dyDescent="0.2">
      <c r="H1582" s="301"/>
      <c r="I1582" s="302"/>
    </row>
    <row r="1583" spans="8:9" x14ac:dyDescent="0.2">
      <c r="H1583" s="301"/>
      <c r="I1583" s="302"/>
    </row>
    <row r="1584" spans="8:9" x14ac:dyDescent="0.2">
      <c r="H1584" s="301"/>
      <c r="I1584" s="302"/>
    </row>
    <row r="1585" spans="8:9" x14ac:dyDescent="0.2">
      <c r="H1585" s="301"/>
      <c r="I1585" s="302"/>
    </row>
    <row r="1586" spans="8:9" x14ac:dyDescent="0.2">
      <c r="I1586" s="302"/>
    </row>
    <row r="1587" spans="8:9" x14ac:dyDescent="0.2">
      <c r="H1587" s="301"/>
      <c r="I1587" s="302"/>
    </row>
    <row r="1588" spans="8:9" x14ac:dyDescent="0.2">
      <c r="H1588" s="301"/>
      <c r="I1588" s="302"/>
    </row>
    <row r="1589" spans="8:9" x14ac:dyDescent="0.2">
      <c r="H1589" s="301"/>
      <c r="I1589" s="302"/>
    </row>
    <row r="1590" spans="8:9" x14ac:dyDescent="0.2">
      <c r="H1590" s="301"/>
      <c r="I1590" s="302"/>
    </row>
    <row r="1591" spans="8:9" x14ac:dyDescent="0.2">
      <c r="H1591" s="301"/>
      <c r="I1591" s="302"/>
    </row>
    <row r="1592" spans="8:9" x14ac:dyDescent="0.2">
      <c r="H1592" s="301"/>
      <c r="I1592" s="302"/>
    </row>
    <row r="1593" spans="8:9" x14ac:dyDescent="0.2">
      <c r="H1593" s="301"/>
      <c r="I1593" s="302"/>
    </row>
    <row r="1594" spans="8:9" x14ac:dyDescent="0.2">
      <c r="H1594" s="301"/>
      <c r="I1594" s="302"/>
    </row>
    <row r="1595" spans="8:9" x14ac:dyDescent="0.2">
      <c r="H1595" s="301"/>
      <c r="I1595" s="302"/>
    </row>
    <row r="1596" spans="8:9" x14ac:dyDescent="0.2">
      <c r="H1596" s="301"/>
      <c r="I1596" s="302"/>
    </row>
    <row r="1597" spans="8:9" x14ac:dyDescent="0.2">
      <c r="H1597" s="301"/>
      <c r="I1597" s="302"/>
    </row>
    <row r="1598" spans="8:9" x14ac:dyDescent="0.2">
      <c r="H1598" s="301"/>
      <c r="I1598" s="302"/>
    </row>
    <row r="1599" spans="8:9" x14ac:dyDescent="0.2">
      <c r="H1599" s="301"/>
      <c r="I1599" s="302"/>
    </row>
    <row r="1600" spans="8:9" x14ac:dyDescent="0.2">
      <c r="I1600" s="302"/>
    </row>
    <row r="1601" spans="8:9" x14ac:dyDescent="0.2">
      <c r="H1601" s="301"/>
      <c r="I1601" s="302"/>
    </row>
    <row r="1602" spans="8:9" x14ac:dyDescent="0.2">
      <c r="H1602" s="301"/>
      <c r="I1602" s="302"/>
    </row>
    <row r="1603" spans="8:9" x14ac:dyDescent="0.2">
      <c r="H1603" s="301"/>
      <c r="I1603" s="302"/>
    </row>
    <row r="1604" spans="8:9" x14ac:dyDescent="0.2">
      <c r="H1604" s="301"/>
      <c r="I1604" s="302"/>
    </row>
    <row r="1605" spans="8:9" x14ac:dyDescent="0.2">
      <c r="H1605" s="301"/>
      <c r="I1605" s="302"/>
    </row>
    <row r="1606" spans="8:9" x14ac:dyDescent="0.2">
      <c r="H1606" s="301"/>
      <c r="I1606" s="302"/>
    </row>
    <row r="1607" spans="8:9" x14ac:dyDescent="0.2">
      <c r="H1607" s="301"/>
      <c r="I1607" s="302"/>
    </row>
    <row r="1608" spans="8:9" x14ac:dyDescent="0.2">
      <c r="H1608" s="301"/>
      <c r="I1608" s="302"/>
    </row>
    <row r="1609" spans="8:9" x14ac:dyDescent="0.2">
      <c r="H1609" s="301"/>
      <c r="I1609" s="302"/>
    </row>
    <row r="1610" spans="8:9" x14ac:dyDescent="0.2">
      <c r="H1610" s="301"/>
      <c r="I1610" s="302"/>
    </row>
    <row r="1611" spans="8:9" x14ac:dyDescent="0.2">
      <c r="H1611" s="301"/>
      <c r="I1611" s="302"/>
    </row>
    <row r="1612" spans="8:9" x14ac:dyDescent="0.2">
      <c r="H1612" s="301"/>
      <c r="I1612" s="302"/>
    </row>
    <row r="1613" spans="8:9" x14ac:dyDescent="0.2">
      <c r="H1613" s="301"/>
      <c r="I1613" s="302"/>
    </row>
    <row r="1614" spans="8:9" x14ac:dyDescent="0.2">
      <c r="I1614" s="302"/>
    </row>
    <row r="1615" spans="8:9" x14ac:dyDescent="0.2">
      <c r="H1615" s="301"/>
      <c r="I1615" s="302"/>
    </row>
    <row r="1616" spans="8:9" x14ac:dyDescent="0.2">
      <c r="H1616" s="301"/>
      <c r="I1616" s="302"/>
    </row>
    <row r="1617" spans="8:9" x14ac:dyDescent="0.2">
      <c r="H1617" s="301"/>
      <c r="I1617" s="302"/>
    </row>
    <row r="1618" spans="8:9" x14ac:dyDescent="0.2">
      <c r="H1618" s="301"/>
      <c r="I1618" s="302"/>
    </row>
    <row r="1619" spans="8:9" x14ac:dyDescent="0.2">
      <c r="H1619" s="301"/>
      <c r="I1619" s="302"/>
    </row>
    <row r="1620" spans="8:9" x14ac:dyDescent="0.2">
      <c r="H1620" s="301"/>
      <c r="I1620" s="302"/>
    </row>
    <row r="1621" spans="8:9" x14ac:dyDescent="0.2">
      <c r="H1621" s="301"/>
      <c r="I1621" s="302"/>
    </row>
    <row r="1622" spans="8:9" x14ac:dyDescent="0.2">
      <c r="H1622" s="301"/>
      <c r="I1622" s="302"/>
    </row>
    <row r="1623" spans="8:9" x14ac:dyDescent="0.2">
      <c r="H1623" s="301"/>
      <c r="I1623" s="302"/>
    </row>
    <row r="1624" spans="8:9" x14ac:dyDescent="0.2">
      <c r="H1624" s="301"/>
      <c r="I1624" s="302"/>
    </row>
    <row r="1625" spans="8:9" x14ac:dyDescent="0.2">
      <c r="H1625" s="301"/>
      <c r="I1625" s="302"/>
    </row>
    <row r="1626" spans="8:9" x14ac:dyDescent="0.2">
      <c r="H1626" s="301"/>
      <c r="I1626" s="302"/>
    </row>
    <row r="1627" spans="8:9" x14ac:dyDescent="0.2">
      <c r="H1627" s="301"/>
      <c r="I1627" s="302"/>
    </row>
    <row r="1628" spans="8:9" x14ac:dyDescent="0.2">
      <c r="I1628" s="302"/>
    </row>
    <row r="1629" spans="8:9" x14ac:dyDescent="0.2">
      <c r="H1629" s="301"/>
      <c r="I1629" s="302"/>
    </row>
    <row r="1630" spans="8:9" x14ac:dyDescent="0.2">
      <c r="H1630" s="301"/>
      <c r="I1630" s="302"/>
    </row>
    <row r="1631" spans="8:9" x14ac:dyDescent="0.2">
      <c r="H1631" s="301"/>
      <c r="I1631" s="302"/>
    </row>
    <row r="1632" spans="8:9" x14ac:dyDescent="0.2">
      <c r="H1632" s="301"/>
      <c r="I1632" s="302"/>
    </row>
    <row r="1633" spans="8:9" x14ac:dyDescent="0.2">
      <c r="H1633" s="301"/>
      <c r="I1633" s="302"/>
    </row>
    <row r="1634" spans="8:9" x14ac:dyDescent="0.2">
      <c r="H1634" s="301"/>
      <c r="I1634" s="302"/>
    </row>
    <row r="1635" spans="8:9" x14ac:dyDescent="0.2">
      <c r="H1635" s="301"/>
      <c r="I1635" s="302"/>
    </row>
    <row r="1636" spans="8:9" x14ac:dyDescent="0.2">
      <c r="H1636" s="301"/>
      <c r="I1636" s="302"/>
    </row>
    <row r="1637" spans="8:9" x14ac:dyDescent="0.2">
      <c r="H1637" s="301"/>
      <c r="I1637" s="302"/>
    </row>
    <row r="1638" spans="8:9" x14ac:dyDescent="0.2">
      <c r="H1638" s="301"/>
      <c r="I1638" s="302"/>
    </row>
    <row r="1639" spans="8:9" x14ac:dyDescent="0.2">
      <c r="H1639" s="301"/>
      <c r="I1639" s="302"/>
    </row>
    <row r="1640" spans="8:9" x14ac:dyDescent="0.2">
      <c r="H1640" s="301"/>
      <c r="I1640" s="302"/>
    </row>
    <row r="1641" spans="8:9" x14ac:dyDescent="0.2">
      <c r="H1641" s="301"/>
      <c r="I1641" s="302"/>
    </row>
    <row r="1642" spans="8:9" x14ac:dyDescent="0.2">
      <c r="I1642" s="302"/>
    </row>
    <row r="1643" spans="8:9" x14ac:dyDescent="0.2">
      <c r="H1643" s="301"/>
      <c r="I1643" s="302"/>
    </row>
    <row r="1644" spans="8:9" x14ac:dyDescent="0.2">
      <c r="H1644" s="301"/>
      <c r="I1644" s="302"/>
    </row>
    <row r="1645" spans="8:9" x14ac:dyDescent="0.2">
      <c r="H1645" s="301"/>
      <c r="I1645" s="302"/>
    </row>
    <row r="1646" spans="8:9" x14ac:dyDescent="0.2">
      <c r="H1646" s="301"/>
      <c r="I1646" s="302"/>
    </row>
    <row r="1647" spans="8:9" x14ac:dyDescent="0.2">
      <c r="H1647" s="301"/>
      <c r="I1647" s="302"/>
    </row>
    <row r="1648" spans="8:9" x14ac:dyDescent="0.2">
      <c r="H1648" s="301"/>
      <c r="I1648" s="302"/>
    </row>
    <row r="1649" spans="8:9" x14ac:dyDescent="0.2">
      <c r="H1649" s="301"/>
      <c r="I1649" s="302"/>
    </row>
    <row r="1650" spans="8:9" x14ac:dyDescent="0.2">
      <c r="H1650" s="301"/>
      <c r="I1650" s="302"/>
    </row>
    <row r="1651" spans="8:9" x14ac:dyDescent="0.2">
      <c r="H1651" s="301"/>
      <c r="I1651" s="302"/>
    </row>
    <row r="1652" spans="8:9" x14ac:dyDescent="0.2">
      <c r="H1652" s="301"/>
      <c r="I1652" s="302"/>
    </row>
    <row r="1653" spans="8:9" x14ac:dyDescent="0.2">
      <c r="H1653" s="301"/>
      <c r="I1653" s="302"/>
    </row>
    <row r="1654" spans="8:9" x14ac:dyDescent="0.2">
      <c r="H1654" s="301"/>
      <c r="I1654" s="302"/>
    </row>
    <row r="1655" spans="8:9" x14ac:dyDescent="0.2">
      <c r="H1655" s="301"/>
      <c r="I1655" s="302"/>
    </row>
    <row r="1656" spans="8:9" x14ac:dyDescent="0.2">
      <c r="I1656" s="302"/>
    </row>
    <row r="1657" spans="8:9" x14ac:dyDescent="0.2">
      <c r="H1657" s="301"/>
      <c r="I1657" s="302"/>
    </row>
    <row r="1658" spans="8:9" x14ac:dyDescent="0.2">
      <c r="H1658" s="301"/>
      <c r="I1658" s="302"/>
    </row>
    <row r="1659" spans="8:9" x14ac:dyDescent="0.2">
      <c r="H1659" s="301"/>
      <c r="I1659" s="302"/>
    </row>
    <row r="1660" spans="8:9" x14ac:dyDescent="0.2">
      <c r="H1660" s="301"/>
      <c r="I1660" s="302"/>
    </row>
    <row r="1661" spans="8:9" x14ac:dyDescent="0.2">
      <c r="H1661" s="301"/>
      <c r="I1661" s="302"/>
    </row>
    <row r="1662" spans="8:9" x14ac:dyDescent="0.2">
      <c r="H1662" s="301"/>
      <c r="I1662" s="302"/>
    </row>
    <row r="1663" spans="8:9" x14ac:dyDescent="0.2">
      <c r="H1663" s="301"/>
      <c r="I1663" s="302"/>
    </row>
    <row r="1664" spans="8:9" x14ac:dyDescent="0.2">
      <c r="H1664" s="301"/>
      <c r="I1664" s="302"/>
    </row>
    <row r="1665" spans="8:9" x14ac:dyDescent="0.2">
      <c r="H1665" s="301"/>
      <c r="I1665" s="302"/>
    </row>
    <row r="1666" spans="8:9" x14ac:dyDescent="0.2">
      <c r="H1666" s="301"/>
      <c r="I1666" s="302"/>
    </row>
    <row r="1667" spans="8:9" x14ac:dyDescent="0.2">
      <c r="H1667" s="301"/>
      <c r="I1667" s="302"/>
    </row>
    <row r="1668" spans="8:9" x14ac:dyDescent="0.2">
      <c r="H1668" s="301"/>
      <c r="I1668" s="302"/>
    </row>
    <row r="1669" spans="8:9" x14ac:dyDescent="0.2">
      <c r="H1669" s="301"/>
      <c r="I1669" s="302"/>
    </row>
    <row r="1670" spans="8:9" x14ac:dyDescent="0.2">
      <c r="I1670" s="302"/>
    </row>
    <row r="1671" spans="8:9" x14ac:dyDescent="0.2">
      <c r="H1671" s="301"/>
      <c r="I1671" s="302"/>
    </row>
    <row r="1672" spans="8:9" x14ac:dyDescent="0.2">
      <c r="H1672" s="301"/>
      <c r="I1672" s="302"/>
    </row>
    <row r="1673" spans="8:9" x14ac:dyDescent="0.2">
      <c r="H1673" s="301"/>
      <c r="I1673" s="302"/>
    </row>
    <row r="1674" spans="8:9" x14ac:dyDescent="0.2">
      <c r="H1674" s="301"/>
      <c r="I1674" s="302"/>
    </row>
    <row r="1675" spans="8:9" x14ac:dyDescent="0.2">
      <c r="H1675" s="301"/>
      <c r="I1675" s="302"/>
    </row>
    <row r="1676" spans="8:9" x14ac:dyDescent="0.2">
      <c r="H1676" s="301"/>
      <c r="I1676" s="302"/>
    </row>
    <row r="1677" spans="8:9" x14ac:dyDescent="0.2">
      <c r="H1677" s="301"/>
      <c r="I1677" s="302"/>
    </row>
    <row r="1678" spans="8:9" x14ac:dyDescent="0.2">
      <c r="H1678" s="301"/>
      <c r="I1678" s="302"/>
    </row>
    <row r="1679" spans="8:9" x14ac:dyDescent="0.2">
      <c r="H1679" s="301"/>
      <c r="I1679" s="302"/>
    </row>
    <row r="1680" spans="8:9" x14ac:dyDescent="0.2">
      <c r="H1680" s="301"/>
      <c r="I1680" s="302"/>
    </row>
    <row r="1681" spans="8:9" x14ac:dyDescent="0.2">
      <c r="H1681" s="301"/>
      <c r="I1681" s="302"/>
    </row>
    <row r="1682" spans="8:9" x14ac:dyDescent="0.2">
      <c r="H1682" s="301"/>
      <c r="I1682" s="302"/>
    </row>
    <row r="1683" spans="8:9" x14ac:dyDescent="0.2">
      <c r="H1683" s="301"/>
      <c r="I1683" s="302"/>
    </row>
    <row r="1684" spans="8:9" x14ac:dyDescent="0.2">
      <c r="I1684" s="302"/>
    </row>
    <row r="1685" spans="8:9" x14ac:dyDescent="0.2">
      <c r="H1685" s="301"/>
      <c r="I1685" s="302"/>
    </row>
    <row r="1686" spans="8:9" x14ac:dyDescent="0.2">
      <c r="H1686" s="301"/>
      <c r="I1686" s="302"/>
    </row>
    <row r="1687" spans="8:9" x14ac:dyDescent="0.2">
      <c r="H1687" s="301"/>
      <c r="I1687" s="302"/>
    </row>
    <row r="1688" spans="8:9" x14ac:dyDescent="0.2">
      <c r="H1688" s="301"/>
      <c r="I1688" s="302"/>
    </row>
    <row r="1689" spans="8:9" x14ac:dyDescent="0.2">
      <c r="H1689" s="301"/>
      <c r="I1689" s="302"/>
    </row>
    <row r="1690" spans="8:9" x14ac:dyDescent="0.2">
      <c r="H1690" s="301"/>
      <c r="I1690" s="302"/>
    </row>
    <row r="1691" spans="8:9" x14ac:dyDescent="0.2">
      <c r="H1691" s="301"/>
      <c r="I1691" s="302"/>
    </row>
    <row r="1692" spans="8:9" x14ac:dyDescent="0.2">
      <c r="H1692" s="301"/>
      <c r="I1692" s="302"/>
    </row>
    <row r="1693" spans="8:9" x14ac:dyDescent="0.2">
      <c r="H1693" s="301"/>
      <c r="I1693" s="302"/>
    </row>
    <row r="1694" spans="8:9" x14ac:dyDescent="0.2">
      <c r="H1694" s="301"/>
      <c r="I1694" s="302"/>
    </row>
    <row r="1695" spans="8:9" x14ac:dyDescent="0.2">
      <c r="H1695" s="301"/>
      <c r="I1695" s="302"/>
    </row>
    <row r="1696" spans="8:9" x14ac:dyDescent="0.2">
      <c r="H1696" s="301"/>
      <c r="I1696" s="302"/>
    </row>
    <row r="1697" spans="8:9" x14ac:dyDescent="0.2">
      <c r="H1697" s="301"/>
      <c r="I1697" s="302"/>
    </row>
    <row r="1698" spans="8:9" x14ac:dyDescent="0.2">
      <c r="I1698" s="302"/>
    </row>
    <row r="1699" spans="8:9" x14ac:dyDescent="0.2">
      <c r="H1699" s="301"/>
      <c r="I1699" s="302"/>
    </row>
    <row r="1700" spans="8:9" x14ac:dyDescent="0.2">
      <c r="H1700" s="301"/>
      <c r="I1700" s="302"/>
    </row>
    <row r="1701" spans="8:9" x14ac:dyDescent="0.2">
      <c r="H1701" s="301"/>
      <c r="I1701" s="302"/>
    </row>
    <row r="1702" spans="8:9" x14ac:dyDescent="0.2">
      <c r="H1702" s="301"/>
      <c r="I1702" s="302"/>
    </row>
    <row r="1703" spans="8:9" x14ac:dyDescent="0.2">
      <c r="H1703" s="301"/>
      <c r="I1703" s="302"/>
    </row>
    <row r="1704" spans="8:9" x14ac:dyDescent="0.2">
      <c r="H1704" s="301"/>
      <c r="I1704" s="302"/>
    </row>
    <row r="1705" spans="8:9" x14ac:dyDescent="0.2">
      <c r="H1705" s="301"/>
      <c r="I1705" s="302"/>
    </row>
    <row r="1706" spans="8:9" x14ac:dyDescent="0.2">
      <c r="H1706" s="301"/>
      <c r="I1706" s="302"/>
    </row>
    <row r="1707" spans="8:9" x14ac:dyDescent="0.2">
      <c r="H1707" s="301"/>
      <c r="I1707" s="302"/>
    </row>
    <row r="1708" spans="8:9" x14ac:dyDescent="0.2">
      <c r="H1708" s="301"/>
      <c r="I1708" s="302"/>
    </row>
    <row r="1709" spans="8:9" x14ac:dyDescent="0.2">
      <c r="H1709" s="301"/>
      <c r="I1709" s="302"/>
    </row>
    <row r="1710" spans="8:9" x14ac:dyDescent="0.2">
      <c r="H1710" s="301"/>
      <c r="I1710" s="302"/>
    </row>
    <row r="1711" spans="8:9" x14ac:dyDescent="0.2">
      <c r="H1711" s="301"/>
      <c r="I1711" s="302"/>
    </row>
    <row r="1712" spans="8:9" x14ac:dyDescent="0.2">
      <c r="I1712" s="302"/>
    </row>
    <row r="1713" spans="8:9" x14ac:dyDescent="0.2">
      <c r="H1713" s="301"/>
      <c r="I1713" s="302"/>
    </row>
    <row r="1714" spans="8:9" x14ac:dyDescent="0.2">
      <c r="H1714" s="301"/>
      <c r="I1714" s="302"/>
    </row>
    <row r="1715" spans="8:9" x14ac:dyDescent="0.2">
      <c r="H1715" s="301"/>
      <c r="I1715" s="302"/>
    </row>
    <row r="1716" spans="8:9" x14ac:dyDescent="0.2">
      <c r="H1716" s="301"/>
      <c r="I1716" s="302"/>
    </row>
    <row r="1717" spans="8:9" x14ac:dyDescent="0.2">
      <c r="H1717" s="301"/>
      <c r="I1717" s="302"/>
    </row>
    <row r="1718" spans="8:9" x14ac:dyDescent="0.2">
      <c r="H1718" s="301"/>
      <c r="I1718" s="302"/>
    </row>
    <row r="1719" spans="8:9" x14ac:dyDescent="0.2">
      <c r="H1719" s="301"/>
      <c r="I1719" s="302"/>
    </row>
    <row r="1720" spans="8:9" x14ac:dyDescent="0.2">
      <c r="H1720" s="301"/>
      <c r="I1720" s="302"/>
    </row>
    <row r="1721" spans="8:9" x14ac:dyDescent="0.2">
      <c r="H1721" s="301"/>
      <c r="I1721" s="302"/>
    </row>
    <row r="1722" spans="8:9" x14ac:dyDescent="0.2">
      <c r="H1722" s="301"/>
      <c r="I1722" s="302"/>
    </row>
    <row r="1723" spans="8:9" x14ac:dyDescent="0.2">
      <c r="H1723" s="301"/>
      <c r="I1723" s="302"/>
    </row>
    <row r="1724" spans="8:9" x14ac:dyDescent="0.2">
      <c r="H1724" s="301"/>
      <c r="I1724" s="302"/>
    </row>
    <row r="1725" spans="8:9" x14ac:dyDescent="0.2">
      <c r="H1725" s="301"/>
      <c r="I1725" s="302"/>
    </row>
    <row r="1726" spans="8:9" x14ac:dyDescent="0.2">
      <c r="I1726" s="302"/>
    </row>
    <row r="1727" spans="8:9" x14ac:dyDescent="0.2">
      <c r="H1727" s="301"/>
      <c r="I1727" s="302"/>
    </row>
    <row r="1728" spans="8:9" x14ac:dyDescent="0.2">
      <c r="H1728" s="301"/>
      <c r="I1728" s="302"/>
    </row>
    <row r="1729" spans="8:9" x14ac:dyDescent="0.2">
      <c r="H1729" s="301"/>
      <c r="I1729" s="302"/>
    </row>
    <row r="1730" spans="8:9" x14ac:dyDescent="0.2">
      <c r="H1730" s="301"/>
      <c r="I1730" s="302"/>
    </row>
    <row r="1731" spans="8:9" x14ac:dyDescent="0.2">
      <c r="H1731" s="301"/>
      <c r="I1731" s="302"/>
    </row>
    <row r="1732" spans="8:9" x14ac:dyDescent="0.2">
      <c r="H1732" s="301"/>
      <c r="I1732" s="302"/>
    </row>
    <row r="1733" spans="8:9" x14ac:dyDescent="0.2">
      <c r="H1733" s="301"/>
      <c r="I1733" s="302"/>
    </row>
    <row r="1734" spans="8:9" x14ac:dyDescent="0.2">
      <c r="H1734" s="301"/>
      <c r="I1734" s="302"/>
    </row>
    <row r="1735" spans="8:9" x14ac:dyDescent="0.2">
      <c r="H1735" s="301"/>
      <c r="I1735" s="302"/>
    </row>
    <row r="1736" spans="8:9" x14ac:dyDescent="0.2">
      <c r="H1736" s="301"/>
      <c r="I1736" s="302"/>
    </row>
    <row r="1737" spans="8:9" x14ac:dyDescent="0.2">
      <c r="H1737" s="301"/>
      <c r="I1737" s="302"/>
    </row>
    <row r="1738" spans="8:9" x14ac:dyDescent="0.2">
      <c r="H1738" s="301"/>
      <c r="I1738" s="302"/>
    </row>
    <row r="1739" spans="8:9" x14ac:dyDescent="0.2">
      <c r="H1739" s="301"/>
      <c r="I1739" s="302"/>
    </row>
    <row r="1740" spans="8:9" x14ac:dyDescent="0.2">
      <c r="I1740" s="302"/>
    </row>
    <row r="1741" spans="8:9" x14ac:dyDescent="0.2">
      <c r="H1741" s="301"/>
      <c r="I1741" s="302"/>
    </row>
    <row r="1742" spans="8:9" x14ac:dyDescent="0.2">
      <c r="H1742" s="301"/>
      <c r="I1742" s="302"/>
    </row>
    <row r="1743" spans="8:9" x14ac:dyDescent="0.2">
      <c r="H1743" s="301"/>
      <c r="I1743" s="302"/>
    </row>
    <row r="1744" spans="8:9" x14ac:dyDescent="0.2">
      <c r="H1744" s="301"/>
      <c r="I1744" s="302"/>
    </row>
    <row r="1745" spans="8:9" x14ac:dyDescent="0.2">
      <c r="H1745" s="301"/>
      <c r="I1745" s="302"/>
    </row>
    <row r="1746" spans="8:9" x14ac:dyDescent="0.2">
      <c r="H1746" s="301"/>
      <c r="I1746" s="302"/>
    </row>
    <row r="1747" spans="8:9" x14ac:dyDescent="0.2">
      <c r="H1747" s="301"/>
      <c r="I1747" s="302"/>
    </row>
    <row r="1748" spans="8:9" x14ac:dyDescent="0.2">
      <c r="H1748" s="301"/>
      <c r="I1748" s="302"/>
    </row>
    <row r="1749" spans="8:9" x14ac:dyDescent="0.2">
      <c r="H1749" s="301"/>
      <c r="I1749" s="302"/>
    </row>
    <row r="1750" spans="8:9" x14ac:dyDescent="0.2">
      <c r="H1750" s="301"/>
      <c r="I1750" s="302"/>
    </row>
    <row r="1751" spans="8:9" x14ac:dyDescent="0.2">
      <c r="H1751" s="301"/>
      <c r="I1751" s="302"/>
    </row>
    <row r="1752" spans="8:9" x14ac:dyDescent="0.2">
      <c r="H1752" s="301"/>
      <c r="I1752" s="302"/>
    </row>
    <row r="1753" spans="8:9" x14ac:dyDescent="0.2">
      <c r="H1753" s="301"/>
      <c r="I1753" s="302"/>
    </row>
    <row r="1754" spans="8:9" x14ac:dyDescent="0.2">
      <c r="I1754" s="302"/>
    </row>
    <row r="1755" spans="8:9" x14ac:dyDescent="0.2">
      <c r="H1755" s="301"/>
      <c r="I1755" s="302"/>
    </row>
    <row r="1756" spans="8:9" x14ac:dyDescent="0.2">
      <c r="H1756" s="301"/>
      <c r="I1756" s="302"/>
    </row>
    <row r="1757" spans="8:9" x14ac:dyDescent="0.2">
      <c r="H1757" s="301"/>
      <c r="I1757" s="302"/>
    </row>
    <row r="1758" spans="8:9" x14ac:dyDescent="0.2">
      <c r="H1758" s="301"/>
      <c r="I1758" s="302"/>
    </row>
    <row r="1759" spans="8:9" x14ac:dyDescent="0.2">
      <c r="H1759" s="301"/>
      <c r="I1759" s="302"/>
    </row>
    <row r="1760" spans="8:9" x14ac:dyDescent="0.2">
      <c r="H1760" s="301"/>
      <c r="I1760" s="302"/>
    </row>
    <row r="1761" spans="8:9" x14ac:dyDescent="0.2">
      <c r="H1761" s="301"/>
      <c r="I1761" s="302"/>
    </row>
    <row r="1762" spans="8:9" x14ac:dyDescent="0.2">
      <c r="H1762" s="301"/>
      <c r="I1762" s="302"/>
    </row>
    <row r="1763" spans="8:9" x14ac:dyDescent="0.2">
      <c r="H1763" s="301"/>
      <c r="I1763" s="302"/>
    </row>
    <row r="1764" spans="8:9" x14ac:dyDescent="0.2">
      <c r="H1764" s="301"/>
      <c r="I1764" s="302"/>
    </row>
    <row r="1765" spans="8:9" x14ac:dyDescent="0.2">
      <c r="H1765" s="301"/>
      <c r="I1765" s="302"/>
    </row>
    <row r="1766" spans="8:9" x14ac:dyDescent="0.2">
      <c r="H1766" s="301"/>
      <c r="I1766" s="302"/>
    </row>
    <row r="1767" spans="8:9" x14ac:dyDescent="0.2">
      <c r="H1767" s="301"/>
      <c r="I1767" s="302"/>
    </row>
    <row r="1768" spans="8:9" x14ac:dyDescent="0.2">
      <c r="I1768" s="302"/>
    </row>
    <row r="1769" spans="8:9" x14ac:dyDescent="0.2">
      <c r="H1769" s="301"/>
      <c r="I1769" s="302"/>
    </row>
    <row r="1770" spans="8:9" x14ac:dyDescent="0.2">
      <c r="H1770" s="301"/>
      <c r="I1770" s="302"/>
    </row>
    <row r="1771" spans="8:9" x14ac:dyDescent="0.2">
      <c r="H1771" s="301"/>
      <c r="I1771" s="302"/>
    </row>
    <row r="1772" spans="8:9" x14ac:dyDescent="0.2">
      <c r="H1772" s="301"/>
      <c r="I1772" s="302"/>
    </row>
    <row r="1773" spans="8:9" x14ac:dyDescent="0.2">
      <c r="H1773" s="301"/>
      <c r="I1773" s="302"/>
    </row>
    <row r="1774" spans="8:9" x14ac:dyDescent="0.2">
      <c r="H1774" s="301"/>
      <c r="I1774" s="302"/>
    </row>
    <row r="1775" spans="8:9" x14ac:dyDescent="0.2">
      <c r="H1775" s="301"/>
      <c r="I1775" s="302"/>
    </row>
    <row r="1776" spans="8:9" x14ac:dyDescent="0.2">
      <c r="H1776" s="301"/>
      <c r="I1776" s="302"/>
    </row>
    <row r="1777" spans="8:9" x14ac:dyDescent="0.2">
      <c r="H1777" s="301"/>
      <c r="I1777" s="302"/>
    </row>
    <row r="1778" spans="8:9" x14ac:dyDescent="0.2">
      <c r="H1778" s="301"/>
      <c r="I1778" s="302"/>
    </row>
    <row r="1779" spans="8:9" x14ac:dyDescent="0.2">
      <c r="H1779" s="301"/>
      <c r="I1779" s="302"/>
    </row>
    <row r="1780" spans="8:9" x14ac:dyDescent="0.2">
      <c r="H1780" s="301"/>
      <c r="I1780" s="302"/>
    </row>
    <row r="1781" spans="8:9" x14ac:dyDescent="0.2">
      <c r="H1781" s="301"/>
      <c r="I1781" s="302"/>
    </row>
    <row r="1782" spans="8:9" x14ac:dyDescent="0.2">
      <c r="I1782" s="302"/>
    </row>
    <row r="1783" spans="8:9" x14ac:dyDescent="0.2">
      <c r="H1783" s="301"/>
      <c r="I1783" s="302"/>
    </row>
    <row r="1784" spans="8:9" x14ac:dyDescent="0.2">
      <c r="H1784" s="301"/>
      <c r="I1784" s="302"/>
    </row>
    <row r="1785" spans="8:9" x14ac:dyDescent="0.2">
      <c r="H1785" s="301"/>
      <c r="I1785" s="302"/>
    </row>
    <row r="1786" spans="8:9" x14ac:dyDescent="0.2">
      <c r="H1786" s="301"/>
      <c r="I1786" s="302"/>
    </row>
    <row r="1787" spans="8:9" x14ac:dyDescent="0.2">
      <c r="H1787" s="301"/>
      <c r="I1787" s="302"/>
    </row>
    <row r="1788" spans="8:9" x14ac:dyDescent="0.2">
      <c r="H1788" s="301"/>
      <c r="I1788" s="302"/>
    </row>
    <row r="1789" spans="8:9" x14ac:dyDescent="0.2">
      <c r="H1789" s="301"/>
      <c r="I1789" s="302"/>
    </row>
    <row r="1790" spans="8:9" x14ac:dyDescent="0.2">
      <c r="H1790" s="301"/>
      <c r="I1790" s="302"/>
    </row>
    <row r="1791" spans="8:9" x14ac:dyDescent="0.2">
      <c r="H1791" s="301"/>
      <c r="I1791" s="302"/>
    </row>
    <row r="1792" spans="8:9" x14ac:dyDescent="0.2">
      <c r="H1792" s="301"/>
      <c r="I1792" s="302"/>
    </row>
    <row r="1793" spans="8:9" x14ac:dyDescent="0.2">
      <c r="H1793" s="301"/>
      <c r="I1793" s="302"/>
    </row>
    <row r="1794" spans="8:9" x14ac:dyDescent="0.2">
      <c r="H1794" s="301"/>
      <c r="I1794" s="302"/>
    </row>
    <row r="1795" spans="8:9" x14ac:dyDescent="0.2">
      <c r="H1795" s="301"/>
      <c r="I1795" s="302"/>
    </row>
    <row r="1796" spans="8:9" x14ac:dyDescent="0.2">
      <c r="I1796" s="302"/>
    </row>
    <row r="1797" spans="8:9" x14ac:dyDescent="0.2">
      <c r="H1797" s="301"/>
      <c r="I1797" s="302"/>
    </row>
    <row r="1798" spans="8:9" x14ac:dyDescent="0.2">
      <c r="H1798" s="301"/>
      <c r="I1798" s="302"/>
    </row>
    <row r="1799" spans="8:9" x14ac:dyDescent="0.2">
      <c r="H1799" s="301"/>
      <c r="I1799" s="302"/>
    </row>
    <row r="1800" spans="8:9" x14ac:dyDescent="0.2">
      <c r="H1800" s="301"/>
      <c r="I1800" s="302"/>
    </row>
    <row r="1801" spans="8:9" x14ac:dyDescent="0.2">
      <c r="H1801" s="301"/>
      <c r="I1801" s="302"/>
    </row>
    <row r="1802" spans="8:9" x14ac:dyDescent="0.2">
      <c r="H1802" s="301"/>
      <c r="I1802" s="302"/>
    </row>
    <row r="1803" spans="8:9" x14ac:dyDescent="0.2">
      <c r="H1803" s="301"/>
      <c r="I1803" s="302"/>
    </row>
    <row r="1804" spans="8:9" x14ac:dyDescent="0.2">
      <c r="H1804" s="301"/>
      <c r="I1804" s="302"/>
    </row>
    <row r="1805" spans="8:9" x14ac:dyDescent="0.2">
      <c r="H1805" s="301"/>
      <c r="I1805" s="302"/>
    </row>
    <row r="1806" spans="8:9" x14ac:dyDescent="0.2">
      <c r="H1806" s="301"/>
      <c r="I1806" s="302"/>
    </row>
    <row r="1807" spans="8:9" x14ac:dyDescent="0.2">
      <c r="H1807" s="301"/>
      <c r="I1807" s="302"/>
    </row>
    <row r="1808" spans="8:9" x14ac:dyDescent="0.2">
      <c r="H1808" s="301"/>
      <c r="I1808" s="302"/>
    </row>
    <row r="1809" spans="8:9" x14ac:dyDescent="0.2">
      <c r="H1809" s="301"/>
      <c r="I1809" s="302"/>
    </row>
    <row r="1810" spans="8:9" x14ac:dyDescent="0.2">
      <c r="I1810" s="302"/>
    </row>
    <row r="1811" spans="8:9" x14ac:dyDescent="0.2">
      <c r="H1811" s="301"/>
      <c r="I1811" s="302"/>
    </row>
    <row r="1812" spans="8:9" x14ac:dyDescent="0.2">
      <c r="H1812" s="301"/>
      <c r="I1812" s="302"/>
    </row>
    <row r="1813" spans="8:9" x14ac:dyDescent="0.2">
      <c r="H1813" s="301"/>
      <c r="I1813" s="302"/>
    </row>
    <row r="1814" spans="8:9" x14ac:dyDescent="0.2">
      <c r="H1814" s="301"/>
      <c r="I1814" s="302"/>
    </row>
    <row r="1815" spans="8:9" x14ac:dyDescent="0.2">
      <c r="H1815" s="301"/>
      <c r="I1815" s="302"/>
    </row>
    <row r="1816" spans="8:9" x14ac:dyDescent="0.2">
      <c r="H1816" s="301"/>
      <c r="I1816" s="302"/>
    </row>
    <row r="1817" spans="8:9" x14ac:dyDescent="0.2">
      <c r="H1817" s="301"/>
      <c r="I1817" s="302"/>
    </row>
    <row r="1818" spans="8:9" x14ac:dyDescent="0.2">
      <c r="H1818" s="301"/>
      <c r="I1818" s="302"/>
    </row>
    <row r="1819" spans="8:9" x14ac:dyDescent="0.2">
      <c r="H1819" s="301"/>
      <c r="I1819" s="302"/>
    </row>
    <row r="1820" spans="8:9" x14ac:dyDescent="0.2">
      <c r="H1820" s="301"/>
      <c r="I1820" s="302"/>
    </row>
    <row r="1821" spans="8:9" x14ac:dyDescent="0.2">
      <c r="H1821" s="301"/>
      <c r="I1821" s="302"/>
    </row>
    <row r="1822" spans="8:9" x14ac:dyDescent="0.2">
      <c r="H1822" s="301"/>
      <c r="I1822" s="302"/>
    </row>
    <row r="1823" spans="8:9" x14ac:dyDescent="0.2">
      <c r="H1823" s="301"/>
      <c r="I1823" s="302"/>
    </row>
    <row r="1824" spans="8:9" x14ac:dyDescent="0.2">
      <c r="I1824" s="302"/>
    </row>
    <row r="1825" spans="8:9" x14ac:dyDescent="0.2">
      <c r="H1825" s="301"/>
      <c r="I1825" s="302"/>
    </row>
    <row r="1826" spans="8:9" x14ac:dyDescent="0.2">
      <c r="H1826" s="301"/>
      <c r="I1826" s="302"/>
    </row>
    <row r="1827" spans="8:9" x14ac:dyDescent="0.2">
      <c r="H1827" s="301"/>
      <c r="I1827" s="302"/>
    </row>
    <row r="1828" spans="8:9" x14ac:dyDescent="0.2">
      <c r="H1828" s="301"/>
      <c r="I1828" s="302"/>
    </row>
    <row r="1829" spans="8:9" x14ac:dyDescent="0.2">
      <c r="H1829" s="301"/>
      <c r="I1829" s="302"/>
    </row>
    <row r="1830" spans="8:9" x14ac:dyDescent="0.2">
      <c r="H1830" s="301"/>
      <c r="I1830" s="302"/>
    </row>
    <row r="1831" spans="8:9" x14ac:dyDescent="0.2">
      <c r="H1831" s="301"/>
      <c r="I1831" s="302"/>
    </row>
    <row r="1832" spans="8:9" x14ac:dyDescent="0.2">
      <c r="H1832" s="301"/>
      <c r="I1832" s="302"/>
    </row>
    <row r="1833" spans="8:9" x14ac:dyDescent="0.2">
      <c r="H1833" s="301"/>
      <c r="I1833" s="302"/>
    </row>
    <row r="1834" spans="8:9" x14ac:dyDescent="0.2">
      <c r="H1834" s="301"/>
      <c r="I1834" s="302"/>
    </row>
    <row r="1835" spans="8:9" x14ac:dyDescent="0.2">
      <c r="H1835" s="301"/>
      <c r="I1835" s="302"/>
    </row>
    <row r="1836" spans="8:9" x14ac:dyDescent="0.2">
      <c r="H1836" s="301"/>
      <c r="I1836" s="302"/>
    </row>
    <row r="1837" spans="8:9" x14ac:dyDescent="0.2">
      <c r="H1837" s="301"/>
      <c r="I1837" s="302"/>
    </row>
    <row r="1838" spans="8:9" x14ac:dyDescent="0.2">
      <c r="I1838" s="302"/>
    </row>
    <row r="1839" spans="8:9" x14ac:dyDescent="0.2">
      <c r="H1839" s="301"/>
      <c r="I1839" s="302"/>
    </row>
    <row r="1840" spans="8:9" x14ac:dyDescent="0.2">
      <c r="H1840" s="301"/>
      <c r="I1840" s="302"/>
    </row>
    <row r="1841" spans="8:9" x14ac:dyDescent="0.2">
      <c r="H1841" s="301"/>
      <c r="I1841" s="302"/>
    </row>
    <row r="1842" spans="8:9" x14ac:dyDescent="0.2">
      <c r="H1842" s="301"/>
      <c r="I1842" s="302"/>
    </row>
    <row r="1843" spans="8:9" x14ac:dyDescent="0.2">
      <c r="H1843" s="301"/>
      <c r="I1843" s="302"/>
    </row>
    <row r="1844" spans="8:9" x14ac:dyDescent="0.2">
      <c r="H1844" s="301"/>
      <c r="I1844" s="302"/>
    </row>
    <row r="1845" spans="8:9" x14ac:dyDescent="0.2">
      <c r="H1845" s="301"/>
      <c r="I1845" s="302"/>
    </row>
    <row r="1846" spans="8:9" x14ac:dyDescent="0.2">
      <c r="H1846" s="301"/>
      <c r="I1846" s="302"/>
    </row>
    <row r="1847" spans="8:9" x14ac:dyDescent="0.2">
      <c r="H1847" s="301"/>
      <c r="I1847" s="302"/>
    </row>
    <row r="1848" spans="8:9" x14ac:dyDescent="0.2">
      <c r="H1848" s="301"/>
      <c r="I1848" s="302"/>
    </row>
    <row r="1849" spans="8:9" x14ac:dyDescent="0.2">
      <c r="H1849" s="301"/>
      <c r="I1849" s="302"/>
    </row>
    <row r="1850" spans="8:9" x14ac:dyDescent="0.2">
      <c r="H1850" s="301"/>
      <c r="I1850" s="302"/>
    </row>
    <row r="1851" spans="8:9" x14ac:dyDescent="0.2">
      <c r="H1851" s="301"/>
      <c r="I1851" s="302"/>
    </row>
    <row r="1852" spans="8:9" x14ac:dyDescent="0.2">
      <c r="I1852" s="302"/>
    </row>
    <row r="1853" spans="8:9" x14ac:dyDescent="0.2">
      <c r="H1853" s="301"/>
      <c r="I1853" s="302"/>
    </row>
    <row r="1854" spans="8:9" x14ac:dyDescent="0.2">
      <c r="H1854" s="301"/>
      <c r="I1854" s="302"/>
    </row>
    <row r="1855" spans="8:9" x14ac:dyDescent="0.2">
      <c r="H1855" s="301"/>
      <c r="I1855" s="302"/>
    </row>
    <row r="1856" spans="8:9" x14ac:dyDescent="0.2">
      <c r="H1856" s="301"/>
      <c r="I1856" s="302"/>
    </row>
    <row r="1857" spans="8:9" x14ac:dyDescent="0.2">
      <c r="H1857" s="301"/>
      <c r="I1857" s="302"/>
    </row>
    <row r="1858" spans="8:9" x14ac:dyDescent="0.2">
      <c r="H1858" s="301"/>
      <c r="I1858" s="302"/>
    </row>
    <row r="1859" spans="8:9" x14ac:dyDescent="0.2">
      <c r="H1859" s="301"/>
      <c r="I1859" s="302"/>
    </row>
    <row r="1860" spans="8:9" x14ac:dyDescent="0.2">
      <c r="H1860" s="301"/>
      <c r="I1860" s="302"/>
    </row>
    <row r="1861" spans="8:9" x14ac:dyDescent="0.2">
      <c r="H1861" s="301"/>
      <c r="I1861" s="302"/>
    </row>
    <row r="1862" spans="8:9" x14ac:dyDescent="0.2">
      <c r="H1862" s="301"/>
      <c r="I1862" s="302"/>
    </row>
    <row r="1863" spans="8:9" x14ac:dyDescent="0.2">
      <c r="H1863" s="301"/>
      <c r="I1863" s="302"/>
    </row>
    <row r="1864" spans="8:9" x14ac:dyDescent="0.2">
      <c r="H1864" s="301"/>
      <c r="I1864" s="302"/>
    </row>
    <row r="1865" spans="8:9" x14ac:dyDescent="0.2">
      <c r="H1865" s="301"/>
      <c r="I1865" s="302"/>
    </row>
    <row r="1866" spans="8:9" x14ac:dyDescent="0.2">
      <c r="I1866" s="302"/>
    </row>
    <row r="1867" spans="8:9" x14ac:dyDescent="0.2">
      <c r="H1867" s="301"/>
      <c r="I1867" s="302"/>
    </row>
    <row r="1868" spans="8:9" x14ac:dyDescent="0.2">
      <c r="H1868" s="301"/>
      <c r="I1868" s="302"/>
    </row>
    <row r="1869" spans="8:9" x14ac:dyDescent="0.2">
      <c r="H1869" s="301"/>
      <c r="I1869" s="302"/>
    </row>
    <row r="1870" spans="8:9" x14ac:dyDescent="0.2">
      <c r="H1870" s="301"/>
      <c r="I1870" s="302"/>
    </row>
    <row r="1871" spans="8:9" x14ac:dyDescent="0.2">
      <c r="H1871" s="301"/>
      <c r="I1871" s="302"/>
    </row>
    <row r="1872" spans="8:9" x14ac:dyDescent="0.2">
      <c r="H1872" s="301"/>
      <c r="I1872" s="302"/>
    </row>
    <row r="1873" spans="8:9" x14ac:dyDescent="0.2">
      <c r="H1873" s="301"/>
      <c r="I1873" s="302"/>
    </row>
    <row r="1874" spans="8:9" x14ac:dyDescent="0.2">
      <c r="H1874" s="301"/>
      <c r="I1874" s="302"/>
    </row>
    <row r="1875" spans="8:9" x14ac:dyDescent="0.2">
      <c r="H1875" s="301"/>
      <c r="I1875" s="302"/>
    </row>
    <row r="1876" spans="8:9" x14ac:dyDescent="0.2">
      <c r="H1876" s="301"/>
      <c r="I1876" s="302"/>
    </row>
    <row r="1877" spans="8:9" x14ac:dyDescent="0.2">
      <c r="H1877" s="301"/>
      <c r="I1877" s="302"/>
    </row>
    <row r="1878" spans="8:9" x14ac:dyDescent="0.2">
      <c r="H1878" s="301"/>
      <c r="I1878" s="302"/>
    </row>
    <row r="1879" spans="8:9" x14ac:dyDescent="0.2">
      <c r="H1879" s="301"/>
      <c r="I1879" s="302"/>
    </row>
    <row r="1880" spans="8:9" x14ac:dyDescent="0.2">
      <c r="I1880" s="302"/>
    </row>
    <row r="1881" spans="8:9" x14ac:dyDescent="0.2">
      <c r="H1881" s="301"/>
      <c r="I1881" s="302"/>
    </row>
    <row r="1882" spans="8:9" x14ac:dyDescent="0.2">
      <c r="H1882" s="301"/>
      <c r="I1882" s="302"/>
    </row>
    <row r="1883" spans="8:9" x14ac:dyDescent="0.2">
      <c r="H1883" s="301"/>
      <c r="I1883" s="302"/>
    </row>
    <row r="1884" spans="8:9" x14ac:dyDescent="0.2">
      <c r="H1884" s="301"/>
      <c r="I1884" s="302"/>
    </row>
    <row r="1885" spans="8:9" x14ac:dyDescent="0.2">
      <c r="H1885" s="301"/>
      <c r="I1885" s="302"/>
    </row>
    <row r="1886" spans="8:9" x14ac:dyDescent="0.2">
      <c r="H1886" s="301"/>
      <c r="I1886" s="302"/>
    </row>
    <row r="1887" spans="8:9" x14ac:dyDescent="0.2">
      <c r="H1887" s="301"/>
      <c r="I1887" s="302"/>
    </row>
    <row r="1888" spans="8:9" x14ac:dyDescent="0.2">
      <c r="H1888" s="301"/>
      <c r="I1888" s="302"/>
    </row>
    <row r="1889" spans="8:9" x14ac:dyDescent="0.2">
      <c r="H1889" s="301"/>
      <c r="I1889" s="302"/>
    </row>
    <row r="1890" spans="8:9" x14ac:dyDescent="0.2">
      <c r="H1890" s="301"/>
      <c r="I1890" s="302"/>
    </row>
    <row r="1891" spans="8:9" x14ac:dyDescent="0.2">
      <c r="H1891" s="301"/>
      <c r="I1891" s="302"/>
    </row>
    <row r="1892" spans="8:9" x14ac:dyDescent="0.2">
      <c r="H1892" s="301"/>
      <c r="I1892" s="302"/>
    </row>
    <row r="1893" spans="8:9" x14ac:dyDescent="0.2">
      <c r="H1893" s="301"/>
      <c r="I1893" s="302"/>
    </row>
    <row r="1894" spans="8:9" x14ac:dyDescent="0.2">
      <c r="I1894" s="302"/>
    </row>
    <row r="1895" spans="8:9" x14ac:dyDescent="0.2">
      <c r="H1895" s="301"/>
      <c r="I1895" s="302"/>
    </row>
    <row r="1896" spans="8:9" x14ac:dyDescent="0.2">
      <c r="H1896" s="301"/>
      <c r="I1896" s="302"/>
    </row>
    <row r="1897" spans="8:9" x14ac:dyDescent="0.2">
      <c r="H1897" s="301"/>
      <c r="I1897" s="302"/>
    </row>
    <row r="1898" spans="8:9" x14ac:dyDescent="0.2">
      <c r="H1898" s="301"/>
      <c r="I1898" s="302"/>
    </row>
    <row r="1899" spans="8:9" x14ac:dyDescent="0.2">
      <c r="H1899" s="301"/>
      <c r="I1899" s="302"/>
    </row>
    <row r="1900" spans="8:9" x14ac:dyDescent="0.2">
      <c r="H1900" s="301"/>
      <c r="I1900" s="302"/>
    </row>
    <row r="1901" spans="8:9" x14ac:dyDescent="0.2">
      <c r="H1901" s="301"/>
      <c r="I1901" s="302"/>
    </row>
    <row r="1902" spans="8:9" x14ac:dyDescent="0.2">
      <c r="H1902" s="301"/>
      <c r="I1902" s="302"/>
    </row>
    <row r="1903" spans="8:9" x14ac:dyDescent="0.2">
      <c r="H1903" s="301"/>
      <c r="I1903" s="302"/>
    </row>
    <row r="1904" spans="8:9" x14ac:dyDescent="0.2">
      <c r="H1904" s="301"/>
      <c r="I1904" s="302"/>
    </row>
    <row r="1905" spans="8:9" x14ac:dyDescent="0.2">
      <c r="H1905" s="301"/>
      <c r="I1905" s="302"/>
    </row>
    <row r="1906" spans="8:9" x14ac:dyDescent="0.2">
      <c r="H1906" s="301"/>
      <c r="I1906" s="302"/>
    </row>
    <row r="1907" spans="8:9" x14ac:dyDescent="0.2">
      <c r="H1907" s="301"/>
      <c r="I1907" s="302"/>
    </row>
    <row r="1908" spans="8:9" x14ac:dyDescent="0.2">
      <c r="I1908" s="302"/>
    </row>
    <row r="1909" spans="8:9" x14ac:dyDescent="0.2">
      <c r="H1909" s="301"/>
      <c r="I1909" s="302"/>
    </row>
    <row r="1910" spans="8:9" x14ac:dyDescent="0.2">
      <c r="H1910" s="301"/>
      <c r="I1910" s="302"/>
    </row>
    <row r="1911" spans="8:9" x14ac:dyDescent="0.2">
      <c r="H1911" s="301"/>
      <c r="I1911" s="302"/>
    </row>
    <row r="1912" spans="8:9" x14ac:dyDescent="0.2">
      <c r="H1912" s="301"/>
      <c r="I1912" s="302"/>
    </row>
    <row r="1913" spans="8:9" x14ac:dyDescent="0.2">
      <c r="H1913" s="301"/>
      <c r="I1913" s="302"/>
    </row>
    <row r="1914" spans="8:9" x14ac:dyDescent="0.2">
      <c r="H1914" s="301"/>
      <c r="I1914" s="302"/>
    </row>
    <row r="1915" spans="8:9" x14ac:dyDescent="0.2">
      <c r="H1915" s="301"/>
      <c r="I1915" s="302"/>
    </row>
    <row r="1916" spans="8:9" x14ac:dyDescent="0.2">
      <c r="H1916" s="301"/>
      <c r="I1916" s="302"/>
    </row>
    <row r="1917" spans="8:9" x14ac:dyDescent="0.2">
      <c r="H1917" s="301"/>
      <c r="I1917" s="302"/>
    </row>
    <row r="1918" spans="8:9" x14ac:dyDescent="0.2">
      <c r="H1918" s="301"/>
      <c r="I1918" s="302"/>
    </row>
    <row r="1919" spans="8:9" x14ac:dyDescent="0.2">
      <c r="H1919" s="301"/>
      <c r="I1919" s="302"/>
    </row>
    <row r="1920" spans="8:9" x14ac:dyDescent="0.2">
      <c r="H1920" s="301"/>
      <c r="I1920" s="302"/>
    </row>
    <row r="1921" spans="8:9" x14ac:dyDescent="0.2">
      <c r="H1921" s="301"/>
      <c r="I1921" s="302"/>
    </row>
    <row r="1922" spans="8:9" x14ac:dyDescent="0.2">
      <c r="I1922" s="302"/>
    </row>
    <row r="1923" spans="8:9" x14ac:dyDescent="0.2">
      <c r="H1923" s="301"/>
      <c r="I1923" s="302"/>
    </row>
    <row r="1924" spans="8:9" x14ac:dyDescent="0.2">
      <c r="H1924" s="301"/>
      <c r="I1924" s="302"/>
    </row>
    <row r="1925" spans="8:9" x14ac:dyDescent="0.2">
      <c r="H1925" s="301"/>
      <c r="I1925" s="302"/>
    </row>
    <row r="1926" spans="8:9" x14ac:dyDescent="0.2">
      <c r="H1926" s="301"/>
      <c r="I1926" s="302"/>
    </row>
    <row r="1927" spans="8:9" x14ac:dyDescent="0.2">
      <c r="H1927" s="301"/>
      <c r="I1927" s="302"/>
    </row>
    <row r="1928" spans="8:9" x14ac:dyDescent="0.2">
      <c r="H1928" s="301"/>
      <c r="I1928" s="302"/>
    </row>
    <row r="1929" spans="8:9" x14ac:dyDescent="0.2">
      <c r="H1929" s="301"/>
      <c r="I1929" s="302"/>
    </row>
    <row r="1930" spans="8:9" x14ac:dyDescent="0.2">
      <c r="H1930" s="301"/>
      <c r="I1930" s="302"/>
    </row>
    <row r="1931" spans="8:9" x14ac:dyDescent="0.2">
      <c r="H1931" s="301"/>
      <c r="I1931" s="302"/>
    </row>
    <row r="1932" spans="8:9" x14ac:dyDescent="0.2">
      <c r="H1932" s="301"/>
      <c r="I1932" s="302"/>
    </row>
    <row r="1933" spans="8:9" x14ac:dyDescent="0.2">
      <c r="H1933" s="301"/>
      <c r="I1933" s="302"/>
    </row>
    <row r="1934" spans="8:9" x14ac:dyDescent="0.2">
      <c r="H1934" s="301"/>
      <c r="I1934" s="302"/>
    </row>
    <row r="1935" spans="8:9" x14ac:dyDescent="0.2">
      <c r="H1935" s="301"/>
      <c r="I1935" s="302"/>
    </row>
    <row r="1936" spans="8:9" x14ac:dyDescent="0.2">
      <c r="I1936" s="302"/>
    </row>
    <row r="1937" spans="8:9" x14ac:dyDescent="0.2">
      <c r="H1937" s="301"/>
      <c r="I1937" s="302"/>
    </row>
    <row r="1938" spans="8:9" x14ac:dyDescent="0.2">
      <c r="H1938" s="301"/>
      <c r="I1938" s="302"/>
    </row>
    <row r="1939" spans="8:9" x14ac:dyDescent="0.2">
      <c r="H1939" s="301"/>
      <c r="I1939" s="302"/>
    </row>
    <row r="1940" spans="8:9" x14ac:dyDescent="0.2">
      <c r="H1940" s="301"/>
      <c r="I1940" s="302"/>
    </row>
    <row r="1941" spans="8:9" x14ac:dyDescent="0.2">
      <c r="H1941" s="301"/>
      <c r="I1941" s="302"/>
    </row>
    <row r="1942" spans="8:9" x14ac:dyDescent="0.2">
      <c r="H1942" s="301"/>
      <c r="I1942" s="302"/>
    </row>
    <row r="1943" spans="8:9" x14ac:dyDescent="0.2">
      <c r="H1943" s="301"/>
      <c r="I1943" s="302"/>
    </row>
    <row r="1944" spans="8:9" x14ac:dyDescent="0.2">
      <c r="H1944" s="301"/>
      <c r="I1944" s="302"/>
    </row>
    <row r="1945" spans="8:9" x14ac:dyDescent="0.2">
      <c r="H1945" s="301"/>
      <c r="I1945" s="302"/>
    </row>
    <row r="1946" spans="8:9" x14ac:dyDescent="0.2">
      <c r="H1946" s="301"/>
      <c r="I1946" s="302"/>
    </row>
    <row r="1947" spans="8:9" x14ac:dyDescent="0.2">
      <c r="H1947" s="301"/>
      <c r="I1947" s="302"/>
    </row>
    <row r="1948" spans="8:9" x14ac:dyDescent="0.2">
      <c r="H1948" s="301"/>
      <c r="I1948" s="302"/>
    </row>
    <row r="1949" spans="8:9" x14ac:dyDescent="0.2">
      <c r="H1949" s="301"/>
      <c r="I1949" s="302"/>
    </row>
    <row r="1950" spans="8:9" x14ac:dyDescent="0.2">
      <c r="I1950" s="302"/>
    </row>
    <row r="1951" spans="8:9" x14ac:dyDescent="0.2">
      <c r="H1951" s="301"/>
      <c r="I1951" s="302"/>
    </row>
    <row r="1952" spans="8:9" x14ac:dyDescent="0.2">
      <c r="H1952" s="301"/>
      <c r="I1952" s="302"/>
    </row>
    <row r="1953" spans="8:9" x14ac:dyDescent="0.2">
      <c r="H1953" s="301"/>
      <c r="I1953" s="302"/>
    </row>
    <row r="1954" spans="8:9" x14ac:dyDescent="0.2">
      <c r="H1954" s="301"/>
      <c r="I1954" s="302"/>
    </row>
    <row r="1955" spans="8:9" x14ac:dyDescent="0.2">
      <c r="H1955" s="301"/>
      <c r="I1955" s="302"/>
    </row>
    <row r="1956" spans="8:9" x14ac:dyDescent="0.2">
      <c r="H1956" s="301"/>
      <c r="I1956" s="302"/>
    </row>
    <row r="1957" spans="8:9" x14ac:dyDescent="0.2">
      <c r="H1957" s="301"/>
      <c r="I1957" s="302"/>
    </row>
    <row r="1958" spans="8:9" x14ac:dyDescent="0.2">
      <c r="H1958" s="301"/>
      <c r="I1958" s="302"/>
    </row>
    <row r="1959" spans="8:9" x14ac:dyDescent="0.2">
      <c r="H1959" s="301"/>
      <c r="I1959" s="302"/>
    </row>
    <row r="1960" spans="8:9" x14ac:dyDescent="0.2">
      <c r="H1960" s="301"/>
      <c r="I1960" s="302"/>
    </row>
    <row r="1961" spans="8:9" x14ac:dyDescent="0.2">
      <c r="H1961" s="301"/>
      <c r="I1961" s="302"/>
    </row>
    <row r="1962" spans="8:9" x14ac:dyDescent="0.2">
      <c r="H1962" s="301"/>
      <c r="I1962" s="302"/>
    </row>
    <row r="1963" spans="8:9" x14ac:dyDescent="0.2">
      <c r="H1963" s="301"/>
      <c r="I1963" s="302"/>
    </row>
    <row r="1964" spans="8:9" x14ac:dyDescent="0.2">
      <c r="I1964" s="302"/>
    </row>
    <row r="1965" spans="8:9" x14ac:dyDescent="0.2">
      <c r="H1965" s="301"/>
      <c r="I1965" s="302"/>
    </row>
    <row r="1966" spans="8:9" x14ac:dyDescent="0.2">
      <c r="H1966" s="301"/>
      <c r="I1966" s="302"/>
    </row>
    <row r="1967" spans="8:9" x14ac:dyDescent="0.2">
      <c r="H1967" s="301"/>
      <c r="I1967" s="302"/>
    </row>
    <row r="1968" spans="8:9" x14ac:dyDescent="0.2">
      <c r="H1968" s="301"/>
      <c r="I1968" s="302"/>
    </row>
    <row r="1969" spans="8:9" x14ac:dyDescent="0.2">
      <c r="H1969" s="301"/>
      <c r="I1969" s="302"/>
    </row>
    <row r="1970" spans="8:9" x14ac:dyDescent="0.2">
      <c r="H1970" s="301"/>
      <c r="I1970" s="302"/>
    </row>
    <row r="1971" spans="8:9" x14ac:dyDescent="0.2">
      <c r="H1971" s="301"/>
      <c r="I1971" s="302"/>
    </row>
    <row r="1972" spans="8:9" x14ac:dyDescent="0.2">
      <c r="H1972" s="301"/>
      <c r="I1972" s="302"/>
    </row>
    <row r="1973" spans="8:9" x14ac:dyDescent="0.2">
      <c r="H1973" s="301"/>
      <c r="I1973" s="302"/>
    </row>
    <row r="1974" spans="8:9" x14ac:dyDescent="0.2">
      <c r="H1974" s="301"/>
      <c r="I1974" s="302"/>
    </row>
    <row r="1975" spans="8:9" x14ac:dyDescent="0.2">
      <c r="H1975" s="301"/>
      <c r="I1975" s="302"/>
    </row>
    <row r="1976" spans="8:9" x14ac:dyDescent="0.2">
      <c r="H1976" s="301"/>
      <c r="I1976" s="302"/>
    </row>
    <row r="1977" spans="8:9" x14ac:dyDescent="0.2">
      <c r="H1977" s="301"/>
      <c r="I1977" s="302"/>
    </row>
    <row r="1978" spans="8:9" x14ac:dyDescent="0.2">
      <c r="I1978" s="302"/>
    </row>
    <row r="1979" spans="8:9" x14ac:dyDescent="0.2">
      <c r="H1979" s="301"/>
      <c r="I1979" s="302"/>
    </row>
    <row r="1980" spans="8:9" x14ac:dyDescent="0.2">
      <c r="H1980" s="301"/>
      <c r="I1980" s="302"/>
    </row>
    <row r="1981" spans="8:9" x14ac:dyDescent="0.2">
      <c r="H1981" s="301"/>
      <c r="I1981" s="302"/>
    </row>
    <row r="1982" spans="8:9" x14ac:dyDescent="0.2">
      <c r="H1982" s="301"/>
      <c r="I1982" s="302"/>
    </row>
    <row r="1983" spans="8:9" x14ac:dyDescent="0.2">
      <c r="H1983" s="301"/>
      <c r="I1983" s="302"/>
    </row>
    <row r="1984" spans="8:9" x14ac:dyDescent="0.2">
      <c r="H1984" s="301"/>
      <c r="I1984" s="302"/>
    </row>
    <row r="1985" spans="8:9" x14ac:dyDescent="0.2">
      <c r="H1985" s="301"/>
      <c r="I1985" s="302"/>
    </row>
    <row r="1986" spans="8:9" x14ac:dyDescent="0.2">
      <c r="H1986" s="301"/>
      <c r="I1986" s="302"/>
    </row>
    <row r="1987" spans="8:9" x14ac:dyDescent="0.2">
      <c r="H1987" s="301"/>
      <c r="I1987" s="302"/>
    </row>
    <row r="1988" spans="8:9" x14ac:dyDescent="0.2">
      <c r="H1988" s="301"/>
      <c r="I1988" s="302"/>
    </row>
    <row r="1989" spans="8:9" x14ac:dyDescent="0.2">
      <c r="H1989" s="301"/>
      <c r="I1989" s="302"/>
    </row>
    <row r="1990" spans="8:9" x14ac:dyDescent="0.2">
      <c r="H1990" s="301"/>
      <c r="I1990" s="302"/>
    </row>
    <row r="1991" spans="8:9" x14ac:dyDescent="0.2">
      <c r="H1991" s="301"/>
      <c r="I1991" s="302"/>
    </row>
    <row r="1992" spans="8:9" x14ac:dyDescent="0.2">
      <c r="I1992" s="302"/>
    </row>
    <row r="1993" spans="8:9" x14ac:dyDescent="0.2">
      <c r="H1993" s="301"/>
      <c r="I1993" s="302"/>
    </row>
    <row r="1994" spans="8:9" x14ac:dyDescent="0.2">
      <c r="H1994" s="301"/>
      <c r="I1994" s="302"/>
    </row>
    <row r="1995" spans="8:9" x14ac:dyDescent="0.2">
      <c r="H1995" s="301"/>
      <c r="I1995" s="302"/>
    </row>
    <row r="1996" spans="8:9" x14ac:dyDescent="0.2">
      <c r="H1996" s="301"/>
      <c r="I1996" s="302"/>
    </row>
    <row r="1997" spans="8:9" x14ac:dyDescent="0.2">
      <c r="H1997" s="301"/>
      <c r="I1997" s="302"/>
    </row>
    <row r="1998" spans="8:9" x14ac:dyDescent="0.2">
      <c r="H1998" s="301"/>
      <c r="I1998" s="302"/>
    </row>
    <row r="1999" spans="8:9" x14ac:dyDescent="0.2">
      <c r="H1999" s="301"/>
      <c r="I1999" s="302"/>
    </row>
    <row r="2000" spans="8:9" x14ac:dyDescent="0.2">
      <c r="H2000" s="301"/>
      <c r="I2000" s="302"/>
    </row>
    <row r="2001" spans="8:9" x14ac:dyDescent="0.2">
      <c r="H2001" s="301"/>
      <c r="I2001" s="302"/>
    </row>
    <row r="2002" spans="8:9" x14ac:dyDescent="0.2">
      <c r="H2002" s="301"/>
      <c r="I2002" s="302"/>
    </row>
    <row r="2003" spans="8:9" x14ac:dyDescent="0.2">
      <c r="H2003" s="301"/>
      <c r="I2003" s="302"/>
    </row>
    <row r="2004" spans="8:9" x14ac:dyDescent="0.2">
      <c r="H2004" s="301"/>
      <c r="I2004" s="302"/>
    </row>
    <row r="2005" spans="8:9" x14ac:dyDescent="0.2">
      <c r="H2005" s="301"/>
      <c r="I2005" s="302"/>
    </row>
    <row r="2006" spans="8:9" x14ac:dyDescent="0.2">
      <c r="I2006" s="302"/>
    </row>
    <row r="2007" spans="8:9" x14ac:dyDescent="0.2">
      <c r="H2007" s="301"/>
      <c r="I2007" s="302"/>
    </row>
    <row r="2008" spans="8:9" x14ac:dyDescent="0.2">
      <c r="H2008" s="301"/>
      <c r="I2008" s="302"/>
    </row>
    <row r="2009" spans="8:9" x14ac:dyDescent="0.2">
      <c r="H2009" s="301"/>
      <c r="I2009" s="302"/>
    </row>
    <row r="2010" spans="8:9" x14ac:dyDescent="0.2">
      <c r="H2010" s="301"/>
      <c r="I2010" s="302"/>
    </row>
    <row r="2011" spans="8:9" x14ac:dyDescent="0.2">
      <c r="H2011" s="301"/>
      <c r="I2011" s="302"/>
    </row>
    <row r="2012" spans="8:9" x14ac:dyDescent="0.2">
      <c r="H2012" s="301"/>
      <c r="I2012" s="302"/>
    </row>
    <row r="2013" spans="8:9" x14ac:dyDescent="0.2">
      <c r="H2013" s="301"/>
      <c r="I2013" s="302"/>
    </row>
    <row r="2014" spans="8:9" x14ac:dyDescent="0.2">
      <c r="H2014" s="301"/>
      <c r="I2014" s="302"/>
    </row>
    <row r="2015" spans="8:9" x14ac:dyDescent="0.2">
      <c r="H2015" s="301"/>
      <c r="I2015" s="302"/>
    </row>
    <row r="2016" spans="8:9" x14ac:dyDescent="0.2">
      <c r="H2016" s="301"/>
      <c r="I2016" s="302"/>
    </row>
    <row r="2017" spans="8:9" x14ac:dyDescent="0.2">
      <c r="H2017" s="301"/>
      <c r="I2017" s="302"/>
    </row>
    <row r="2018" spans="8:9" x14ac:dyDescent="0.2">
      <c r="H2018" s="301"/>
      <c r="I2018" s="302"/>
    </row>
    <row r="2019" spans="8:9" x14ac:dyDescent="0.2">
      <c r="H2019" s="301"/>
      <c r="I2019" s="302"/>
    </row>
    <row r="2020" spans="8:9" x14ac:dyDescent="0.2">
      <c r="I2020" s="302"/>
    </row>
    <row r="2021" spans="8:9" x14ac:dyDescent="0.2">
      <c r="H2021" s="301"/>
      <c r="I2021" s="302"/>
    </row>
    <row r="2022" spans="8:9" x14ac:dyDescent="0.2">
      <c r="H2022" s="301"/>
      <c r="I2022" s="302"/>
    </row>
    <row r="2023" spans="8:9" x14ac:dyDescent="0.2">
      <c r="H2023" s="301"/>
      <c r="I2023" s="302"/>
    </row>
    <row r="2024" spans="8:9" x14ac:dyDescent="0.2">
      <c r="H2024" s="301"/>
      <c r="I2024" s="302"/>
    </row>
    <row r="2025" spans="8:9" x14ac:dyDescent="0.2">
      <c r="H2025" s="301"/>
      <c r="I2025" s="302"/>
    </row>
    <row r="2026" spans="8:9" x14ac:dyDescent="0.2">
      <c r="H2026" s="301"/>
      <c r="I2026" s="302"/>
    </row>
    <row r="2027" spans="8:9" x14ac:dyDescent="0.2">
      <c r="H2027" s="301"/>
      <c r="I2027" s="302"/>
    </row>
    <row r="2028" spans="8:9" x14ac:dyDescent="0.2">
      <c r="H2028" s="301"/>
      <c r="I2028" s="302"/>
    </row>
    <row r="2029" spans="8:9" x14ac:dyDescent="0.2">
      <c r="H2029" s="301"/>
      <c r="I2029" s="302"/>
    </row>
    <row r="2030" spans="8:9" x14ac:dyDescent="0.2">
      <c r="H2030" s="301"/>
      <c r="I2030" s="302"/>
    </row>
    <row r="2031" spans="8:9" x14ac:dyDescent="0.2">
      <c r="H2031" s="301"/>
      <c r="I2031" s="302"/>
    </row>
    <row r="2032" spans="8:9" x14ac:dyDescent="0.2">
      <c r="H2032" s="301"/>
      <c r="I2032" s="302"/>
    </row>
    <row r="2033" spans="8:9" x14ac:dyDescent="0.2">
      <c r="H2033" s="301"/>
      <c r="I2033" s="302"/>
    </row>
    <row r="2034" spans="8:9" x14ac:dyDescent="0.2">
      <c r="I2034" s="302"/>
    </row>
    <row r="2035" spans="8:9" x14ac:dyDescent="0.2">
      <c r="H2035" s="301"/>
      <c r="I2035" s="302"/>
    </row>
    <row r="2036" spans="8:9" x14ac:dyDescent="0.2">
      <c r="H2036" s="301"/>
      <c r="I2036" s="302"/>
    </row>
    <row r="2037" spans="8:9" x14ac:dyDescent="0.2">
      <c r="H2037" s="301"/>
      <c r="I2037" s="302"/>
    </row>
    <row r="2038" spans="8:9" x14ac:dyDescent="0.2">
      <c r="H2038" s="301"/>
      <c r="I2038" s="302"/>
    </row>
    <row r="2039" spans="8:9" x14ac:dyDescent="0.2">
      <c r="H2039" s="301"/>
      <c r="I2039" s="302"/>
    </row>
    <row r="2040" spans="8:9" x14ac:dyDescent="0.2">
      <c r="H2040" s="301"/>
      <c r="I2040" s="302"/>
    </row>
    <row r="2041" spans="8:9" x14ac:dyDescent="0.2">
      <c r="H2041" s="301"/>
      <c r="I2041" s="302"/>
    </row>
    <row r="2042" spans="8:9" x14ac:dyDescent="0.2">
      <c r="H2042" s="301"/>
      <c r="I2042" s="302"/>
    </row>
    <row r="2043" spans="8:9" x14ac:dyDescent="0.2">
      <c r="H2043" s="301"/>
      <c r="I2043" s="302"/>
    </row>
    <row r="2044" spans="8:9" x14ac:dyDescent="0.2">
      <c r="H2044" s="301"/>
      <c r="I2044" s="302"/>
    </row>
    <row r="2045" spans="8:9" x14ac:dyDescent="0.2">
      <c r="H2045" s="301"/>
      <c r="I2045" s="302"/>
    </row>
    <row r="2046" spans="8:9" x14ac:dyDescent="0.2">
      <c r="H2046" s="301"/>
      <c r="I2046" s="302"/>
    </row>
    <row r="2047" spans="8:9" x14ac:dyDescent="0.2">
      <c r="H2047" s="301"/>
      <c r="I2047" s="302"/>
    </row>
    <row r="2048" spans="8:9" x14ac:dyDescent="0.2">
      <c r="I2048" s="302"/>
    </row>
    <row r="2049" spans="8:9" x14ac:dyDescent="0.2">
      <c r="H2049" s="301"/>
      <c r="I2049" s="302"/>
    </row>
    <row r="2050" spans="8:9" x14ac:dyDescent="0.2">
      <c r="H2050" s="301"/>
      <c r="I2050" s="302"/>
    </row>
    <row r="2051" spans="8:9" x14ac:dyDescent="0.2">
      <c r="H2051" s="301"/>
      <c r="I2051" s="302"/>
    </row>
    <row r="2052" spans="8:9" x14ac:dyDescent="0.2">
      <c r="H2052" s="301"/>
      <c r="I2052" s="302"/>
    </row>
    <row r="2053" spans="8:9" x14ac:dyDescent="0.2">
      <c r="H2053" s="301"/>
      <c r="I2053" s="302"/>
    </row>
    <row r="2054" spans="8:9" x14ac:dyDescent="0.2">
      <c r="H2054" s="301"/>
      <c r="I2054" s="302"/>
    </row>
    <row r="2055" spans="8:9" x14ac:dyDescent="0.2">
      <c r="H2055" s="301"/>
      <c r="I2055" s="302"/>
    </row>
    <row r="2056" spans="8:9" x14ac:dyDescent="0.2">
      <c r="H2056" s="301"/>
      <c r="I2056" s="302"/>
    </row>
    <row r="2057" spans="8:9" x14ac:dyDescent="0.2">
      <c r="H2057" s="301"/>
      <c r="I2057" s="302"/>
    </row>
    <row r="2058" spans="8:9" x14ac:dyDescent="0.2">
      <c r="H2058" s="301"/>
      <c r="I2058" s="302"/>
    </row>
    <row r="2059" spans="8:9" x14ac:dyDescent="0.2">
      <c r="H2059" s="301"/>
      <c r="I2059" s="302"/>
    </row>
    <row r="2060" spans="8:9" x14ac:dyDescent="0.2">
      <c r="H2060" s="301"/>
      <c r="I2060" s="302"/>
    </row>
    <row r="2061" spans="8:9" x14ac:dyDescent="0.2">
      <c r="H2061" s="301"/>
      <c r="I2061" s="302"/>
    </row>
    <row r="2062" spans="8:9" x14ac:dyDescent="0.2">
      <c r="I2062" s="302"/>
    </row>
    <row r="2063" spans="8:9" x14ac:dyDescent="0.2">
      <c r="H2063" s="301"/>
      <c r="I2063" s="302"/>
    </row>
    <row r="2064" spans="8:9" x14ac:dyDescent="0.2">
      <c r="H2064" s="301"/>
      <c r="I2064" s="302"/>
    </row>
    <row r="2065" spans="8:9" x14ac:dyDescent="0.2">
      <c r="H2065" s="301"/>
      <c r="I2065" s="302"/>
    </row>
    <row r="2066" spans="8:9" x14ac:dyDescent="0.2">
      <c r="H2066" s="301"/>
      <c r="I2066" s="302"/>
    </row>
    <row r="2067" spans="8:9" x14ac:dyDescent="0.2">
      <c r="H2067" s="301"/>
      <c r="I2067" s="302"/>
    </row>
    <row r="2068" spans="8:9" x14ac:dyDescent="0.2">
      <c r="H2068" s="301"/>
      <c r="I2068" s="302"/>
    </row>
    <row r="2069" spans="8:9" x14ac:dyDescent="0.2">
      <c r="H2069" s="301"/>
      <c r="I2069" s="302"/>
    </row>
    <row r="2070" spans="8:9" x14ac:dyDescent="0.2">
      <c r="H2070" s="301"/>
      <c r="I2070" s="302"/>
    </row>
    <row r="2071" spans="8:9" x14ac:dyDescent="0.2">
      <c r="H2071" s="301"/>
      <c r="I2071" s="302"/>
    </row>
    <row r="2072" spans="8:9" x14ac:dyDescent="0.2">
      <c r="H2072" s="301"/>
      <c r="I2072" s="302"/>
    </row>
    <row r="2073" spans="8:9" x14ac:dyDescent="0.2">
      <c r="H2073" s="301"/>
      <c r="I2073" s="302"/>
    </row>
    <row r="2074" spans="8:9" x14ac:dyDescent="0.2">
      <c r="H2074" s="301"/>
      <c r="I2074" s="302"/>
    </row>
    <row r="2075" spans="8:9" x14ac:dyDescent="0.2">
      <c r="H2075" s="301"/>
      <c r="I2075" s="302"/>
    </row>
    <row r="2076" spans="8:9" x14ac:dyDescent="0.2">
      <c r="I2076" s="302"/>
    </row>
    <row r="2077" spans="8:9" x14ac:dyDescent="0.2">
      <c r="H2077" s="301"/>
      <c r="I2077" s="302"/>
    </row>
    <row r="2078" spans="8:9" x14ac:dyDescent="0.2">
      <c r="H2078" s="301"/>
      <c r="I2078" s="302"/>
    </row>
    <row r="2079" spans="8:9" x14ac:dyDescent="0.2">
      <c r="H2079" s="301"/>
      <c r="I2079" s="302"/>
    </row>
    <row r="2080" spans="8:9" x14ac:dyDescent="0.2">
      <c r="H2080" s="301"/>
      <c r="I2080" s="302"/>
    </row>
    <row r="2081" spans="8:9" x14ac:dyDescent="0.2">
      <c r="H2081" s="301"/>
      <c r="I2081" s="302"/>
    </row>
    <row r="2082" spans="8:9" x14ac:dyDescent="0.2">
      <c r="H2082" s="301"/>
      <c r="I2082" s="302"/>
    </row>
    <row r="2083" spans="8:9" x14ac:dyDescent="0.2">
      <c r="H2083" s="301"/>
      <c r="I2083" s="302"/>
    </row>
    <row r="2084" spans="8:9" x14ac:dyDescent="0.2">
      <c r="H2084" s="301"/>
      <c r="I2084" s="302"/>
    </row>
    <row r="2085" spans="8:9" x14ac:dyDescent="0.2">
      <c r="H2085" s="301"/>
      <c r="I2085" s="302"/>
    </row>
    <row r="2086" spans="8:9" x14ac:dyDescent="0.2">
      <c r="H2086" s="301"/>
      <c r="I2086" s="302"/>
    </row>
    <row r="2087" spans="8:9" x14ac:dyDescent="0.2">
      <c r="H2087" s="301"/>
      <c r="I2087" s="302"/>
    </row>
    <row r="2088" spans="8:9" x14ac:dyDescent="0.2">
      <c r="H2088" s="301"/>
      <c r="I2088" s="302"/>
    </row>
    <row r="2089" spans="8:9" x14ac:dyDescent="0.2">
      <c r="H2089" s="301"/>
      <c r="I2089" s="302"/>
    </row>
    <row r="2090" spans="8:9" x14ac:dyDescent="0.2">
      <c r="I2090" s="302"/>
    </row>
    <row r="2091" spans="8:9" x14ac:dyDescent="0.2">
      <c r="H2091" s="301"/>
      <c r="I2091" s="302"/>
    </row>
    <row r="2092" spans="8:9" x14ac:dyDescent="0.2">
      <c r="H2092" s="301"/>
      <c r="I2092" s="302"/>
    </row>
    <row r="2093" spans="8:9" x14ac:dyDescent="0.2">
      <c r="H2093" s="301"/>
      <c r="I2093" s="302"/>
    </row>
    <row r="2094" spans="8:9" x14ac:dyDescent="0.2">
      <c r="H2094" s="301"/>
      <c r="I2094" s="302"/>
    </row>
    <row r="2095" spans="8:9" x14ac:dyDescent="0.2">
      <c r="H2095" s="301"/>
      <c r="I2095" s="302"/>
    </row>
    <row r="2096" spans="8:9" x14ac:dyDescent="0.2">
      <c r="H2096" s="301"/>
      <c r="I2096" s="302"/>
    </row>
    <row r="2097" spans="8:9" x14ac:dyDescent="0.2">
      <c r="H2097" s="301"/>
      <c r="I2097" s="302"/>
    </row>
    <row r="2098" spans="8:9" x14ac:dyDescent="0.2">
      <c r="H2098" s="301"/>
      <c r="I2098" s="302"/>
    </row>
    <row r="2099" spans="8:9" x14ac:dyDescent="0.2">
      <c r="H2099" s="301"/>
      <c r="I2099" s="302"/>
    </row>
    <row r="2100" spans="8:9" x14ac:dyDescent="0.2">
      <c r="H2100" s="301"/>
      <c r="I2100" s="302"/>
    </row>
    <row r="2101" spans="8:9" x14ac:dyDescent="0.2">
      <c r="H2101" s="301"/>
      <c r="I2101" s="302"/>
    </row>
    <row r="2102" spans="8:9" x14ac:dyDescent="0.2">
      <c r="H2102" s="301"/>
      <c r="I2102" s="302"/>
    </row>
    <row r="2103" spans="8:9" x14ac:dyDescent="0.2">
      <c r="H2103" s="301"/>
      <c r="I2103" s="302"/>
    </row>
    <row r="2104" spans="8:9" x14ac:dyDescent="0.2">
      <c r="I2104" s="302"/>
    </row>
    <row r="2105" spans="8:9" x14ac:dyDescent="0.2">
      <c r="H2105" s="301"/>
      <c r="I2105" s="302"/>
    </row>
    <row r="2106" spans="8:9" x14ac:dyDescent="0.2">
      <c r="H2106" s="301"/>
      <c r="I2106" s="302"/>
    </row>
    <row r="2107" spans="8:9" x14ac:dyDescent="0.2">
      <c r="H2107" s="301"/>
      <c r="I2107" s="302"/>
    </row>
    <row r="2108" spans="8:9" x14ac:dyDescent="0.2">
      <c r="H2108" s="301"/>
      <c r="I2108" s="302"/>
    </row>
    <row r="2109" spans="8:9" x14ac:dyDescent="0.2">
      <c r="H2109" s="301"/>
      <c r="I2109" s="302"/>
    </row>
    <row r="2110" spans="8:9" x14ac:dyDescent="0.2">
      <c r="H2110" s="301"/>
      <c r="I2110" s="302"/>
    </row>
    <row r="2111" spans="8:9" x14ac:dyDescent="0.2">
      <c r="H2111" s="301"/>
      <c r="I2111" s="302"/>
    </row>
    <row r="2112" spans="8:9" x14ac:dyDescent="0.2">
      <c r="H2112" s="301"/>
      <c r="I2112" s="302"/>
    </row>
    <row r="2113" spans="8:9" x14ac:dyDescent="0.2">
      <c r="H2113" s="301"/>
      <c r="I2113" s="302"/>
    </row>
    <row r="2114" spans="8:9" x14ac:dyDescent="0.2">
      <c r="H2114" s="301"/>
      <c r="I2114" s="302"/>
    </row>
    <row r="2115" spans="8:9" x14ac:dyDescent="0.2">
      <c r="H2115" s="301"/>
      <c r="I2115" s="302"/>
    </row>
    <row r="2116" spans="8:9" x14ac:dyDescent="0.2">
      <c r="H2116" s="301"/>
      <c r="I2116" s="302"/>
    </row>
    <row r="2117" spans="8:9" x14ac:dyDescent="0.2">
      <c r="H2117" s="301"/>
      <c r="I2117" s="302"/>
    </row>
    <row r="2118" spans="8:9" x14ac:dyDescent="0.2">
      <c r="I2118" s="302"/>
    </row>
    <row r="2119" spans="8:9" x14ac:dyDescent="0.2">
      <c r="H2119" s="301"/>
      <c r="I2119" s="302"/>
    </row>
    <row r="2120" spans="8:9" x14ac:dyDescent="0.2">
      <c r="H2120" s="301"/>
      <c r="I2120" s="302"/>
    </row>
    <row r="2121" spans="8:9" x14ac:dyDescent="0.2">
      <c r="H2121" s="301"/>
      <c r="I2121" s="302"/>
    </row>
    <row r="2122" spans="8:9" x14ac:dyDescent="0.2">
      <c r="H2122" s="301"/>
      <c r="I2122" s="302"/>
    </row>
    <row r="2123" spans="8:9" x14ac:dyDescent="0.2">
      <c r="H2123" s="301"/>
      <c r="I2123" s="302"/>
    </row>
    <row r="2124" spans="8:9" x14ac:dyDescent="0.2">
      <c r="H2124" s="301"/>
      <c r="I2124" s="302"/>
    </row>
    <row r="2125" spans="8:9" x14ac:dyDescent="0.2">
      <c r="H2125" s="301"/>
      <c r="I2125" s="302"/>
    </row>
    <row r="2126" spans="8:9" x14ac:dyDescent="0.2">
      <c r="H2126" s="301"/>
      <c r="I2126" s="302"/>
    </row>
    <row r="2127" spans="8:9" x14ac:dyDescent="0.2">
      <c r="H2127" s="301"/>
      <c r="I2127" s="302"/>
    </row>
    <row r="2128" spans="8:9" x14ac:dyDescent="0.2">
      <c r="H2128" s="301"/>
      <c r="I2128" s="302"/>
    </row>
    <row r="2129" spans="8:9" x14ac:dyDescent="0.2">
      <c r="H2129" s="301"/>
      <c r="I2129" s="302"/>
    </row>
    <row r="2130" spans="8:9" x14ac:dyDescent="0.2">
      <c r="H2130" s="301"/>
      <c r="I2130" s="302"/>
    </row>
    <row r="2131" spans="8:9" x14ac:dyDescent="0.2">
      <c r="H2131" s="301"/>
      <c r="I2131" s="302"/>
    </row>
    <row r="2132" spans="8:9" x14ac:dyDescent="0.2">
      <c r="I2132" s="302"/>
    </row>
    <row r="2133" spans="8:9" x14ac:dyDescent="0.2">
      <c r="H2133" s="301"/>
      <c r="I2133" s="302"/>
    </row>
    <row r="2134" spans="8:9" x14ac:dyDescent="0.2">
      <c r="H2134" s="301"/>
      <c r="I2134" s="302"/>
    </row>
    <row r="2135" spans="8:9" x14ac:dyDescent="0.2">
      <c r="H2135" s="301"/>
      <c r="I2135" s="302"/>
    </row>
    <row r="2136" spans="8:9" x14ac:dyDescent="0.2">
      <c r="H2136" s="301"/>
      <c r="I2136" s="302"/>
    </row>
    <row r="2137" spans="8:9" x14ac:dyDescent="0.2">
      <c r="H2137" s="301"/>
      <c r="I2137" s="302"/>
    </row>
    <row r="2138" spans="8:9" x14ac:dyDescent="0.2">
      <c r="H2138" s="301"/>
      <c r="I2138" s="302"/>
    </row>
    <row r="2139" spans="8:9" x14ac:dyDescent="0.2">
      <c r="H2139" s="301"/>
      <c r="I2139" s="302"/>
    </row>
    <row r="2140" spans="8:9" x14ac:dyDescent="0.2">
      <c r="H2140" s="301"/>
      <c r="I2140" s="302"/>
    </row>
    <row r="2141" spans="8:9" x14ac:dyDescent="0.2">
      <c r="H2141" s="301"/>
      <c r="I2141" s="302"/>
    </row>
    <row r="2142" spans="8:9" x14ac:dyDescent="0.2">
      <c r="H2142" s="301"/>
      <c r="I2142" s="302"/>
    </row>
    <row r="2143" spans="8:9" x14ac:dyDescent="0.2">
      <c r="H2143" s="301"/>
      <c r="I2143" s="302"/>
    </row>
    <row r="2144" spans="8:9" x14ac:dyDescent="0.2">
      <c r="H2144" s="301"/>
      <c r="I2144" s="302"/>
    </row>
    <row r="2145" spans="8:9" x14ac:dyDescent="0.2">
      <c r="H2145" s="301"/>
      <c r="I2145" s="302"/>
    </row>
    <row r="2146" spans="8:9" x14ac:dyDescent="0.2">
      <c r="I2146" s="302"/>
    </row>
    <row r="2147" spans="8:9" x14ac:dyDescent="0.2">
      <c r="H2147" s="301"/>
      <c r="I2147" s="302"/>
    </row>
    <row r="2148" spans="8:9" x14ac:dyDescent="0.2">
      <c r="H2148" s="301"/>
      <c r="I2148" s="302"/>
    </row>
    <row r="2149" spans="8:9" x14ac:dyDescent="0.2">
      <c r="H2149" s="301"/>
      <c r="I2149" s="302"/>
    </row>
    <row r="2150" spans="8:9" x14ac:dyDescent="0.2">
      <c r="H2150" s="301"/>
      <c r="I2150" s="302"/>
    </row>
    <row r="2151" spans="8:9" x14ac:dyDescent="0.2">
      <c r="H2151" s="301"/>
      <c r="I2151" s="302"/>
    </row>
    <row r="2152" spans="8:9" x14ac:dyDescent="0.2">
      <c r="H2152" s="301"/>
      <c r="I2152" s="302"/>
    </row>
    <row r="2153" spans="8:9" x14ac:dyDescent="0.2">
      <c r="H2153" s="301"/>
      <c r="I2153" s="302"/>
    </row>
    <row r="2154" spans="8:9" x14ac:dyDescent="0.2">
      <c r="H2154" s="301"/>
      <c r="I2154" s="302"/>
    </row>
    <row r="2155" spans="8:9" x14ac:dyDescent="0.2">
      <c r="H2155" s="301"/>
      <c r="I2155" s="302"/>
    </row>
    <row r="2156" spans="8:9" x14ac:dyDescent="0.2">
      <c r="H2156" s="301"/>
      <c r="I2156" s="302"/>
    </row>
    <row r="2157" spans="8:9" x14ac:dyDescent="0.2">
      <c r="H2157" s="301"/>
      <c r="I2157" s="302"/>
    </row>
    <row r="2158" spans="8:9" x14ac:dyDescent="0.2">
      <c r="H2158" s="301"/>
      <c r="I2158" s="302"/>
    </row>
    <row r="2159" spans="8:9" x14ac:dyDescent="0.2">
      <c r="H2159" s="301"/>
      <c r="I2159" s="302"/>
    </row>
    <row r="2160" spans="8:9" x14ac:dyDescent="0.2">
      <c r="I2160" s="302"/>
    </row>
    <row r="2161" spans="8:9" x14ac:dyDescent="0.2">
      <c r="H2161" s="301"/>
      <c r="I2161" s="302"/>
    </row>
    <row r="2162" spans="8:9" x14ac:dyDescent="0.2">
      <c r="H2162" s="301"/>
      <c r="I2162" s="302"/>
    </row>
    <row r="2163" spans="8:9" x14ac:dyDescent="0.2">
      <c r="H2163" s="301"/>
      <c r="I2163" s="302"/>
    </row>
    <row r="2164" spans="8:9" x14ac:dyDescent="0.2">
      <c r="H2164" s="301"/>
      <c r="I2164" s="302"/>
    </row>
    <row r="2165" spans="8:9" x14ac:dyDescent="0.2">
      <c r="H2165" s="301"/>
      <c r="I2165" s="302"/>
    </row>
    <row r="2166" spans="8:9" x14ac:dyDescent="0.2">
      <c r="H2166" s="301"/>
      <c r="I2166" s="302"/>
    </row>
    <row r="2167" spans="8:9" x14ac:dyDescent="0.2">
      <c r="H2167" s="301"/>
      <c r="I2167" s="302"/>
    </row>
    <row r="2168" spans="8:9" x14ac:dyDescent="0.2">
      <c r="H2168" s="301"/>
      <c r="I2168" s="302"/>
    </row>
    <row r="2169" spans="8:9" x14ac:dyDescent="0.2">
      <c r="H2169" s="301"/>
      <c r="I2169" s="302"/>
    </row>
    <row r="2170" spans="8:9" x14ac:dyDescent="0.2">
      <c r="H2170" s="301"/>
      <c r="I2170" s="302"/>
    </row>
    <row r="2171" spans="8:9" x14ac:dyDescent="0.2">
      <c r="H2171" s="301"/>
      <c r="I2171" s="302"/>
    </row>
    <row r="2172" spans="8:9" x14ac:dyDescent="0.2">
      <c r="H2172" s="301"/>
      <c r="I2172" s="302"/>
    </row>
    <row r="2173" spans="8:9" x14ac:dyDescent="0.2">
      <c r="H2173" s="301"/>
      <c r="I2173" s="302"/>
    </row>
    <row r="2174" spans="8:9" x14ac:dyDescent="0.2">
      <c r="I2174" s="302"/>
    </row>
    <row r="2175" spans="8:9" x14ac:dyDescent="0.2">
      <c r="H2175" s="301"/>
      <c r="I2175" s="302"/>
    </row>
    <row r="2176" spans="8:9" x14ac:dyDescent="0.2">
      <c r="H2176" s="301"/>
      <c r="I2176" s="302"/>
    </row>
    <row r="2177" spans="8:9" x14ac:dyDescent="0.2">
      <c r="H2177" s="301"/>
      <c r="I2177" s="302"/>
    </row>
    <row r="2178" spans="8:9" x14ac:dyDescent="0.2">
      <c r="H2178" s="301"/>
      <c r="I2178" s="302"/>
    </row>
    <row r="2179" spans="8:9" x14ac:dyDescent="0.2">
      <c r="H2179" s="301"/>
      <c r="I2179" s="302"/>
    </row>
    <row r="2180" spans="8:9" x14ac:dyDescent="0.2">
      <c r="H2180" s="301"/>
      <c r="I2180" s="302"/>
    </row>
    <row r="2181" spans="8:9" x14ac:dyDescent="0.2">
      <c r="H2181" s="301"/>
      <c r="I2181" s="302"/>
    </row>
    <row r="2182" spans="8:9" x14ac:dyDescent="0.2">
      <c r="H2182" s="301"/>
      <c r="I2182" s="302"/>
    </row>
    <row r="2183" spans="8:9" x14ac:dyDescent="0.2">
      <c r="H2183" s="301"/>
      <c r="I2183" s="302"/>
    </row>
    <row r="2184" spans="8:9" x14ac:dyDescent="0.2">
      <c r="H2184" s="301"/>
      <c r="I2184" s="302"/>
    </row>
    <row r="2185" spans="8:9" x14ac:dyDescent="0.2">
      <c r="H2185" s="301"/>
      <c r="I2185" s="302"/>
    </row>
    <row r="2186" spans="8:9" x14ac:dyDescent="0.2">
      <c r="H2186" s="301"/>
      <c r="I2186" s="302"/>
    </row>
    <row r="2187" spans="8:9" x14ac:dyDescent="0.2">
      <c r="H2187" s="301"/>
      <c r="I2187" s="302"/>
    </row>
    <row r="2188" spans="8:9" x14ac:dyDescent="0.2">
      <c r="I2188" s="302"/>
    </row>
    <row r="2189" spans="8:9" x14ac:dyDescent="0.2">
      <c r="H2189" s="301"/>
      <c r="I2189" s="302"/>
    </row>
    <row r="2190" spans="8:9" x14ac:dyDescent="0.2">
      <c r="H2190" s="301"/>
      <c r="I2190" s="302"/>
    </row>
    <row r="2191" spans="8:9" x14ac:dyDescent="0.2">
      <c r="H2191" s="301"/>
      <c r="I2191" s="302"/>
    </row>
    <row r="2192" spans="8:9" x14ac:dyDescent="0.2">
      <c r="H2192" s="301"/>
      <c r="I2192" s="302"/>
    </row>
    <row r="2193" spans="8:9" x14ac:dyDescent="0.2">
      <c r="H2193" s="301"/>
      <c r="I2193" s="302"/>
    </row>
    <row r="2194" spans="8:9" x14ac:dyDescent="0.2">
      <c r="H2194" s="301"/>
      <c r="I2194" s="302"/>
    </row>
    <row r="2195" spans="8:9" x14ac:dyDescent="0.2">
      <c r="H2195" s="301"/>
      <c r="I2195" s="302"/>
    </row>
    <row r="2196" spans="8:9" x14ac:dyDescent="0.2">
      <c r="H2196" s="301"/>
      <c r="I2196" s="302"/>
    </row>
    <row r="2197" spans="8:9" x14ac:dyDescent="0.2">
      <c r="H2197" s="301"/>
      <c r="I2197" s="302"/>
    </row>
    <row r="2198" spans="8:9" x14ac:dyDescent="0.2">
      <c r="H2198" s="301"/>
      <c r="I2198" s="302"/>
    </row>
    <row r="2199" spans="8:9" x14ac:dyDescent="0.2">
      <c r="H2199" s="301"/>
      <c r="I2199" s="302"/>
    </row>
    <row r="2200" spans="8:9" x14ac:dyDescent="0.2">
      <c r="H2200" s="301"/>
      <c r="I2200" s="302"/>
    </row>
    <row r="2201" spans="8:9" x14ac:dyDescent="0.2">
      <c r="H2201" s="301"/>
      <c r="I2201" s="302"/>
    </row>
    <row r="2202" spans="8:9" x14ac:dyDescent="0.2">
      <c r="I2202" s="302"/>
    </row>
    <row r="2203" spans="8:9" x14ac:dyDescent="0.2">
      <c r="H2203" s="301"/>
      <c r="I2203" s="302"/>
    </row>
    <row r="2204" spans="8:9" x14ac:dyDescent="0.2">
      <c r="H2204" s="301"/>
      <c r="I2204" s="302"/>
    </row>
    <row r="2205" spans="8:9" x14ac:dyDescent="0.2">
      <c r="H2205" s="301"/>
      <c r="I2205" s="302"/>
    </row>
    <row r="2206" spans="8:9" x14ac:dyDescent="0.2">
      <c r="H2206" s="301"/>
      <c r="I2206" s="302"/>
    </row>
    <row r="2207" spans="8:9" x14ac:dyDescent="0.2">
      <c r="H2207" s="301"/>
      <c r="I2207" s="302"/>
    </row>
    <row r="2208" spans="8:9" x14ac:dyDescent="0.2">
      <c r="H2208" s="301"/>
      <c r="I2208" s="302"/>
    </row>
    <row r="2209" spans="8:9" x14ac:dyDescent="0.2">
      <c r="H2209" s="301"/>
      <c r="I2209" s="302"/>
    </row>
    <row r="2210" spans="8:9" x14ac:dyDescent="0.2">
      <c r="H2210" s="301"/>
      <c r="I2210" s="302"/>
    </row>
    <row r="2211" spans="8:9" x14ac:dyDescent="0.2">
      <c r="H2211" s="301"/>
      <c r="I2211" s="302"/>
    </row>
    <row r="2212" spans="8:9" x14ac:dyDescent="0.2">
      <c r="H2212" s="301"/>
      <c r="I2212" s="302"/>
    </row>
    <row r="2213" spans="8:9" x14ac:dyDescent="0.2">
      <c r="H2213" s="301"/>
      <c r="I2213" s="302"/>
    </row>
    <row r="2214" spans="8:9" x14ac:dyDescent="0.2">
      <c r="H2214" s="301"/>
      <c r="I2214" s="302"/>
    </row>
    <row r="2215" spans="8:9" x14ac:dyDescent="0.2">
      <c r="H2215" s="301"/>
      <c r="I2215" s="302"/>
    </row>
    <row r="2216" spans="8:9" x14ac:dyDescent="0.2">
      <c r="I2216" s="302"/>
    </row>
    <row r="2217" spans="8:9" x14ac:dyDescent="0.2">
      <c r="H2217" s="301"/>
      <c r="I2217" s="302"/>
    </row>
    <row r="2218" spans="8:9" x14ac:dyDescent="0.2">
      <c r="H2218" s="301"/>
      <c r="I2218" s="302"/>
    </row>
    <row r="2219" spans="8:9" x14ac:dyDescent="0.2">
      <c r="H2219" s="301"/>
      <c r="I2219" s="302"/>
    </row>
    <row r="2220" spans="8:9" x14ac:dyDescent="0.2">
      <c r="H2220" s="301"/>
      <c r="I2220" s="302"/>
    </row>
    <row r="2221" spans="8:9" x14ac:dyDescent="0.2">
      <c r="H2221" s="301"/>
      <c r="I2221" s="302"/>
    </row>
    <row r="2222" spans="8:9" x14ac:dyDescent="0.2">
      <c r="H2222" s="301"/>
      <c r="I2222" s="302"/>
    </row>
    <row r="2223" spans="8:9" x14ac:dyDescent="0.2">
      <c r="H2223" s="301"/>
      <c r="I2223" s="302"/>
    </row>
    <row r="2224" spans="8:9" x14ac:dyDescent="0.2">
      <c r="H2224" s="301"/>
      <c r="I2224" s="302"/>
    </row>
    <row r="2225" spans="8:9" x14ac:dyDescent="0.2">
      <c r="H2225" s="301"/>
      <c r="I2225" s="302"/>
    </row>
    <row r="2226" spans="8:9" x14ac:dyDescent="0.2">
      <c r="H2226" s="301"/>
      <c r="I2226" s="302"/>
    </row>
    <row r="2227" spans="8:9" x14ac:dyDescent="0.2">
      <c r="H2227" s="301"/>
      <c r="I2227" s="302"/>
    </row>
    <row r="2228" spans="8:9" x14ac:dyDescent="0.2">
      <c r="H2228" s="301"/>
      <c r="I2228" s="302"/>
    </row>
    <row r="2229" spans="8:9" x14ac:dyDescent="0.2">
      <c r="H2229" s="301"/>
      <c r="I2229" s="302"/>
    </row>
    <row r="2230" spans="8:9" x14ac:dyDescent="0.2">
      <c r="I2230" s="302"/>
    </row>
    <row r="2231" spans="8:9" x14ac:dyDescent="0.2">
      <c r="H2231" s="301"/>
      <c r="I2231" s="302"/>
    </row>
    <row r="2232" spans="8:9" x14ac:dyDescent="0.2">
      <c r="H2232" s="301"/>
      <c r="I2232" s="302"/>
    </row>
    <row r="2233" spans="8:9" x14ac:dyDescent="0.2">
      <c r="H2233" s="301"/>
      <c r="I2233" s="302"/>
    </row>
    <row r="2234" spans="8:9" x14ac:dyDescent="0.2">
      <c r="H2234" s="301"/>
      <c r="I2234" s="302"/>
    </row>
    <row r="2235" spans="8:9" x14ac:dyDescent="0.2">
      <c r="H2235" s="301"/>
      <c r="I2235" s="302"/>
    </row>
    <row r="2236" spans="8:9" x14ac:dyDescent="0.2">
      <c r="H2236" s="301"/>
      <c r="I2236" s="302"/>
    </row>
    <row r="2237" spans="8:9" x14ac:dyDescent="0.2">
      <c r="H2237" s="301"/>
      <c r="I2237" s="302"/>
    </row>
    <row r="2238" spans="8:9" x14ac:dyDescent="0.2">
      <c r="H2238" s="301"/>
      <c r="I2238" s="302"/>
    </row>
    <row r="2239" spans="8:9" x14ac:dyDescent="0.2">
      <c r="H2239" s="301"/>
      <c r="I2239" s="302"/>
    </row>
    <row r="2240" spans="8:9" x14ac:dyDescent="0.2">
      <c r="H2240" s="301"/>
      <c r="I2240" s="302"/>
    </row>
    <row r="2241" spans="8:9" x14ac:dyDescent="0.2">
      <c r="H2241" s="301"/>
      <c r="I2241" s="302"/>
    </row>
    <row r="2242" spans="8:9" x14ac:dyDescent="0.2">
      <c r="H2242" s="301"/>
      <c r="I2242" s="302"/>
    </row>
    <row r="2243" spans="8:9" x14ac:dyDescent="0.2">
      <c r="H2243" s="301"/>
      <c r="I2243" s="302"/>
    </row>
    <row r="2244" spans="8:9" x14ac:dyDescent="0.2">
      <c r="I2244" s="302"/>
    </row>
    <row r="2245" spans="8:9" x14ac:dyDescent="0.2">
      <c r="H2245" s="301"/>
      <c r="I2245" s="302"/>
    </row>
    <row r="2246" spans="8:9" x14ac:dyDescent="0.2">
      <c r="H2246" s="301"/>
      <c r="I2246" s="302"/>
    </row>
    <row r="2247" spans="8:9" x14ac:dyDescent="0.2">
      <c r="H2247" s="301"/>
      <c r="I2247" s="302"/>
    </row>
    <row r="2248" spans="8:9" x14ac:dyDescent="0.2">
      <c r="H2248" s="301"/>
      <c r="I2248" s="302"/>
    </row>
    <row r="2249" spans="8:9" x14ac:dyDescent="0.2">
      <c r="H2249" s="301"/>
      <c r="I2249" s="302"/>
    </row>
    <row r="2250" spans="8:9" x14ac:dyDescent="0.2">
      <c r="H2250" s="301"/>
      <c r="I2250" s="302"/>
    </row>
    <row r="2251" spans="8:9" x14ac:dyDescent="0.2">
      <c r="H2251" s="301"/>
      <c r="I2251" s="302"/>
    </row>
    <row r="2252" spans="8:9" x14ac:dyDescent="0.2">
      <c r="H2252" s="301"/>
      <c r="I2252" s="302"/>
    </row>
    <row r="2253" spans="8:9" x14ac:dyDescent="0.2">
      <c r="H2253" s="301"/>
      <c r="I2253" s="302"/>
    </row>
    <row r="2254" spans="8:9" x14ac:dyDescent="0.2">
      <c r="H2254" s="301"/>
      <c r="I2254" s="302"/>
    </row>
    <row r="2255" spans="8:9" x14ac:dyDescent="0.2">
      <c r="H2255" s="301"/>
      <c r="I2255" s="302"/>
    </row>
    <row r="2256" spans="8:9" x14ac:dyDescent="0.2">
      <c r="H2256" s="301"/>
      <c r="I2256" s="302"/>
    </row>
    <row r="2257" spans="8:9" x14ac:dyDescent="0.2">
      <c r="H2257" s="301"/>
      <c r="I2257" s="302"/>
    </row>
    <row r="2258" spans="8:9" x14ac:dyDescent="0.2">
      <c r="I2258" s="302"/>
    </row>
    <row r="2259" spans="8:9" x14ac:dyDescent="0.2">
      <c r="H2259" s="301"/>
      <c r="I2259" s="302"/>
    </row>
    <row r="2260" spans="8:9" x14ac:dyDescent="0.2">
      <c r="H2260" s="301"/>
      <c r="I2260" s="302"/>
    </row>
    <row r="2261" spans="8:9" x14ac:dyDescent="0.2">
      <c r="H2261" s="301"/>
      <c r="I2261" s="302"/>
    </row>
    <row r="2262" spans="8:9" x14ac:dyDescent="0.2">
      <c r="H2262" s="301"/>
      <c r="I2262" s="302"/>
    </row>
    <row r="2263" spans="8:9" x14ac:dyDescent="0.2">
      <c r="H2263" s="301"/>
      <c r="I2263" s="302"/>
    </row>
    <row r="2264" spans="8:9" x14ac:dyDescent="0.2">
      <c r="H2264" s="301"/>
      <c r="I2264" s="302"/>
    </row>
    <row r="2265" spans="8:9" x14ac:dyDescent="0.2">
      <c r="H2265" s="301"/>
      <c r="I2265" s="302"/>
    </row>
    <row r="2266" spans="8:9" x14ac:dyDescent="0.2">
      <c r="H2266" s="301"/>
      <c r="I2266" s="302"/>
    </row>
    <row r="2267" spans="8:9" x14ac:dyDescent="0.2">
      <c r="H2267" s="301"/>
      <c r="I2267" s="302"/>
    </row>
    <row r="2268" spans="8:9" x14ac:dyDescent="0.2">
      <c r="H2268" s="301"/>
      <c r="I2268" s="302"/>
    </row>
    <row r="2269" spans="8:9" x14ac:dyDescent="0.2">
      <c r="H2269" s="301"/>
      <c r="I2269" s="302"/>
    </row>
    <row r="2270" spans="8:9" x14ac:dyDescent="0.2">
      <c r="H2270" s="301"/>
      <c r="I2270" s="302"/>
    </row>
    <row r="2271" spans="8:9" x14ac:dyDescent="0.2">
      <c r="H2271" s="301"/>
      <c r="I2271" s="302"/>
    </row>
    <row r="2272" spans="8:9" x14ac:dyDescent="0.2">
      <c r="I2272" s="302"/>
    </row>
    <row r="2273" spans="8:9" x14ac:dyDescent="0.2">
      <c r="H2273" s="301"/>
      <c r="I2273" s="302"/>
    </row>
    <row r="2274" spans="8:9" x14ac:dyDescent="0.2">
      <c r="H2274" s="301"/>
      <c r="I2274" s="302"/>
    </row>
    <row r="2275" spans="8:9" x14ac:dyDescent="0.2">
      <c r="H2275" s="301"/>
      <c r="I2275" s="302"/>
    </row>
    <row r="2276" spans="8:9" x14ac:dyDescent="0.2">
      <c r="H2276" s="301"/>
      <c r="I2276" s="302"/>
    </row>
    <row r="2277" spans="8:9" x14ac:dyDescent="0.2">
      <c r="H2277" s="301"/>
      <c r="I2277" s="302"/>
    </row>
    <row r="2278" spans="8:9" x14ac:dyDescent="0.2">
      <c r="H2278" s="301"/>
      <c r="I2278" s="302"/>
    </row>
    <row r="2279" spans="8:9" x14ac:dyDescent="0.2">
      <c r="H2279" s="301"/>
      <c r="I2279" s="302"/>
    </row>
    <row r="2280" spans="8:9" x14ac:dyDescent="0.2">
      <c r="H2280" s="301"/>
      <c r="I2280" s="302"/>
    </row>
    <row r="2281" spans="8:9" x14ac:dyDescent="0.2">
      <c r="H2281" s="301"/>
      <c r="I2281" s="302"/>
    </row>
    <row r="2282" spans="8:9" x14ac:dyDescent="0.2">
      <c r="H2282" s="301"/>
      <c r="I2282" s="302"/>
    </row>
    <row r="2283" spans="8:9" x14ac:dyDescent="0.2">
      <c r="H2283" s="301"/>
      <c r="I2283" s="302"/>
    </row>
    <row r="2284" spans="8:9" x14ac:dyDescent="0.2">
      <c r="H2284" s="301"/>
      <c r="I2284" s="302"/>
    </row>
    <row r="2285" spans="8:9" x14ac:dyDescent="0.2">
      <c r="H2285" s="301"/>
      <c r="I2285" s="302"/>
    </row>
    <row r="2286" spans="8:9" x14ac:dyDescent="0.2">
      <c r="I2286" s="302"/>
    </row>
    <row r="2287" spans="8:9" x14ac:dyDescent="0.2">
      <c r="H2287" s="301"/>
      <c r="I2287" s="302"/>
    </row>
    <row r="2288" spans="8:9" x14ac:dyDescent="0.2">
      <c r="H2288" s="301"/>
      <c r="I2288" s="302"/>
    </row>
    <row r="2289" spans="8:9" x14ac:dyDescent="0.2">
      <c r="H2289" s="301"/>
      <c r="I2289" s="302"/>
    </row>
    <row r="2290" spans="8:9" x14ac:dyDescent="0.2">
      <c r="H2290" s="301"/>
      <c r="I2290" s="302"/>
    </row>
    <row r="2291" spans="8:9" x14ac:dyDescent="0.2">
      <c r="H2291" s="301"/>
      <c r="I2291" s="302"/>
    </row>
    <row r="2292" spans="8:9" x14ac:dyDescent="0.2">
      <c r="H2292" s="301"/>
      <c r="I2292" s="302"/>
    </row>
    <row r="2293" spans="8:9" x14ac:dyDescent="0.2">
      <c r="H2293" s="301"/>
      <c r="I2293" s="302"/>
    </row>
    <row r="2294" spans="8:9" x14ac:dyDescent="0.2">
      <c r="H2294" s="301"/>
      <c r="I2294" s="302"/>
    </row>
    <row r="2295" spans="8:9" x14ac:dyDescent="0.2">
      <c r="H2295" s="301"/>
      <c r="I2295" s="302"/>
    </row>
    <row r="2296" spans="8:9" x14ac:dyDescent="0.2">
      <c r="H2296" s="301"/>
      <c r="I2296" s="302"/>
    </row>
    <row r="2297" spans="8:9" x14ac:dyDescent="0.2">
      <c r="H2297" s="301"/>
      <c r="I2297" s="302"/>
    </row>
    <row r="2298" spans="8:9" x14ac:dyDescent="0.2">
      <c r="H2298" s="301"/>
      <c r="I2298" s="302"/>
    </row>
    <row r="2299" spans="8:9" x14ac:dyDescent="0.2">
      <c r="H2299" s="301"/>
      <c r="I2299" s="302"/>
    </row>
    <row r="2300" spans="8:9" x14ac:dyDescent="0.2">
      <c r="I2300" s="302"/>
    </row>
    <row r="2301" spans="8:9" x14ac:dyDescent="0.2">
      <c r="H2301" s="301"/>
      <c r="I2301" s="302"/>
    </row>
    <row r="2302" spans="8:9" x14ac:dyDescent="0.2">
      <c r="H2302" s="301"/>
      <c r="I2302" s="302"/>
    </row>
    <row r="2303" spans="8:9" x14ac:dyDescent="0.2">
      <c r="H2303" s="301"/>
      <c r="I2303" s="302"/>
    </row>
    <row r="2304" spans="8:9" x14ac:dyDescent="0.2">
      <c r="H2304" s="301"/>
      <c r="I2304" s="302"/>
    </row>
    <row r="2305" spans="8:9" x14ac:dyDescent="0.2">
      <c r="H2305" s="301"/>
      <c r="I2305" s="302"/>
    </row>
    <row r="2306" spans="8:9" x14ac:dyDescent="0.2">
      <c r="H2306" s="301"/>
      <c r="I2306" s="302"/>
    </row>
    <row r="2307" spans="8:9" x14ac:dyDescent="0.2">
      <c r="H2307" s="301"/>
      <c r="I2307" s="302"/>
    </row>
    <row r="2308" spans="8:9" x14ac:dyDescent="0.2">
      <c r="H2308" s="301"/>
      <c r="I2308" s="302"/>
    </row>
    <row r="2309" spans="8:9" x14ac:dyDescent="0.2">
      <c r="H2309" s="301"/>
      <c r="I2309" s="302"/>
    </row>
    <row r="2310" spans="8:9" x14ac:dyDescent="0.2">
      <c r="H2310" s="301"/>
      <c r="I2310" s="302"/>
    </row>
    <row r="2311" spans="8:9" x14ac:dyDescent="0.2">
      <c r="H2311" s="301"/>
      <c r="I2311" s="302"/>
    </row>
    <row r="2312" spans="8:9" x14ac:dyDescent="0.2">
      <c r="H2312" s="301"/>
      <c r="I2312" s="302"/>
    </row>
    <row r="2313" spans="8:9" x14ac:dyDescent="0.2">
      <c r="H2313" s="301"/>
      <c r="I2313" s="302"/>
    </row>
    <row r="2314" spans="8:9" x14ac:dyDescent="0.2">
      <c r="I2314" s="302"/>
    </row>
    <row r="2315" spans="8:9" x14ac:dyDescent="0.2">
      <c r="H2315" s="301"/>
      <c r="I2315" s="302"/>
    </row>
    <row r="2316" spans="8:9" x14ac:dyDescent="0.2">
      <c r="H2316" s="301"/>
      <c r="I2316" s="302"/>
    </row>
    <row r="2317" spans="8:9" x14ac:dyDescent="0.2">
      <c r="H2317" s="301"/>
      <c r="I2317" s="302"/>
    </row>
    <row r="2318" spans="8:9" x14ac:dyDescent="0.2">
      <c r="H2318" s="301"/>
      <c r="I2318" s="302"/>
    </row>
    <row r="2319" spans="8:9" x14ac:dyDescent="0.2">
      <c r="H2319" s="301"/>
      <c r="I2319" s="302"/>
    </row>
    <row r="2320" spans="8:9" x14ac:dyDescent="0.2">
      <c r="H2320" s="301"/>
      <c r="I2320" s="302"/>
    </row>
    <row r="2321" spans="8:9" x14ac:dyDescent="0.2">
      <c r="H2321" s="301"/>
      <c r="I2321" s="302"/>
    </row>
    <row r="2322" spans="8:9" x14ac:dyDescent="0.2">
      <c r="H2322" s="301"/>
      <c r="I2322" s="302"/>
    </row>
    <row r="2323" spans="8:9" x14ac:dyDescent="0.2">
      <c r="H2323" s="301"/>
      <c r="I2323" s="302"/>
    </row>
    <row r="2324" spans="8:9" x14ac:dyDescent="0.2">
      <c r="H2324" s="301"/>
      <c r="I2324" s="302"/>
    </row>
    <row r="2325" spans="8:9" x14ac:dyDescent="0.2">
      <c r="H2325" s="301"/>
      <c r="I2325" s="302"/>
    </row>
    <row r="2326" spans="8:9" x14ac:dyDescent="0.2">
      <c r="H2326" s="301"/>
      <c r="I2326" s="302"/>
    </row>
    <row r="2327" spans="8:9" x14ac:dyDescent="0.2">
      <c r="H2327" s="301"/>
      <c r="I2327" s="302"/>
    </row>
    <row r="2328" spans="8:9" x14ac:dyDescent="0.2">
      <c r="I2328" s="302"/>
    </row>
    <row r="2329" spans="8:9" x14ac:dyDescent="0.2">
      <c r="H2329" s="301"/>
      <c r="I2329" s="302"/>
    </row>
    <row r="2330" spans="8:9" x14ac:dyDescent="0.2">
      <c r="H2330" s="301"/>
      <c r="I2330" s="302"/>
    </row>
    <row r="2331" spans="8:9" x14ac:dyDescent="0.2">
      <c r="H2331" s="301"/>
      <c r="I2331" s="302"/>
    </row>
    <row r="2332" spans="8:9" x14ac:dyDescent="0.2">
      <c r="H2332" s="301"/>
      <c r="I2332" s="302"/>
    </row>
    <row r="2333" spans="8:9" x14ac:dyDescent="0.2">
      <c r="H2333" s="301"/>
      <c r="I2333" s="302"/>
    </row>
    <row r="2334" spans="8:9" x14ac:dyDescent="0.2">
      <c r="H2334" s="301"/>
      <c r="I2334" s="302"/>
    </row>
    <row r="2335" spans="8:9" x14ac:dyDescent="0.2">
      <c r="H2335" s="301"/>
      <c r="I2335" s="302"/>
    </row>
    <row r="2336" spans="8:9" x14ac:dyDescent="0.2">
      <c r="H2336" s="301"/>
      <c r="I2336" s="302"/>
    </row>
    <row r="2337" spans="8:9" x14ac:dyDescent="0.2">
      <c r="H2337" s="301"/>
      <c r="I2337" s="302"/>
    </row>
    <row r="2338" spans="8:9" x14ac:dyDescent="0.2">
      <c r="H2338" s="301"/>
      <c r="I2338" s="302"/>
    </row>
    <row r="2339" spans="8:9" x14ac:dyDescent="0.2">
      <c r="H2339" s="301"/>
      <c r="I2339" s="302"/>
    </row>
    <row r="2340" spans="8:9" x14ac:dyDescent="0.2">
      <c r="H2340" s="301"/>
      <c r="I2340" s="302"/>
    </row>
    <row r="2341" spans="8:9" x14ac:dyDescent="0.2">
      <c r="H2341" s="301"/>
      <c r="I2341" s="302"/>
    </row>
    <row r="2342" spans="8:9" x14ac:dyDescent="0.2">
      <c r="I2342" s="302"/>
    </row>
    <row r="2343" spans="8:9" x14ac:dyDescent="0.2">
      <c r="H2343" s="301"/>
      <c r="I2343" s="302"/>
    </row>
    <row r="2344" spans="8:9" x14ac:dyDescent="0.2">
      <c r="H2344" s="301"/>
      <c r="I2344" s="302"/>
    </row>
    <row r="2345" spans="8:9" x14ac:dyDescent="0.2">
      <c r="H2345" s="301"/>
      <c r="I2345" s="302"/>
    </row>
    <row r="2346" spans="8:9" x14ac:dyDescent="0.2">
      <c r="H2346" s="301"/>
      <c r="I2346" s="302"/>
    </row>
    <row r="2347" spans="8:9" x14ac:dyDescent="0.2">
      <c r="H2347" s="301"/>
      <c r="I2347" s="302"/>
    </row>
    <row r="2348" spans="8:9" x14ac:dyDescent="0.2">
      <c r="H2348" s="301"/>
      <c r="I2348" s="302"/>
    </row>
    <row r="2349" spans="8:9" x14ac:dyDescent="0.2">
      <c r="H2349" s="301"/>
      <c r="I2349" s="302"/>
    </row>
    <row r="2350" spans="8:9" x14ac:dyDescent="0.2">
      <c r="H2350" s="301"/>
      <c r="I2350" s="302"/>
    </row>
    <row r="2351" spans="8:9" x14ac:dyDescent="0.2">
      <c r="H2351" s="301"/>
      <c r="I2351" s="302"/>
    </row>
    <row r="2352" spans="8:9" x14ac:dyDescent="0.2">
      <c r="H2352" s="301"/>
      <c r="I2352" s="302"/>
    </row>
    <row r="2353" spans="8:9" x14ac:dyDescent="0.2">
      <c r="H2353" s="301"/>
      <c r="I2353" s="302"/>
    </row>
    <row r="2354" spans="8:9" x14ac:dyDescent="0.2">
      <c r="H2354" s="301"/>
      <c r="I2354" s="302"/>
    </row>
    <row r="2355" spans="8:9" x14ac:dyDescent="0.2">
      <c r="H2355" s="301"/>
      <c r="I2355" s="302"/>
    </row>
    <row r="2356" spans="8:9" x14ac:dyDescent="0.2">
      <c r="I2356" s="302"/>
    </row>
    <row r="2357" spans="8:9" x14ac:dyDescent="0.2">
      <c r="H2357" s="301"/>
      <c r="I2357" s="302"/>
    </row>
    <row r="2358" spans="8:9" x14ac:dyDescent="0.2">
      <c r="H2358" s="301"/>
      <c r="I2358" s="302"/>
    </row>
    <row r="2359" spans="8:9" x14ac:dyDescent="0.2">
      <c r="H2359" s="301"/>
      <c r="I2359" s="302"/>
    </row>
    <row r="2360" spans="8:9" x14ac:dyDescent="0.2">
      <c r="H2360" s="301"/>
      <c r="I2360" s="302"/>
    </row>
    <row r="2361" spans="8:9" x14ac:dyDescent="0.2">
      <c r="H2361" s="301"/>
      <c r="I2361" s="302"/>
    </row>
    <row r="2362" spans="8:9" x14ac:dyDescent="0.2">
      <c r="H2362" s="301"/>
      <c r="I2362" s="302"/>
    </row>
    <row r="2363" spans="8:9" x14ac:dyDescent="0.2">
      <c r="H2363" s="301"/>
      <c r="I2363" s="302"/>
    </row>
    <row r="2364" spans="8:9" x14ac:dyDescent="0.2">
      <c r="H2364" s="301"/>
      <c r="I2364" s="302"/>
    </row>
    <row r="2365" spans="8:9" x14ac:dyDescent="0.2">
      <c r="H2365" s="301"/>
      <c r="I2365" s="302"/>
    </row>
    <row r="2366" spans="8:9" x14ac:dyDescent="0.2">
      <c r="H2366" s="301"/>
      <c r="I2366" s="302"/>
    </row>
    <row r="2367" spans="8:9" x14ac:dyDescent="0.2">
      <c r="H2367" s="301"/>
      <c r="I2367" s="302"/>
    </row>
    <row r="2368" spans="8:9" x14ac:dyDescent="0.2">
      <c r="H2368" s="301"/>
      <c r="I2368" s="302"/>
    </row>
    <row r="2369" spans="8:9" x14ac:dyDescent="0.2">
      <c r="H2369" s="301"/>
      <c r="I2369" s="302"/>
    </row>
    <row r="2370" spans="8:9" x14ac:dyDescent="0.2">
      <c r="I2370" s="302"/>
    </row>
    <row r="2371" spans="8:9" x14ac:dyDescent="0.2">
      <c r="H2371" s="301"/>
      <c r="I2371" s="302"/>
    </row>
    <row r="2372" spans="8:9" x14ac:dyDescent="0.2">
      <c r="H2372" s="301"/>
      <c r="I2372" s="302"/>
    </row>
    <row r="2373" spans="8:9" x14ac:dyDescent="0.2">
      <c r="H2373" s="301"/>
      <c r="I2373" s="302"/>
    </row>
    <row r="2374" spans="8:9" x14ac:dyDescent="0.2">
      <c r="H2374" s="301"/>
      <c r="I2374" s="302"/>
    </row>
    <row r="2375" spans="8:9" x14ac:dyDescent="0.2">
      <c r="H2375" s="301"/>
      <c r="I2375" s="302"/>
    </row>
    <row r="2376" spans="8:9" x14ac:dyDescent="0.2">
      <c r="H2376" s="301"/>
      <c r="I2376" s="302"/>
    </row>
    <row r="2377" spans="8:9" x14ac:dyDescent="0.2">
      <c r="H2377" s="301"/>
      <c r="I2377" s="302"/>
    </row>
    <row r="2378" spans="8:9" x14ac:dyDescent="0.2">
      <c r="H2378" s="301"/>
      <c r="I2378" s="302"/>
    </row>
    <row r="2379" spans="8:9" x14ac:dyDescent="0.2">
      <c r="H2379" s="301"/>
      <c r="I2379" s="302"/>
    </row>
    <row r="2380" spans="8:9" x14ac:dyDescent="0.2">
      <c r="H2380" s="301"/>
      <c r="I2380" s="302"/>
    </row>
    <row r="2381" spans="8:9" x14ac:dyDescent="0.2">
      <c r="H2381" s="301"/>
      <c r="I2381" s="302"/>
    </row>
    <row r="2382" spans="8:9" x14ac:dyDescent="0.2">
      <c r="H2382" s="301"/>
      <c r="I2382" s="302"/>
    </row>
    <row r="2383" spans="8:9" x14ac:dyDescent="0.2">
      <c r="H2383" s="301"/>
      <c r="I2383" s="302"/>
    </row>
    <row r="2384" spans="8:9" x14ac:dyDescent="0.2">
      <c r="I2384" s="302"/>
    </row>
    <row r="2385" spans="8:9" x14ac:dyDescent="0.2">
      <c r="H2385" s="301"/>
      <c r="I2385" s="302"/>
    </row>
    <row r="2386" spans="8:9" x14ac:dyDescent="0.2">
      <c r="H2386" s="301"/>
      <c r="I2386" s="302"/>
    </row>
    <row r="2387" spans="8:9" x14ac:dyDescent="0.2">
      <c r="H2387" s="301"/>
      <c r="I2387" s="302"/>
    </row>
    <row r="2388" spans="8:9" x14ac:dyDescent="0.2">
      <c r="H2388" s="301"/>
      <c r="I2388" s="302"/>
    </row>
    <row r="2389" spans="8:9" x14ac:dyDescent="0.2">
      <c r="H2389" s="301"/>
      <c r="I2389" s="302"/>
    </row>
    <row r="2390" spans="8:9" x14ac:dyDescent="0.2">
      <c r="H2390" s="301"/>
      <c r="I2390" s="302"/>
    </row>
    <row r="2391" spans="8:9" x14ac:dyDescent="0.2">
      <c r="H2391" s="301"/>
      <c r="I2391" s="302"/>
    </row>
    <row r="2392" spans="8:9" x14ac:dyDescent="0.2">
      <c r="H2392" s="301"/>
      <c r="I2392" s="302"/>
    </row>
    <row r="2393" spans="8:9" x14ac:dyDescent="0.2">
      <c r="H2393" s="301"/>
      <c r="I2393" s="302"/>
    </row>
    <row r="2394" spans="8:9" x14ac:dyDescent="0.2">
      <c r="H2394" s="301"/>
      <c r="I2394" s="302"/>
    </row>
    <row r="2395" spans="8:9" x14ac:dyDescent="0.2">
      <c r="H2395" s="301"/>
      <c r="I2395" s="302"/>
    </row>
    <row r="2396" spans="8:9" x14ac:dyDescent="0.2">
      <c r="H2396" s="301"/>
      <c r="I2396" s="302"/>
    </row>
    <row r="2397" spans="8:9" x14ac:dyDescent="0.2">
      <c r="H2397" s="301"/>
      <c r="I2397" s="302"/>
    </row>
    <row r="2398" spans="8:9" x14ac:dyDescent="0.2">
      <c r="I2398" s="302"/>
    </row>
    <row r="2399" spans="8:9" x14ac:dyDescent="0.2">
      <c r="H2399" s="301"/>
      <c r="I2399" s="302"/>
    </row>
    <row r="2400" spans="8:9" x14ac:dyDescent="0.2">
      <c r="H2400" s="301"/>
      <c r="I2400" s="302"/>
    </row>
    <row r="2401" spans="8:9" x14ac:dyDescent="0.2">
      <c r="H2401" s="301"/>
      <c r="I2401" s="302"/>
    </row>
    <row r="2402" spans="8:9" x14ac:dyDescent="0.2">
      <c r="H2402" s="301"/>
      <c r="I2402" s="302"/>
    </row>
    <row r="2403" spans="8:9" x14ac:dyDescent="0.2">
      <c r="H2403" s="301"/>
      <c r="I2403" s="302"/>
    </row>
    <row r="2404" spans="8:9" x14ac:dyDescent="0.2">
      <c r="H2404" s="301"/>
      <c r="I2404" s="302"/>
    </row>
    <row r="2405" spans="8:9" x14ac:dyDescent="0.2">
      <c r="H2405" s="301"/>
      <c r="I2405" s="302"/>
    </row>
    <row r="2406" spans="8:9" x14ac:dyDescent="0.2">
      <c r="H2406" s="301"/>
      <c r="I2406" s="302"/>
    </row>
    <row r="2407" spans="8:9" x14ac:dyDescent="0.2">
      <c r="H2407" s="301"/>
      <c r="I2407" s="302"/>
    </row>
    <row r="2408" spans="8:9" x14ac:dyDescent="0.2">
      <c r="H2408" s="301"/>
      <c r="I2408" s="302"/>
    </row>
    <row r="2409" spans="8:9" x14ac:dyDescent="0.2">
      <c r="H2409" s="301"/>
      <c r="I2409" s="302"/>
    </row>
    <row r="2410" spans="8:9" x14ac:dyDescent="0.2">
      <c r="H2410" s="301"/>
      <c r="I2410" s="302"/>
    </row>
    <row r="2411" spans="8:9" x14ac:dyDescent="0.2">
      <c r="H2411" s="301"/>
      <c r="I2411" s="302"/>
    </row>
    <row r="2412" spans="8:9" x14ac:dyDescent="0.2">
      <c r="I2412" s="302"/>
    </row>
    <row r="2413" spans="8:9" x14ac:dyDescent="0.2">
      <c r="H2413" s="301"/>
      <c r="I2413" s="302"/>
    </row>
    <row r="2414" spans="8:9" x14ac:dyDescent="0.2">
      <c r="H2414" s="301"/>
      <c r="I2414" s="302"/>
    </row>
    <row r="2415" spans="8:9" x14ac:dyDescent="0.2">
      <c r="H2415" s="301"/>
      <c r="I2415" s="302"/>
    </row>
    <row r="2416" spans="8:9" x14ac:dyDescent="0.2">
      <c r="H2416" s="301"/>
      <c r="I2416" s="302"/>
    </row>
    <row r="2417" spans="8:9" x14ac:dyDescent="0.2">
      <c r="H2417" s="301"/>
      <c r="I2417" s="302"/>
    </row>
    <row r="2418" spans="8:9" x14ac:dyDescent="0.2">
      <c r="H2418" s="301"/>
      <c r="I2418" s="302"/>
    </row>
    <row r="2419" spans="8:9" x14ac:dyDescent="0.2">
      <c r="H2419" s="301"/>
      <c r="I2419" s="302"/>
    </row>
    <row r="2420" spans="8:9" x14ac:dyDescent="0.2">
      <c r="H2420" s="301"/>
      <c r="I2420" s="302"/>
    </row>
    <row r="2421" spans="8:9" x14ac:dyDescent="0.2">
      <c r="H2421" s="301"/>
      <c r="I2421" s="302"/>
    </row>
    <row r="2422" spans="8:9" x14ac:dyDescent="0.2">
      <c r="H2422" s="301"/>
      <c r="I2422" s="302"/>
    </row>
    <row r="2423" spans="8:9" x14ac:dyDescent="0.2">
      <c r="H2423" s="301"/>
      <c r="I2423" s="302"/>
    </row>
    <row r="2424" spans="8:9" x14ac:dyDescent="0.2">
      <c r="H2424" s="301"/>
      <c r="I2424" s="302"/>
    </row>
    <row r="2425" spans="8:9" x14ac:dyDescent="0.2">
      <c r="H2425" s="301"/>
      <c r="I2425" s="302"/>
    </row>
    <row r="2426" spans="8:9" x14ac:dyDescent="0.2">
      <c r="I2426" s="302"/>
    </row>
    <row r="2427" spans="8:9" x14ac:dyDescent="0.2">
      <c r="H2427" s="301"/>
      <c r="I2427" s="302"/>
    </row>
    <row r="2428" spans="8:9" x14ac:dyDescent="0.2">
      <c r="H2428" s="301"/>
      <c r="I2428" s="302"/>
    </row>
    <row r="2429" spans="8:9" x14ac:dyDescent="0.2">
      <c r="H2429" s="301"/>
      <c r="I2429" s="302"/>
    </row>
    <row r="2430" spans="8:9" x14ac:dyDescent="0.2">
      <c r="H2430" s="301"/>
      <c r="I2430" s="302"/>
    </row>
    <row r="2431" spans="8:9" x14ac:dyDescent="0.2">
      <c r="H2431" s="301"/>
      <c r="I2431" s="302"/>
    </row>
    <row r="2432" spans="8:9" x14ac:dyDescent="0.2">
      <c r="H2432" s="301"/>
      <c r="I2432" s="302"/>
    </row>
    <row r="2433" spans="8:9" x14ac:dyDescent="0.2">
      <c r="H2433" s="301"/>
      <c r="I2433" s="302"/>
    </row>
    <row r="2434" spans="8:9" x14ac:dyDescent="0.2">
      <c r="H2434" s="301"/>
      <c r="I2434" s="302"/>
    </row>
    <row r="2435" spans="8:9" x14ac:dyDescent="0.2">
      <c r="H2435" s="301"/>
      <c r="I2435" s="302"/>
    </row>
    <row r="2436" spans="8:9" x14ac:dyDescent="0.2">
      <c r="H2436" s="301"/>
      <c r="I2436" s="302"/>
    </row>
    <row r="2437" spans="8:9" x14ac:dyDescent="0.2">
      <c r="H2437" s="301"/>
      <c r="I2437" s="302"/>
    </row>
    <row r="2438" spans="8:9" x14ac:dyDescent="0.2">
      <c r="H2438" s="301"/>
      <c r="I2438" s="302"/>
    </row>
    <row r="2439" spans="8:9" x14ac:dyDescent="0.2">
      <c r="H2439" s="301"/>
      <c r="I2439" s="302"/>
    </row>
    <row r="2440" spans="8:9" x14ac:dyDescent="0.2">
      <c r="I2440" s="302"/>
    </row>
    <row r="2441" spans="8:9" x14ac:dyDescent="0.2">
      <c r="H2441" s="301"/>
      <c r="I2441" s="302"/>
    </row>
    <row r="2442" spans="8:9" x14ac:dyDescent="0.2">
      <c r="H2442" s="301"/>
      <c r="I2442" s="302"/>
    </row>
    <row r="2443" spans="8:9" x14ac:dyDescent="0.2">
      <c r="H2443" s="301"/>
      <c r="I2443" s="302"/>
    </row>
    <row r="2444" spans="8:9" x14ac:dyDescent="0.2">
      <c r="H2444" s="301"/>
      <c r="I2444" s="302"/>
    </row>
    <row r="2445" spans="8:9" x14ac:dyDescent="0.2">
      <c r="H2445" s="301"/>
      <c r="I2445" s="302"/>
    </row>
    <row r="2446" spans="8:9" x14ac:dyDescent="0.2">
      <c r="H2446" s="301"/>
      <c r="I2446" s="302"/>
    </row>
    <row r="2447" spans="8:9" x14ac:dyDescent="0.2">
      <c r="H2447" s="301"/>
      <c r="I2447" s="302"/>
    </row>
    <row r="2448" spans="8:9" x14ac:dyDescent="0.2">
      <c r="H2448" s="301"/>
      <c r="I2448" s="302"/>
    </row>
    <row r="2449" spans="8:9" x14ac:dyDescent="0.2">
      <c r="H2449" s="301"/>
      <c r="I2449" s="302"/>
    </row>
    <row r="2450" spans="8:9" x14ac:dyDescent="0.2">
      <c r="H2450" s="301"/>
      <c r="I2450" s="302"/>
    </row>
    <row r="2451" spans="8:9" x14ac:dyDescent="0.2">
      <c r="H2451" s="301"/>
      <c r="I2451" s="302"/>
    </row>
    <row r="2452" spans="8:9" x14ac:dyDescent="0.2">
      <c r="H2452" s="301"/>
      <c r="I2452" s="302"/>
    </row>
    <row r="2453" spans="8:9" x14ac:dyDescent="0.2">
      <c r="H2453" s="301"/>
      <c r="I2453" s="302"/>
    </row>
    <row r="2454" spans="8:9" x14ac:dyDescent="0.2">
      <c r="I2454" s="302"/>
    </row>
    <row r="2455" spans="8:9" x14ac:dyDescent="0.2">
      <c r="H2455" s="301"/>
      <c r="I2455" s="302"/>
    </row>
    <row r="2456" spans="8:9" x14ac:dyDescent="0.2">
      <c r="H2456" s="301"/>
      <c r="I2456" s="302"/>
    </row>
    <row r="2457" spans="8:9" x14ac:dyDescent="0.2">
      <c r="H2457" s="301"/>
      <c r="I2457" s="302"/>
    </row>
    <row r="2458" spans="8:9" x14ac:dyDescent="0.2">
      <c r="H2458" s="301"/>
      <c r="I2458" s="302"/>
    </row>
    <row r="2459" spans="8:9" x14ac:dyDescent="0.2">
      <c r="H2459" s="301"/>
      <c r="I2459" s="302"/>
    </row>
    <row r="2460" spans="8:9" x14ac:dyDescent="0.2">
      <c r="H2460" s="301"/>
      <c r="I2460" s="302"/>
    </row>
    <row r="2461" spans="8:9" x14ac:dyDescent="0.2">
      <c r="H2461" s="301"/>
      <c r="I2461" s="302"/>
    </row>
    <row r="2462" spans="8:9" x14ac:dyDescent="0.2">
      <c r="H2462" s="301"/>
      <c r="I2462" s="302"/>
    </row>
    <row r="2463" spans="8:9" x14ac:dyDescent="0.2">
      <c r="H2463" s="301"/>
      <c r="I2463" s="302"/>
    </row>
    <row r="2464" spans="8:9" x14ac:dyDescent="0.2">
      <c r="H2464" s="301"/>
      <c r="I2464" s="302"/>
    </row>
    <row r="2465" spans="8:9" x14ac:dyDescent="0.2">
      <c r="H2465" s="301"/>
      <c r="I2465" s="302"/>
    </row>
    <row r="2466" spans="8:9" x14ac:dyDescent="0.2">
      <c r="H2466" s="301"/>
      <c r="I2466" s="302"/>
    </row>
    <row r="2467" spans="8:9" x14ac:dyDescent="0.2">
      <c r="H2467" s="301"/>
      <c r="I2467" s="302"/>
    </row>
    <row r="2468" spans="8:9" x14ac:dyDescent="0.2">
      <c r="I2468" s="302"/>
    </row>
    <row r="2469" spans="8:9" x14ac:dyDescent="0.2">
      <c r="H2469" s="301"/>
      <c r="I2469" s="302"/>
    </row>
    <row r="2470" spans="8:9" x14ac:dyDescent="0.2">
      <c r="H2470" s="301"/>
      <c r="I2470" s="302"/>
    </row>
    <row r="2471" spans="8:9" x14ac:dyDescent="0.2">
      <c r="H2471" s="301"/>
      <c r="I2471" s="302"/>
    </row>
    <row r="2472" spans="8:9" x14ac:dyDescent="0.2">
      <c r="H2472" s="301"/>
      <c r="I2472" s="302"/>
    </row>
    <row r="2473" spans="8:9" x14ac:dyDescent="0.2">
      <c r="H2473" s="301"/>
      <c r="I2473" s="302"/>
    </row>
    <row r="2474" spans="8:9" x14ac:dyDescent="0.2">
      <c r="H2474" s="301"/>
      <c r="I2474" s="302"/>
    </row>
    <row r="2475" spans="8:9" x14ac:dyDescent="0.2">
      <c r="H2475" s="301"/>
      <c r="I2475" s="302"/>
    </row>
    <row r="2476" spans="8:9" x14ac:dyDescent="0.2">
      <c r="H2476" s="301"/>
      <c r="I2476" s="302"/>
    </row>
    <row r="2477" spans="8:9" x14ac:dyDescent="0.2">
      <c r="H2477" s="301"/>
      <c r="I2477" s="302"/>
    </row>
    <row r="2478" spans="8:9" x14ac:dyDescent="0.2">
      <c r="H2478" s="301"/>
      <c r="I2478" s="302"/>
    </row>
    <row r="2479" spans="8:9" x14ac:dyDescent="0.2">
      <c r="H2479" s="301"/>
      <c r="I2479" s="302"/>
    </row>
    <row r="2480" spans="8:9" x14ac:dyDescent="0.2">
      <c r="H2480" s="301"/>
      <c r="I2480" s="302"/>
    </row>
    <row r="2481" spans="8:9" x14ac:dyDescent="0.2">
      <c r="H2481" s="301"/>
      <c r="I2481" s="302"/>
    </row>
    <row r="2482" spans="8:9" x14ac:dyDescent="0.2">
      <c r="I2482" s="302"/>
    </row>
    <row r="2483" spans="8:9" x14ac:dyDescent="0.2">
      <c r="H2483" s="301"/>
      <c r="I2483" s="302"/>
    </row>
    <row r="2484" spans="8:9" x14ac:dyDescent="0.2">
      <c r="H2484" s="301"/>
      <c r="I2484" s="302"/>
    </row>
    <row r="2485" spans="8:9" x14ac:dyDescent="0.2">
      <c r="H2485" s="301"/>
      <c r="I2485" s="302"/>
    </row>
    <row r="2486" spans="8:9" x14ac:dyDescent="0.2">
      <c r="H2486" s="301"/>
      <c r="I2486" s="302"/>
    </row>
    <row r="2487" spans="8:9" x14ac:dyDescent="0.2">
      <c r="H2487" s="301"/>
      <c r="I2487" s="302"/>
    </row>
    <row r="2488" spans="8:9" x14ac:dyDescent="0.2">
      <c r="H2488" s="301"/>
      <c r="I2488" s="302"/>
    </row>
    <row r="2489" spans="8:9" x14ac:dyDescent="0.2">
      <c r="H2489" s="301"/>
      <c r="I2489" s="302"/>
    </row>
    <row r="2490" spans="8:9" x14ac:dyDescent="0.2">
      <c r="H2490" s="301"/>
      <c r="I2490" s="302"/>
    </row>
    <row r="2491" spans="8:9" x14ac:dyDescent="0.2">
      <c r="H2491" s="301"/>
      <c r="I2491" s="302"/>
    </row>
    <row r="2492" spans="8:9" x14ac:dyDescent="0.2">
      <c r="H2492" s="301"/>
      <c r="I2492" s="302"/>
    </row>
    <row r="2493" spans="8:9" x14ac:dyDescent="0.2">
      <c r="H2493" s="301"/>
      <c r="I2493" s="302"/>
    </row>
    <row r="2494" spans="8:9" x14ac:dyDescent="0.2">
      <c r="H2494" s="301"/>
      <c r="I2494" s="302"/>
    </row>
    <row r="2495" spans="8:9" x14ac:dyDescent="0.2">
      <c r="H2495" s="301"/>
      <c r="I2495" s="302"/>
    </row>
    <row r="2496" spans="8:9" x14ac:dyDescent="0.2">
      <c r="I2496" s="302"/>
    </row>
    <row r="2497" spans="8:9" x14ac:dyDescent="0.2">
      <c r="H2497" s="301"/>
      <c r="I2497" s="302"/>
    </row>
    <row r="2498" spans="8:9" x14ac:dyDescent="0.2">
      <c r="H2498" s="301"/>
      <c r="I2498" s="302"/>
    </row>
    <row r="2499" spans="8:9" x14ac:dyDescent="0.2">
      <c r="H2499" s="301"/>
      <c r="I2499" s="302"/>
    </row>
    <row r="2500" spans="8:9" x14ac:dyDescent="0.2">
      <c r="H2500" s="301"/>
      <c r="I2500" s="302"/>
    </row>
    <row r="2501" spans="8:9" x14ac:dyDescent="0.2">
      <c r="H2501" s="301"/>
      <c r="I2501" s="302"/>
    </row>
    <row r="2502" spans="8:9" x14ac:dyDescent="0.2">
      <c r="H2502" s="301"/>
      <c r="I2502" s="302"/>
    </row>
    <row r="2503" spans="8:9" x14ac:dyDescent="0.2">
      <c r="H2503" s="301"/>
      <c r="I2503" s="302"/>
    </row>
    <row r="2504" spans="8:9" x14ac:dyDescent="0.2">
      <c r="H2504" s="301"/>
      <c r="I2504" s="302"/>
    </row>
    <row r="2505" spans="8:9" x14ac:dyDescent="0.2">
      <c r="H2505" s="301"/>
      <c r="I2505" s="302"/>
    </row>
    <row r="2506" spans="8:9" x14ac:dyDescent="0.2">
      <c r="H2506" s="301"/>
      <c r="I2506" s="302"/>
    </row>
    <row r="2507" spans="8:9" x14ac:dyDescent="0.2">
      <c r="H2507" s="301"/>
      <c r="I2507" s="302"/>
    </row>
    <row r="2508" spans="8:9" x14ac:dyDescent="0.2">
      <c r="H2508" s="301"/>
      <c r="I2508" s="302"/>
    </row>
    <row r="2509" spans="8:9" x14ac:dyDescent="0.2">
      <c r="H2509" s="301"/>
      <c r="I2509" s="302"/>
    </row>
    <row r="2510" spans="8:9" x14ac:dyDescent="0.2">
      <c r="I2510" s="302"/>
    </row>
    <row r="2511" spans="8:9" x14ac:dyDescent="0.2">
      <c r="H2511" s="301"/>
      <c r="I2511" s="302"/>
    </row>
    <row r="2512" spans="8:9" x14ac:dyDescent="0.2">
      <c r="H2512" s="301"/>
      <c r="I2512" s="302"/>
    </row>
    <row r="2513" spans="8:9" x14ac:dyDescent="0.2">
      <c r="H2513" s="301"/>
      <c r="I2513" s="302"/>
    </row>
    <row r="2514" spans="8:9" x14ac:dyDescent="0.2">
      <c r="H2514" s="301"/>
      <c r="I2514" s="302"/>
    </row>
    <row r="2515" spans="8:9" x14ac:dyDescent="0.2">
      <c r="H2515" s="301"/>
      <c r="I2515" s="302"/>
    </row>
    <row r="2516" spans="8:9" x14ac:dyDescent="0.2">
      <c r="H2516" s="301"/>
      <c r="I2516" s="302"/>
    </row>
    <row r="2517" spans="8:9" x14ac:dyDescent="0.2">
      <c r="H2517" s="301"/>
      <c r="I2517" s="302"/>
    </row>
    <row r="2518" spans="8:9" x14ac:dyDescent="0.2">
      <c r="H2518" s="301"/>
      <c r="I2518" s="302"/>
    </row>
    <row r="2519" spans="8:9" x14ac:dyDescent="0.2">
      <c r="H2519" s="301"/>
      <c r="I2519" s="302"/>
    </row>
    <row r="2520" spans="8:9" x14ac:dyDescent="0.2">
      <c r="H2520" s="301"/>
      <c r="I2520" s="302"/>
    </row>
    <row r="2521" spans="8:9" x14ac:dyDescent="0.2">
      <c r="H2521" s="301"/>
      <c r="I2521" s="302"/>
    </row>
    <row r="2522" spans="8:9" x14ac:dyDescent="0.2">
      <c r="H2522" s="301"/>
      <c r="I2522" s="302"/>
    </row>
    <row r="2523" spans="8:9" x14ac:dyDescent="0.2">
      <c r="H2523" s="301"/>
      <c r="I2523" s="302"/>
    </row>
    <row r="2524" spans="8:9" x14ac:dyDescent="0.2">
      <c r="I2524" s="302"/>
    </row>
    <row r="2525" spans="8:9" x14ac:dyDescent="0.2">
      <c r="H2525" s="301"/>
      <c r="I2525" s="302"/>
    </row>
    <row r="2526" spans="8:9" x14ac:dyDescent="0.2">
      <c r="H2526" s="301"/>
      <c r="I2526" s="302"/>
    </row>
    <row r="2527" spans="8:9" x14ac:dyDescent="0.2">
      <c r="H2527" s="301"/>
      <c r="I2527" s="302"/>
    </row>
    <row r="2528" spans="8:9" x14ac:dyDescent="0.2">
      <c r="H2528" s="301"/>
      <c r="I2528" s="302"/>
    </row>
    <row r="2529" spans="8:9" x14ac:dyDescent="0.2">
      <c r="H2529" s="301"/>
      <c r="I2529" s="302"/>
    </row>
    <row r="2530" spans="8:9" x14ac:dyDescent="0.2">
      <c r="H2530" s="301"/>
      <c r="I2530" s="302"/>
    </row>
    <row r="2531" spans="8:9" x14ac:dyDescent="0.2">
      <c r="H2531" s="301"/>
      <c r="I2531" s="302"/>
    </row>
    <row r="2532" spans="8:9" x14ac:dyDescent="0.2">
      <c r="H2532" s="301"/>
      <c r="I2532" s="302"/>
    </row>
    <row r="2533" spans="8:9" x14ac:dyDescent="0.2">
      <c r="H2533" s="301"/>
      <c r="I2533" s="302"/>
    </row>
    <row r="2534" spans="8:9" x14ac:dyDescent="0.2">
      <c r="H2534" s="301"/>
      <c r="I2534" s="302"/>
    </row>
    <row r="2535" spans="8:9" x14ac:dyDescent="0.2">
      <c r="H2535" s="301"/>
      <c r="I2535" s="302"/>
    </row>
    <row r="2536" spans="8:9" x14ac:dyDescent="0.2">
      <c r="H2536" s="301"/>
      <c r="I2536" s="302"/>
    </row>
    <row r="2537" spans="8:9" x14ac:dyDescent="0.2">
      <c r="H2537" s="301"/>
      <c r="I2537" s="302"/>
    </row>
    <row r="2538" spans="8:9" x14ac:dyDescent="0.2">
      <c r="I2538" s="302"/>
    </row>
    <row r="2539" spans="8:9" x14ac:dyDescent="0.2">
      <c r="H2539" s="301"/>
      <c r="I2539" s="302"/>
    </row>
    <row r="2540" spans="8:9" x14ac:dyDescent="0.2">
      <c r="H2540" s="301"/>
      <c r="I2540" s="302"/>
    </row>
    <row r="2541" spans="8:9" x14ac:dyDescent="0.2">
      <c r="H2541" s="301"/>
      <c r="I2541" s="302"/>
    </row>
    <row r="2542" spans="8:9" x14ac:dyDescent="0.2">
      <c r="H2542" s="301"/>
      <c r="I2542" s="302"/>
    </row>
    <row r="2543" spans="8:9" x14ac:dyDescent="0.2">
      <c r="H2543" s="301"/>
      <c r="I2543" s="302"/>
    </row>
    <row r="2544" spans="8:9" x14ac:dyDescent="0.2">
      <c r="H2544" s="301"/>
      <c r="I2544" s="302"/>
    </row>
    <row r="2545" spans="8:9" x14ac:dyDescent="0.2">
      <c r="H2545" s="301"/>
      <c r="I2545" s="302"/>
    </row>
    <row r="2546" spans="8:9" x14ac:dyDescent="0.2">
      <c r="H2546" s="301"/>
      <c r="I2546" s="302"/>
    </row>
    <row r="2547" spans="8:9" x14ac:dyDescent="0.2">
      <c r="H2547" s="301"/>
      <c r="I2547" s="302"/>
    </row>
    <row r="2548" spans="8:9" x14ac:dyDescent="0.2">
      <c r="H2548" s="301"/>
      <c r="I2548" s="302"/>
    </row>
    <row r="2549" spans="8:9" x14ac:dyDescent="0.2">
      <c r="H2549" s="301"/>
      <c r="I2549" s="302"/>
    </row>
    <row r="2550" spans="8:9" x14ac:dyDescent="0.2">
      <c r="H2550" s="301"/>
      <c r="I2550" s="302"/>
    </row>
    <row r="2551" spans="8:9" x14ac:dyDescent="0.2">
      <c r="H2551" s="301"/>
      <c r="I2551" s="302"/>
    </row>
    <row r="2552" spans="8:9" x14ac:dyDescent="0.2">
      <c r="I2552" s="302"/>
    </row>
    <row r="2553" spans="8:9" x14ac:dyDescent="0.2">
      <c r="H2553" s="301"/>
      <c r="I2553" s="302"/>
    </row>
    <row r="2554" spans="8:9" x14ac:dyDescent="0.2">
      <c r="H2554" s="301"/>
      <c r="I2554" s="302"/>
    </row>
    <row r="2555" spans="8:9" x14ac:dyDescent="0.2">
      <c r="H2555" s="301"/>
      <c r="I2555" s="302"/>
    </row>
    <row r="2556" spans="8:9" x14ac:dyDescent="0.2">
      <c r="H2556" s="301"/>
      <c r="I2556" s="302"/>
    </row>
  </sheetData>
  <mergeCells count="9">
    <mergeCell ref="B46:D46"/>
    <mergeCell ref="B56:D56"/>
    <mergeCell ref="B24:D24"/>
    <mergeCell ref="B5:D5"/>
    <mergeCell ref="L15:N15"/>
    <mergeCell ref="B36:D36"/>
    <mergeCell ref="B14:D14"/>
    <mergeCell ref="H15:J15"/>
    <mergeCell ref="B41:D41"/>
  </mergeCells>
  <pageMargins left="0.7" right="0.7" top="0.75" bottom="0.75" header="0.3" footer="0.3"/>
  <pageSetup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89B0E-4A2D-CF4B-A6ED-585338620CB1}">
  <dimension ref="C5:E16"/>
  <sheetViews>
    <sheetView showGridLines="0" zoomScale="129" workbookViewId="0">
      <selection activeCell="C5" sqref="C5"/>
    </sheetView>
  </sheetViews>
  <sheetFormatPr baseColWidth="10" defaultRowHeight="14" x14ac:dyDescent="0.15"/>
  <cols>
    <col min="1" max="2" width="10.83203125" style="2"/>
    <col min="3" max="3" width="30.6640625" style="2" customWidth="1"/>
    <col min="4" max="4" width="22.6640625" style="2" customWidth="1"/>
    <col min="5" max="16384" width="10.83203125" style="2"/>
  </cols>
  <sheetData>
    <row r="5" spans="3:5" x14ac:dyDescent="0.15">
      <c r="C5" s="351" t="s">
        <v>248</v>
      </c>
      <c r="D5" s="303">
        <f>Ke_COP_Nominal</f>
        <v>0.16842542221127488</v>
      </c>
    </row>
    <row r="6" spans="3:5" x14ac:dyDescent="0.15">
      <c r="C6" s="351" t="s">
        <v>251</v>
      </c>
      <c r="D6" s="2">
        <v>5</v>
      </c>
      <c r="E6" s="2" t="s">
        <v>187</v>
      </c>
    </row>
    <row r="8" spans="3:5" x14ac:dyDescent="0.15">
      <c r="C8" s="350" t="s">
        <v>249</v>
      </c>
      <c r="D8" s="350" t="s">
        <v>250</v>
      </c>
    </row>
    <row r="9" spans="3:5" x14ac:dyDescent="0.15">
      <c r="C9" s="352">
        <v>0.25</v>
      </c>
      <c r="D9" s="353">
        <f t="shared" ref="D9:D16" si="0">(1+Costo_de_Capital_WACC)/(C9^(1/T))-1</f>
        <v>0.54174658775593598</v>
      </c>
    </row>
    <row r="10" spans="3:5" x14ac:dyDescent="0.15">
      <c r="C10" s="352">
        <v>0.37</v>
      </c>
      <c r="D10" s="353">
        <f t="shared" si="0"/>
        <v>0.42547843909545469</v>
      </c>
    </row>
    <row r="11" spans="3:5" x14ac:dyDescent="0.15">
      <c r="C11" s="352">
        <v>0.47</v>
      </c>
      <c r="D11" s="353">
        <f t="shared" si="0"/>
        <v>0.35888099910494997</v>
      </c>
    </row>
    <row r="12" spans="3:5" x14ac:dyDescent="0.15">
      <c r="C12" s="352">
        <v>0.56999999999999995</v>
      </c>
      <c r="D12" s="353">
        <f t="shared" si="0"/>
        <v>0.30745282116363981</v>
      </c>
    </row>
    <row r="13" spans="3:5" x14ac:dyDescent="0.15">
      <c r="C13" s="352">
        <v>0.67</v>
      </c>
      <c r="D13" s="353">
        <f t="shared" si="0"/>
        <v>0.26586105024105566</v>
      </c>
    </row>
    <row r="14" spans="3:5" x14ac:dyDescent="0.15">
      <c r="C14" s="352">
        <v>0.77</v>
      </c>
      <c r="D14" s="353">
        <f t="shared" si="0"/>
        <v>0.23112699042827489</v>
      </c>
    </row>
    <row r="15" spans="3:5" x14ac:dyDescent="0.15">
      <c r="C15" s="352">
        <v>0.87</v>
      </c>
      <c r="D15" s="353">
        <f t="shared" si="0"/>
        <v>0.20142633433740942</v>
      </c>
    </row>
    <row r="16" spans="3:5" x14ac:dyDescent="0.15">
      <c r="C16" s="352">
        <v>0.97</v>
      </c>
      <c r="D16" s="353">
        <f t="shared" si="0"/>
        <v>0.17556500922111584</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BDB54-F30B-A54C-A1D4-B41C97D37542}">
  <dimension ref="E6:AB63"/>
  <sheetViews>
    <sheetView showGridLines="0" topLeftCell="E12" zoomScale="115" zoomScaleNormal="100" workbookViewId="0">
      <selection activeCell="K34" sqref="K34"/>
    </sheetView>
  </sheetViews>
  <sheetFormatPr baseColWidth="10" defaultRowHeight="14" x14ac:dyDescent="0.15"/>
  <cols>
    <col min="1" max="4" width="10.83203125" style="2"/>
    <col min="5" max="5" width="33.5" style="2" bestFit="1" customWidth="1"/>
    <col min="6" max="6" width="18.33203125" style="2" bestFit="1" customWidth="1"/>
    <col min="7" max="7" width="18.5" style="2" bestFit="1" customWidth="1"/>
    <col min="8" max="8" width="15.33203125" style="2" bestFit="1" customWidth="1"/>
    <col min="9" max="9" width="13.33203125" style="2" bestFit="1" customWidth="1"/>
    <col min="10" max="10" width="15" style="2" bestFit="1" customWidth="1"/>
    <col min="11" max="16" width="19.6640625" style="2" customWidth="1"/>
    <col min="17" max="18" width="10.83203125" style="2"/>
    <col min="19" max="19" width="12.1640625" style="2" bestFit="1" customWidth="1"/>
    <col min="20" max="28" width="15.5" style="2" customWidth="1"/>
    <col min="29" max="16384" width="10.83203125" style="2"/>
  </cols>
  <sheetData>
    <row r="6" spans="6:16" ht="16" x14ac:dyDescent="0.15">
      <c r="P6" s="1"/>
    </row>
    <row r="7" spans="6:16" ht="16" x14ac:dyDescent="0.15">
      <c r="F7" s="63"/>
      <c r="G7" s="63"/>
      <c r="H7" s="63"/>
      <c r="I7" s="304"/>
      <c r="P7" s="1"/>
    </row>
    <row r="8" spans="6:16" ht="16" x14ac:dyDescent="0.15">
      <c r="F8" s="63"/>
      <c r="G8" s="63"/>
      <c r="H8" s="63"/>
      <c r="I8" s="304"/>
      <c r="P8" s="1"/>
    </row>
    <row r="9" spans="6:16" ht="16" x14ac:dyDescent="0.15">
      <c r="F9" s="63"/>
      <c r="G9" s="63"/>
      <c r="H9" s="63"/>
      <c r="I9" s="304"/>
      <c r="P9" s="1"/>
    </row>
    <row r="10" spans="6:16" ht="16" x14ac:dyDescent="0.15">
      <c r="F10" s="63"/>
      <c r="G10" s="63"/>
      <c r="H10" s="63"/>
      <c r="I10" s="304"/>
      <c r="P10" s="1"/>
    </row>
    <row r="11" spans="6:16" ht="16" x14ac:dyDescent="0.15">
      <c r="F11" s="63"/>
      <c r="G11" s="63"/>
      <c r="H11" s="63"/>
      <c r="I11" s="304"/>
      <c r="P11" s="1"/>
    </row>
    <row r="12" spans="6:16" ht="16" x14ac:dyDescent="0.15">
      <c r="F12" s="63"/>
      <c r="G12" s="63"/>
      <c r="H12" s="63"/>
      <c r="I12" s="304"/>
      <c r="P12" s="1"/>
    </row>
    <row r="13" spans="6:16" ht="16" x14ac:dyDescent="0.15">
      <c r="P13" s="1"/>
    </row>
    <row r="14" spans="6:16" ht="16" x14ac:dyDescent="0.15">
      <c r="P14" s="1"/>
    </row>
    <row r="15" spans="6:16" ht="16" x14ac:dyDescent="0.15">
      <c r="F15" s="425"/>
      <c r="G15" s="425"/>
      <c r="H15" s="425"/>
      <c r="I15" s="425"/>
      <c r="P15" s="1"/>
    </row>
    <row r="16" spans="6:16" ht="16" x14ac:dyDescent="0.15">
      <c r="P16" s="1"/>
    </row>
    <row r="17" spans="5:28" ht="16" x14ac:dyDescent="0.15">
      <c r="E17" s="78" t="s">
        <v>38</v>
      </c>
      <c r="F17" s="354">
        <v>0.14399999999999999</v>
      </c>
      <c r="G17" s="3"/>
      <c r="H17" s="3"/>
      <c r="P17" s="1"/>
    </row>
    <row r="18" spans="5:28" x14ac:dyDescent="0.15">
      <c r="E18" s="81" t="s">
        <v>40</v>
      </c>
      <c r="F18" s="83">
        <v>22400000</v>
      </c>
      <c r="G18" s="63"/>
      <c r="H18" s="63"/>
      <c r="K18" s="426" t="s">
        <v>67</v>
      </c>
      <c r="L18" s="426"/>
      <c r="M18" s="426"/>
      <c r="N18" s="426"/>
      <c r="O18" s="426"/>
      <c r="P18" s="426"/>
    </row>
    <row r="19" spans="5:28" x14ac:dyDescent="0.15">
      <c r="E19" s="78" t="s">
        <v>41</v>
      </c>
      <c r="F19" s="354">
        <v>2.418154761904763E-2</v>
      </c>
      <c r="G19" s="67"/>
      <c r="H19" s="67"/>
      <c r="J19" s="17">
        <f>F29</f>
        <v>1565835263.9999998</v>
      </c>
      <c r="K19" s="67">
        <v>0.02</v>
      </c>
      <c r="L19" s="67">
        <v>2.1499999999999998E-2</v>
      </c>
      <c r="M19" s="67">
        <v>2.2499999999999999E-2</v>
      </c>
      <c r="N19" s="67">
        <v>2.35E-2</v>
      </c>
      <c r="O19" s="305">
        <v>2.4500000000000001E-2</v>
      </c>
      <c r="P19" s="67">
        <v>2.5499999999999998E-2</v>
      </c>
    </row>
    <row r="20" spans="5:28" x14ac:dyDescent="0.15">
      <c r="E20" s="78" t="s">
        <v>42</v>
      </c>
      <c r="F20" s="354">
        <v>5.0187027692307672E-2</v>
      </c>
      <c r="G20" s="3"/>
      <c r="H20" s="3"/>
      <c r="I20" s="427" t="s">
        <v>68</v>
      </c>
      <c r="J20" s="67">
        <v>4.8000000000000001E-2</v>
      </c>
      <c r="K20" s="63">
        <f t="dataTable" ref="K20:P25" dt2D="1" dtr="1" r1="F19" r2="F20"/>
        <v>1238630399.9999998</v>
      </c>
      <c r="L20" s="63">
        <v>1331527679.9999995</v>
      </c>
      <c r="M20" s="63">
        <v>1393459199.9999998</v>
      </c>
      <c r="N20" s="63">
        <v>1455390719.9999998</v>
      </c>
      <c r="O20" s="63">
        <v>1517322239.9999998</v>
      </c>
      <c r="P20" s="63">
        <v>1579253759.9999995</v>
      </c>
    </row>
    <row r="21" spans="5:28" x14ac:dyDescent="0.15">
      <c r="E21" s="78"/>
      <c r="F21" s="83"/>
      <c r="I21" s="427"/>
      <c r="J21" s="305">
        <v>4.9500000000000002E-2</v>
      </c>
      <c r="K21" s="63">
        <v>1277337599.9999998</v>
      </c>
      <c r="L21" s="63">
        <v>1373137919.9999995</v>
      </c>
      <c r="M21" s="63">
        <v>1437004799.9999998</v>
      </c>
      <c r="N21" s="63">
        <v>1500871679.9999998</v>
      </c>
      <c r="O21" s="306">
        <v>1564738559.9999998</v>
      </c>
      <c r="P21" s="63">
        <v>1628605439.9999998</v>
      </c>
    </row>
    <row r="22" spans="5:28" x14ac:dyDescent="0.15">
      <c r="E22" s="78" t="s">
        <v>47</v>
      </c>
      <c r="F22" s="355">
        <v>20000000</v>
      </c>
      <c r="I22" s="427"/>
      <c r="J22" s="67">
        <v>0.05</v>
      </c>
      <c r="K22" s="63">
        <v>1290239999.9999998</v>
      </c>
      <c r="L22" s="63">
        <v>1387007999.9999998</v>
      </c>
      <c r="M22" s="63">
        <v>1451519999.9999998</v>
      </c>
      <c r="N22" s="63">
        <v>1516031999.9999998</v>
      </c>
      <c r="O22" s="63">
        <v>1580543999.9999998</v>
      </c>
      <c r="P22" s="63">
        <v>1645055999.9999998</v>
      </c>
    </row>
    <row r="23" spans="5:28" x14ac:dyDescent="0.15">
      <c r="E23" s="78" t="s">
        <v>49</v>
      </c>
      <c r="F23" s="355">
        <f>F22*F19</f>
        <v>483630.9523809526</v>
      </c>
      <c r="I23" s="427"/>
      <c r="J23" s="67">
        <v>5.0500000000000003E-2</v>
      </c>
      <c r="K23" s="63">
        <v>1303142399.9999998</v>
      </c>
      <c r="L23" s="63">
        <v>1400878079.9999998</v>
      </c>
      <c r="M23" s="63">
        <v>1466035199.9999998</v>
      </c>
      <c r="N23" s="63">
        <v>1531192319.9999998</v>
      </c>
      <c r="O23" s="63">
        <v>1596349439.9999998</v>
      </c>
      <c r="P23" s="63">
        <v>1661506559.9999998</v>
      </c>
    </row>
    <row r="24" spans="5:28" x14ac:dyDescent="0.15">
      <c r="E24" s="78" t="s">
        <v>48</v>
      </c>
      <c r="F24" s="355">
        <f>F23*F20</f>
        <v>24272</v>
      </c>
      <c r="I24" s="427"/>
      <c r="J24" s="67">
        <v>5.0999999999999997E-2</v>
      </c>
      <c r="K24" s="63">
        <v>1316044799.9999998</v>
      </c>
      <c r="L24" s="63">
        <v>1414748159.9999995</v>
      </c>
      <c r="M24" s="63">
        <v>1480550399.9999998</v>
      </c>
      <c r="N24" s="63">
        <v>1546352639.9999998</v>
      </c>
      <c r="O24" s="63">
        <v>1612154879.9999998</v>
      </c>
      <c r="P24" s="63">
        <v>1677957119.9999995</v>
      </c>
    </row>
    <row r="25" spans="5:28" x14ac:dyDescent="0.15">
      <c r="E25" s="78" t="s">
        <v>74</v>
      </c>
      <c r="F25" s="352">
        <v>0.04</v>
      </c>
      <c r="I25" s="427"/>
      <c r="J25" s="67">
        <v>5.1200000000000002E-2</v>
      </c>
      <c r="K25" s="63">
        <v>1321205759.9999998</v>
      </c>
      <c r="L25" s="63">
        <v>1420296191.9999995</v>
      </c>
      <c r="M25" s="63">
        <v>1486356479.9999998</v>
      </c>
      <c r="N25" s="63">
        <v>1552416767.9999998</v>
      </c>
      <c r="O25" s="63">
        <v>1618477055.9999998</v>
      </c>
      <c r="P25" s="63">
        <v>1684537343.9999998</v>
      </c>
    </row>
    <row r="26" spans="5:28" x14ac:dyDescent="0.15">
      <c r="E26" s="78" t="s">
        <v>51</v>
      </c>
      <c r="F26" s="356">
        <f>F18*F25</f>
        <v>896000</v>
      </c>
      <c r="G26" s="62"/>
    </row>
    <row r="27" spans="5:28" x14ac:dyDescent="0.15">
      <c r="E27" s="78" t="s">
        <v>52</v>
      </c>
      <c r="F27" s="356">
        <f>F26*F17</f>
        <v>129023.99999999999</v>
      </c>
      <c r="J27" s="359" t="s">
        <v>38</v>
      </c>
      <c r="K27" s="359" t="s">
        <v>560</v>
      </c>
      <c r="S27" s="17"/>
      <c r="T27" s="308"/>
      <c r="U27" s="308"/>
      <c r="V27" s="308"/>
      <c r="W27" s="308"/>
      <c r="X27" s="308"/>
      <c r="Y27" s="308"/>
      <c r="Z27" s="308"/>
      <c r="AA27" s="308"/>
      <c r="AB27" s="308"/>
    </row>
    <row r="28" spans="5:28" x14ac:dyDescent="0.15">
      <c r="E28" s="78" t="s">
        <v>53</v>
      </c>
      <c r="F28" s="356">
        <f>F27*F24</f>
        <v>3131670527.9999995</v>
      </c>
      <c r="K28" s="307">
        <f>G41</f>
        <v>12136.142139103347</v>
      </c>
      <c r="S28" s="9"/>
    </row>
    <row r="29" spans="5:28" x14ac:dyDescent="0.15">
      <c r="E29" s="78" t="s">
        <v>54</v>
      </c>
      <c r="F29" s="84">
        <f>F28/2</f>
        <v>1565835263.9999998</v>
      </c>
      <c r="J29" s="9">
        <v>0.14399999999999999</v>
      </c>
      <c r="K29" s="61">
        <f t="dataTable" ref="K29:K34" dt2D="0" dtr="0" r1="F17"/>
        <v>12136.142139103347</v>
      </c>
      <c r="S29" s="67"/>
    </row>
    <row r="30" spans="5:28" x14ac:dyDescent="0.15">
      <c r="E30" s="78" t="s">
        <v>55</v>
      </c>
      <c r="F30" s="356">
        <f>'Costos y Gastos Fijos'!E28*3</f>
        <v>1063214596.6784997</v>
      </c>
      <c r="J30" s="67">
        <v>0.15</v>
      </c>
      <c r="K30" s="61">
        <v>11650.696453539211</v>
      </c>
      <c r="S30" s="67"/>
    </row>
    <row r="31" spans="5:28" x14ac:dyDescent="0.15">
      <c r="E31" s="78" t="s">
        <v>56</v>
      </c>
      <c r="F31" s="356">
        <f>F29-F30</f>
        <v>502620667.32150006</v>
      </c>
      <c r="J31" s="67">
        <v>0.16</v>
      </c>
      <c r="K31" s="61">
        <v>10922.52792519301</v>
      </c>
      <c r="S31" s="67"/>
    </row>
    <row r="32" spans="5:28" x14ac:dyDescent="0.15">
      <c r="E32" s="78" t="s">
        <v>60</v>
      </c>
      <c r="F32" s="357">
        <f>F29/F27</f>
        <v>12136</v>
      </c>
      <c r="J32" s="67">
        <v>0.17</v>
      </c>
      <c r="K32" s="61">
        <v>10280.026282534598</v>
      </c>
      <c r="S32" s="67"/>
    </row>
    <row r="33" spans="5:19" x14ac:dyDescent="0.15">
      <c r="E33" s="78" t="s">
        <v>61</v>
      </c>
      <c r="F33" s="84">
        <f>F27*3%</f>
        <v>3870.7199999999993</v>
      </c>
      <c r="J33" s="67">
        <v>0.18</v>
      </c>
      <c r="K33" s="61">
        <v>9708.9137112826756</v>
      </c>
      <c r="S33" s="67"/>
    </row>
    <row r="34" spans="5:19" x14ac:dyDescent="0.15">
      <c r="E34" s="78" t="s">
        <v>62</v>
      </c>
      <c r="F34" s="84">
        <f>F33*F32</f>
        <v>46975057.919999994</v>
      </c>
      <c r="J34" s="67">
        <v>0.2</v>
      </c>
      <c r="K34" s="61">
        <v>8738.0223401544081</v>
      </c>
    </row>
    <row r="35" spans="5:19" x14ac:dyDescent="0.15">
      <c r="E35" s="78" t="s">
        <v>78</v>
      </c>
      <c r="F35" s="358">
        <v>1E-4</v>
      </c>
      <c r="J35" s="67"/>
    </row>
    <row r="36" spans="5:19" x14ac:dyDescent="0.15">
      <c r="E36" s="78" t="s">
        <v>79</v>
      </c>
      <c r="F36" s="356">
        <f>(F32*F35)*F33</f>
        <v>4697.505791999999</v>
      </c>
    </row>
    <row r="38" spans="5:19" x14ac:dyDescent="0.15">
      <c r="E38" s="426" t="s">
        <v>57</v>
      </c>
      <c r="F38" s="426"/>
      <c r="G38" s="426"/>
    </row>
    <row r="39" spans="5:19" x14ac:dyDescent="0.15">
      <c r="F39" s="2" t="s">
        <v>58</v>
      </c>
      <c r="G39" s="17">
        <f>'Costos y Gastos Fijos'!E20</f>
        <v>1518877995.2549999</v>
      </c>
    </row>
    <row r="40" spans="5:19" x14ac:dyDescent="0.15">
      <c r="F40" s="2" t="s">
        <v>59</v>
      </c>
      <c r="G40" s="62">
        <f>F27</f>
        <v>129023.99999999999</v>
      </c>
    </row>
    <row r="41" spans="5:19" x14ac:dyDescent="0.15">
      <c r="F41" s="2" t="s">
        <v>57</v>
      </c>
      <c r="G41" s="307">
        <f>G39/(G40-F33)</f>
        <v>12136.142139103347</v>
      </c>
    </row>
    <row r="43" spans="5:19" x14ac:dyDescent="0.15">
      <c r="G43" s="17">
        <f>F29-G39</f>
        <v>46957268.744999886</v>
      </c>
    </row>
    <row r="47" spans="5:19" x14ac:dyDescent="0.15">
      <c r="E47" s="309" t="s">
        <v>76</v>
      </c>
      <c r="F47" s="310">
        <v>22400000</v>
      </c>
      <c r="G47" s="310"/>
      <c r="H47" s="310"/>
      <c r="I47" s="310"/>
      <c r="J47" s="309"/>
    </row>
    <row r="48" spans="5:19" x14ac:dyDescent="0.15">
      <c r="E48" s="309" t="s">
        <v>38</v>
      </c>
      <c r="F48" s="311">
        <v>0.14399999999999999</v>
      </c>
      <c r="G48" s="312"/>
      <c r="H48" s="313"/>
      <c r="I48" s="309"/>
      <c r="J48" s="309"/>
    </row>
    <row r="49" spans="5:11" x14ac:dyDescent="0.15">
      <c r="E49" s="309" t="s">
        <v>74</v>
      </c>
      <c r="F49" s="314">
        <v>0.04</v>
      </c>
      <c r="G49" s="312"/>
      <c r="H49" s="313"/>
      <c r="I49" s="309"/>
      <c r="J49" s="309"/>
    </row>
    <row r="50" spans="5:11" x14ac:dyDescent="0.15">
      <c r="E50" s="309" t="s">
        <v>77</v>
      </c>
      <c r="F50" s="312">
        <f>'Costos y Gastos Fijos'!E18</f>
        <v>168764221.69499999</v>
      </c>
      <c r="G50" s="312">
        <f>F50*9</f>
        <v>1518877995.2549999</v>
      </c>
      <c r="H50" s="309"/>
      <c r="I50" s="309"/>
      <c r="J50" s="309"/>
    </row>
    <row r="51" spans="5:11" x14ac:dyDescent="0.15">
      <c r="E51" s="309" t="s">
        <v>80</v>
      </c>
      <c r="F51" s="309"/>
      <c r="G51" s="309"/>
      <c r="H51" s="309"/>
      <c r="I51" s="309"/>
      <c r="J51" s="309"/>
    </row>
    <row r="53" spans="5:11" ht="30" x14ac:dyDescent="0.15">
      <c r="E53" s="360" t="s">
        <v>69</v>
      </c>
      <c r="F53" s="361" t="s">
        <v>70</v>
      </c>
      <c r="G53" s="362" t="s">
        <v>71</v>
      </c>
      <c r="H53" s="361" t="s">
        <v>72</v>
      </c>
      <c r="I53" s="361" t="s">
        <v>73</v>
      </c>
      <c r="J53" s="361" t="s">
        <v>78</v>
      </c>
      <c r="K53" s="362" t="s">
        <v>75</v>
      </c>
    </row>
    <row r="54" spans="5:11" x14ac:dyDescent="0.15">
      <c r="E54" s="363">
        <v>1</v>
      </c>
      <c r="F54" s="364">
        <v>0</v>
      </c>
      <c r="G54" s="365">
        <v>0</v>
      </c>
      <c r="H54" s="366">
        <f t="shared" ref="H54:H62" si="0">G54*(($F$47*F$49)*$F$48)</f>
        <v>0</v>
      </c>
      <c r="I54" s="367">
        <f>H54*3%</f>
        <v>0</v>
      </c>
      <c r="J54" s="368"/>
      <c r="K54" s="367">
        <f t="shared" ref="K54:K62" si="1">IF($F$50-H54+I54&lt;0,0,$F$50-H54+I54)</f>
        <v>168764221.69499999</v>
      </c>
    </row>
    <row r="55" spans="5:11" x14ac:dyDescent="0.15">
      <c r="E55" s="363">
        <v>2</v>
      </c>
      <c r="F55" s="364">
        <v>0</v>
      </c>
      <c r="G55" s="365">
        <f>G54*(1+F55)</f>
        <v>0</v>
      </c>
      <c r="H55" s="366">
        <f t="shared" si="0"/>
        <v>0</v>
      </c>
      <c r="I55" s="367">
        <f t="shared" ref="I55:I62" si="2">H55*3%</f>
        <v>0</v>
      </c>
      <c r="J55" s="368"/>
      <c r="K55" s="367">
        <f t="shared" si="1"/>
        <v>168764221.69499999</v>
      </c>
    </row>
    <row r="56" spans="5:11" x14ac:dyDescent="0.15">
      <c r="E56" s="363">
        <v>3</v>
      </c>
      <c r="F56" s="364">
        <v>0</v>
      </c>
      <c r="G56" s="365">
        <f t="shared" ref="G56:G62" si="3">G55*(1+F56)</f>
        <v>0</v>
      </c>
      <c r="H56" s="366">
        <f t="shared" si="0"/>
        <v>0</v>
      </c>
      <c r="I56" s="367">
        <f t="shared" si="2"/>
        <v>0</v>
      </c>
      <c r="J56" s="368"/>
      <c r="K56" s="367">
        <f t="shared" si="1"/>
        <v>168764221.69499999</v>
      </c>
    </row>
    <row r="57" spans="5:11" x14ac:dyDescent="0.15">
      <c r="E57" s="363">
        <v>4</v>
      </c>
      <c r="F57" s="364">
        <v>0</v>
      </c>
      <c r="G57" s="365">
        <v>10</v>
      </c>
      <c r="H57" s="366">
        <f t="shared" si="0"/>
        <v>1290239.9999999998</v>
      </c>
      <c r="I57" s="367">
        <f t="shared" si="2"/>
        <v>38707.19999999999</v>
      </c>
      <c r="J57" s="368"/>
      <c r="K57" s="367">
        <f t="shared" si="1"/>
        <v>167512688.89499998</v>
      </c>
    </row>
    <row r="58" spans="5:11" x14ac:dyDescent="0.15">
      <c r="E58" s="363">
        <v>5</v>
      </c>
      <c r="F58" s="364">
        <v>0.5</v>
      </c>
      <c r="G58" s="365">
        <f t="shared" si="3"/>
        <v>15</v>
      </c>
      <c r="H58" s="366">
        <f t="shared" si="0"/>
        <v>1935359.9999999998</v>
      </c>
      <c r="I58" s="367">
        <f t="shared" si="2"/>
        <v>58060.799999999988</v>
      </c>
      <c r="J58" s="368"/>
      <c r="K58" s="367">
        <f t="shared" si="1"/>
        <v>166886922.495</v>
      </c>
    </row>
    <row r="59" spans="5:11" x14ac:dyDescent="0.15">
      <c r="E59" s="363">
        <v>6</v>
      </c>
      <c r="F59" s="364">
        <v>1</v>
      </c>
      <c r="G59" s="365">
        <f t="shared" si="3"/>
        <v>30</v>
      </c>
      <c r="H59" s="366">
        <f t="shared" si="0"/>
        <v>3870719.9999999995</v>
      </c>
      <c r="I59" s="367">
        <f t="shared" si="2"/>
        <v>116121.59999999998</v>
      </c>
      <c r="J59" s="368"/>
      <c r="K59" s="367">
        <f t="shared" si="1"/>
        <v>165009623.29499999</v>
      </c>
    </row>
    <row r="60" spans="5:11" x14ac:dyDescent="0.15">
      <c r="E60" s="363">
        <v>7</v>
      </c>
      <c r="F60" s="364">
        <v>6.02</v>
      </c>
      <c r="G60" s="365">
        <f t="shared" si="3"/>
        <v>210.6</v>
      </c>
      <c r="H60" s="366">
        <f t="shared" si="0"/>
        <v>27172454.399999995</v>
      </c>
      <c r="I60" s="367">
        <f t="shared" si="2"/>
        <v>815173.63199999987</v>
      </c>
      <c r="J60" s="368"/>
      <c r="K60" s="367">
        <f t="shared" si="1"/>
        <v>142406940.92699999</v>
      </c>
    </row>
    <row r="61" spans="5:11" x14ac:dyDescent="0.15">
      <c r="E61" s="363">
        <v>8</v>
      </c>
      <c r="F61" s="364">
        <v>6.02</v>
      </c>
      <c r="G61" s="365">
        <f t="shared" si="3"/>
        <v>1478.4119999999998</v>
      </c>
      <c r="H61" s="366">
        <f t="shared" si="0"/>
        <v>190750629.88799995</v>
      </c>
      <c r="I61" s="367">
        <f t="shared" si="2"/>
        <v>5722518.8966399981</v>
      </c>
      <c r="J61" s="368"/>
      <c r="K61" s="367">
        <f t="shared" si="1"/>
        <v>0</v>
      </c>
    </row>
    <row r="62" spans="5:11" x14ac:dyDescent="0.15">
      <c r="E62" s="363">
        <v>9</v>
      </c>
      <c r="F62" s="364">
        <v>6.0291556075031876</v>
      </c>
      <c r="G62" s="365">
        <f t="shared" si="3"/>
        <v>10391.988000000001</v>
      </c>
      <c r="H62" s="366">
        <f t="shared" si="0"/>
        <v>1340815859.7119999</v>
      </c>
      <c r="I62" s="367">
        <f t="shared" si="2"/>
        <v>40224475.791359998</v>
      </c>
      <c r="J62" s="368"/>
      <c r="K62" s="367">
        <f t="shared" si="1"/>
        <v>0</v>
      </c>
    </row>
    <row r="63" spans="5:11" x14ac:dyDescent="0.15">
      <c r="E63" s="369"/>
      <c r="F63" s="369"/>
      <c r="G63" s="370">
        <f>SUM(G54:G62)</f>
        <v>12136</v>
      </c>
      <c r="H63" s="371">
        <f>SUM(H54:H62)</f>
        <v>1565835263.9999998</v>
      </c>
      <c r="I63" s="372">
        <f>SUM(I54:I62)</f>
        <v>46975057.919999994</v>
      </c>
      <c r="J63" s="372"/>
      <c r="K63" s="373"/>
    </row>
  </sheetData>
  <mergeCells count="4">
    <mergeCell ref="F15:I15"/>
    <mergeCell ref="K18:P18"/>
    <mergeCell ref="I20:I25"/>
    <mergeCell ref="E38:G3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5EECC-6BC8-6B47-9AA5-E808BA9D8680}">
  <dimension ref="E5:P54"/>
  <sheetViews>
    <sheetView showGridLines="0" topLeftCell="L37" zoomScale="150" workbookViewId="0">
      <selection activeCell="P5" sqref="P5"/>
    </sheetView>
  </sheetViews>
  <sheetFormatPr baseColWidth="10" defaultRowHeight="14" x14ac:dyDescent="0.15"/>
  <cols>
    <col min="1" max="4" width="10.83203125" style="2"/>
    <col min="5" max="5" width="33.5" style="2" bestFit="1" customWidth="1"/>
    <col min="6" max="6" width="20.5" style="2" customWidth="1"/>
    <col min="7" max="7" width="18.5" style="2" bestFit="1" customWidth="1"/>
    <col min="8" max="8" width="21" style="2" bestFit="1" customWidth="1"/>
    <col min="9" max="9" width="12.5" style="2" bestFit="1" customWidth="1"/>
    <col min="10" max="10" width="10.83203125" style="2"/>
    <col min="11" max="11" width="29" style="2" bestFit="1" customWidth="1"/>
    <col min="12" max="15" width="10.83203125" style="2"/>
    <col min="16" max="16" width="90.33203125" style="2" customWidth="1"/>
    <col min="17" max="16384" width="10.83203125" style="2"/>
  </cols>
  <sheetData>
    <row r="5" spans="6:16" ht="16" x14ac:dyDescent="0.2">
      <c r="P5" s="336" t="s">
        <v>218</v>
      </c>
    </row>
    <row r="6" spans="6:16" ht="17" x14ac:dyDescent="0.15">
      <c r="P6" s="1" t="s">
        <v>22</v>
      </c>
    </row>
    <row r="7" spans="6:16" ht="17" x14ac:dyDescent="0.15">
      <c r="F7" s="63"/>
      <c r="G7" s="63"/>
      <c r="H7" s="63"/>
      <c r="I7" s="304"/>
      <c r="P7" s="1" t="s">
        <v>23</v>
      </c>
    </row>
    <row r="8" spans="6:16" ht="17" x14ac:dyDescent="0.15">
      <c r="F8" s="63"/>
      <c r="G8" s="63"/>
      <c r="H8" s="63"/>
      <c r="I8" s="304"/>
      <c r="P8" s="1" t="s">
        <v>24</v>
      </c>
    </row>
    <row r="9" spans="6:16" ht="17" x14ac:dyDescent="0.15">
      <c r="F9" s="63"/>
      <c r="G9" s="63"/>
      <c r="H9" s="63"/>
      <c r="I9" s="304"/>
      <c r="P9" s="1" t="s">
        <v>25</v>
      </c>
    </row>
    <row r="10" spans="6:16" ht="17" x14ac:dyDescent="0.15">
      <c r="F10" s="63"/>
      <c r="G10" s="63"/>
      <c r="H10" s="63"/>
      <c r="I10" s="304"/>
      <c r="P10" s="1" t="s">
        <v>26</v>
      </c>
    </row>
    <row r="11" spans="6:16" ht="34" x14ac:dyDescent="0.15">
      <c r="F11" s="63"/>
      <c r="G11" s="63"/>
      <c r="H11" s="63"/>
      <c r="I11" s="304"/>
      <c r="P11" s="1" t="s">
        <v>27</v>
      </c>
    </row>
    <row r="12" spans="6:16" ht="17" x14ac:dyDescent="0.15">
      <c r="F12" s="63"/>
      <c r="G12" s="63"/>
      <c r="H12" s="63"/>
      <c r="I12" s="304"/>
      <c r="P12" s="1" t="s">
        <v>28</v>
      </c>
    </row>
    <row r="13" spans="6:16" ht="17" x14ac:dyDescent="0.15">
      <c r="P13" s="1" t="s">
        <v>29</v>
      </c>
    </row>
    <row r="14" spans="6:16" ht="17" x14ac:dyDescent="0.15">
      <c r="P14" s="1" t="s">
        <v>30</v>
      </c>
    </row>
    <row r="15" spans="6:16" ht="17" x14ac:dyDescent="0.15">
      <c r="F15" s="428" t="s">
        <v>39</v>
      </c>
      <c r="G15" s="428"/>
      <c r="H15" s="428"/>
      <c r="I15" s="428"/>
      <c r="P15" s="1" t="s">
        <v>31</v>
      </c>
    </row>
    <row r="16" spans="6:16" ht="17" x14ac:dyDescent="0.15">
      <c r="F16" s="359" t="s">
        <v>43</v>
      </c>
      <c r="G16" s="359" t="s">
        <v>44</v>
      </c>
      <c r="H16" s="359" t="s">
        <v>45</v>
      </c>
      <c r="I16" s="359" t="s">
        <v>46</v>
      </c>
      <c r="P16" s="1" t="s">
        <v>32</v>
      </c>
    </row>
    <row r="17" spans="5:16" ht="34" x14ac:dyDescent="0.15">
      <c r="E17" s="2" t="s">
        <v>38</v>
      </c>
      <c r="F17" s="4">
        <v>0.14399999999999999</v>
      </c>
      <c r="G17" s="3">
        <v>0.11</v>
      </c>
      <c r="H17" s="3">
        <v>7.0000000000000007E-2</v>
      </c>
      <c r="I17" s="9">
        <f>(F17+(4*G17)+H17)/6</f>
        <v>0.10899999999999999</v>
      </c>
      <c r="K17" s="359" t="s">
        <v>561</v>
      </c>
      <c r="P17" s="1" t="s">
        <v>33</v>
      </c>
    </row>
    <row r="18" spans="5:16" ht="17" x14ac:dyDescent="0.15">
      <c r="E18" s="2" t="s">
        <v>40</v>
      </c>
      <c r="F18" s="63">
        <f>2500000*12</f>
        <v>30000000</v>
      </c>
      <c r="G18" s="63">
        <f>1800000*12</f>
        <v>21600000</v>
      </c>
      <c r="H18" s="63">
        <f>1500000*12</f>
        <v>18000000</v>
      </c>
      <c r="I18" s="63">
        <f>(F18+(4*G18)+H18)/6</f>
        <v>22400000</v>
      </c>
      <c r="K18" s="17">
        <f>I18/12</f>
        <v>1866666.6666666667</v>
      </c>
      <c r="P18" s="1" t="s">
        <v>34</v>
      </c>
    </row>
    <row r="19" spans="5:16" ht="17" x14ac:dyDescent="0.15">
      <c r="E19" s="2" t="s">
        <v>41</v>
      </c>
      <c r="F19" s="67">
        <v>0.03</v>
      </c>
      <c r="G19" s="67">
        <v>0.02</v>
      </c>
      <c r="H19" s="67">
        <v>5.0000000000000001E-3</v>
      </c>
      <c r="I19" s="9">
        <f>(F19+(4*G19)+H19)/6</f>
        <v>1.9166666666666669E-2</v>
      </c>
      <c r="P19" s="1" t="s">
        <v>35</v>
      </c>
    </row>
    <row r="20" spans="5:16" ht="17" x14ac:dyDescent="0.15">
      <c r="E20" s="2" t="s">
        <v>42</v>
      </c>
      <c r="F20" s="3">
        <v>0.05</v>
      </c>
      <c r="G20" s="3">
        <v>0.03</v>
      </c>
      <c r="H20" s="3">
        <v>0.01</v>
      </c>
      <c r="I20" s="9">
        <f>(F20+(4*G20)+H20)/6</f>
        <v>0.03</v>
      </c>
      <c r="P20" s="1" t="s">
        <v>36</v>
      </c>
    </row>
    <row r="21" spans="5:16" ht="17" x14ac:dyDescent="0.15">
      <c r="F21" s="63"/>
      <c r="P21" s="1" t="s">
        <v>37</v>
      </c>
    </row>
    <row r="22" spans="5:16" x14ac:dyDescent="0.15">
      <c r="E22" s="2" t="s">
        <v>47</v>
      </c>
      <c r="F22" s="307">
        <v>20000000</v>
      </c>
    </row>
    <row r="23" spans="5:16" x14ac:dyDescent="0.15">
      <c r="E23" s="2" t="s">
        <v>49</v>
      </c>
      <c r="F23" s="307">
        <f>F22*I19</f>
        <v>383333.33333333337</v>
      </c>
    </row>
    <row r="24" spans="5:16" x14ac:dyDescent="0.15">
      <c r="E24" s="2" t="s">
        <v>48</v>
      </c>
      <c r="F24" s="307">
        <f>F23*I20</f>
        <v>11500</v>
      </c>
    </row>
    <row r="25" spans="5:16" x14ac:dyDescent="0.15">
      <c r="E25" s="2" t="s">
        <v>74</v>
      </c>
      <c r="F25" s="3">
        <v>0.04</v>
      </c>
    </row>
    <row r="26" spans="5:16" x14ac:dyDescent="0.15">
      <c r="E26" s="2" t="s">
        <v>51</v>
      </c>
      <c r="F26" s="62">
        <f>I18*F25</f>
        <v>896000</v>
      </c>
    </row>
    <row r="27" spans="5:16" x14ac:dyDescent="0.15">
      <c r="E27" s="2" t="s">
        <v>52</v>
      </c>
      <c r="F27" s="62">
        <f>F26*I17</f>
        <v>97663.999999999985</v>
      </c>
      <c r="G27" s="62"/>
    </row>
    <row r="28" spans="5:16" x14ac:dyDescent="0.15">
      <c r="E28" s="2" t="s">
        <v>53</v>
      </c>
      <c r="F28" s="62">
        <f>F27*F24</f>
        <v>1123135999.9999998</v>
      </c>
    </row>
    <row r="29" spans="5:16" x14ac:dyDescent="0.15">
      <c r="E29" s="2" t="s">
        <v>54</v>
      </c>
      <c r="F29" s="17">
        <f>F28/2</f>
        <v>561567999.99999988</v>
      </c>
      <c r="G29" s="2">
        <f>F29/F27</f>
        <v>5750</v>
      </c>
    </row>
    <row r="30" spans="5:16" x14ac:dyDescent="0.15">
      <c r="E30" s="2" t="s">
        <v>55</v>
      </c>
      <c r="F30" s="62">
        <f>'Costos y Gastos Fijos'!E28*3</f>
        <v>1063214596.6784997</v>
      </c>
    </row>
    <row r="31" spans="5:16" x14ac:dyDescent="0.15">
      <c r="E31" s="2" t="s">
        <v>56</v>
      </c>
      <c r="F31" s="62">
        <f>F30-F29</f>
        <v>501646596.67849982</v>
      </c>
    </row>
    <row r="32" spans="5:16" x14ac:dyDescent="0.15">
      <c r="E32" s="2" t="s">
        <v>60</v>
      </c>
      <c r="F32" s="2">
        <f>F29/F27</f>
        <v>5750</v>
      </c>
    </row>
    <row r="33" spans="5:8" x14ac:dyDescent="0.15">
      <c r="E33" s="2" t="s">
        <v>61</v>
      </c>
      <c r="F33" s="17">
        <f>F27*3%</f>
        <v>2929.9199999999996</v>
      </c>
    </row>
    <row r="34" spans="5:8" x14ac:dyDescent="0.15">
      <c r="E34" s="2" t="s">
        <v>62</v>
      </c>
      <c r="F34" s="17">
        <f>F33*F32</f>
        <v>16847039.999999996</v>
      </c>
    </row>
    <row r="38" spans="5:8" x14ac:dyDescent="0.15">
      <c r="E38" s="426" t="s">
        <v>57</v>
      </c>
      <c r="F38" s="426"/>
      <c r="G38" s="426"/>
    </row>
    <row r="39" spans="5:8" x14ac:dyDescent="0.15">
      <c r="F39" s="2" t="s">
        <v>58</v>
      </c>
      <c r="G39" s="17">
        <f>'Costos y Gastos Fijos'!E20</f>
        <v>1518877995.2549999</v>
      </c>
    </row>
    <row r="40" spans="5:8" x14ac:dyDescent="0.15">
      <c r="F40" s="2" t="s">
        <v>59</v>
      </c>
      <c r="G40" s="62">
        <f>F27</f>
        <v>97663.999999999985</v>
      </c>
    </row>
    <row r="41" spans="5:8" x14ac:dyDescent="0.15">
      <c r="F41" s="2" t="s">
        <v>57</v>
      </c>
      <c r="G41" s="307">
        <f>G39/(G40-F33)</f>
        <v>16033.068514044788</v>
      </c>
    </row>
    <row r="46" spans="5:8" x14ac:dyDescent="0.15">
      <c r="E46" s="359" t="s">
        <v>63</v>
      </c>
      <c r="F46" s="359" t="s">
        <v>64</v>
      </c>
      <c r="G46" s="359" t="s">
        <v>65</v>
      </c>
      <c r="H46" s="359" t="s">
        <v>66</v>
      </c>
    </row>
    <row r="47" spans="5:8" x14ac:dyDescent="0.15">
      <c r="E47" s="78">
        <v>0</v>
      </c>
      <c r="F47" s="78">
        <v>0</v>
      </c>
      <c r="G47" s="84">
        <f t="shared" ref="G47:G54" si="0">$G$39+(F47*$F$33)</f>
        <v>1518877995.2549999</v>
      </c>
      <c r="H47" s="356">
        <f t="shared" ref="H47:H54" si="1">F47*($F$27)</f>
        <v>0</v>
      </c>
    </row>
    <row r="48" spans="5:8" x14ac:dyDescent="0.15">
      <c r="E48" s="83">
        <v>500000</v>
      </c>
      <c r="F48" s="78">
        <v>4000</v>
      </c>
      <c r="G48" s="84">
        <f t="shared" si="0"/>
        <v>1530597675.2549999</v>
      </c>
      <c r="H48" s="356">
        <f t="shared" si="1"/>
        <v>390655999.99999994</v>
      </c>
    </row>
    <row r="49" spans="5:8" x14ac:dyDescent="0.15">
      <c r="E49" s="83">
        <v>800000</v>
      </c>
      <c r="F49" s="78">
        <v>5750</v>
      </c>
      <c r="G49" s="84">
        <f t="shared" si="0"/>
        <v>1535725035.2549999</v>
      </c>
      <c r="H49" s="356">
        <f t="shared" si="1"/>
        <v>561567999.99999988</v>
      </c>
    </row>
    <row r="50" spans="5:8" x14ac:dyDescent="0.15">
      <c r="E50" s="83">
        <v>1100000</v>
      </c>
      <c r="F50" s="78">
        <v>7000</v>
      </c>
      <c r="G50" s="84">
        <f t="shared" si="0"/>
        <v>1539387435.2549999</v>
      </c>
      <c r="H50" s="356">
        <f t="shared" si="1"/>
        <v>683647999.99999988</v>
      </c>
    </row>
    <row r="51" spans="5:8" x14ac:dyDescent="0.15">
      <c r="E51" s="83">
        <v>1400000</v>
      </c>
      <c r="F51" s="78">
        <v>10000</v>
      </c>
      <c r="G51" s="84">
        <f t="shared" si="0"/>
        <v>1548177195.2549999</v>
      </c>
      <c r="H51" s="356">
        <f t="shared" si="1"/>
        <v>976639999.99999988</v>
      </c>
    </row>
    <row r="52" spans="5:8" x14ac:dyDescent="0.15">
      <c r="E52" s="83">
        <v>1700000</v>
      </c>
      <c r="F52" s="78">
        <v>16033</v>
      </c>
      <c r="G52" s="84">
        <f t="shared" si="0"/>
        <v>1565853402.6149998</v>
      </c>
      <c r="H52" s="356">
        <f t="shared" si="1"/>
        <v>1565846911.9999998</v>
      </c>
    </row>
    <row r="53" spans="5:8" x14ac:dyDescent="0.15">
      <c r="E53" s="83">
        <v>2000000</v>
      </c>
      <c r="F53" s="78">
        <v>18000</v>
      </c>
      <c r="G53" s="84">
        <f t="shared" si="0"/>
        <v>1571616555.2549999</v>
      </c>
      <c r="H53" s="356">
        <f t="shared" si="1"/>
        <v>1757951999.9999998</v>
      </c>
    </row>
    <row r="54" spans="5:8" x14ac:dyDescent="0.15">
      <c r="E54" s="83">
        <v>2300000</v>
      </c>
      <c r="F54" s="78">
        <v>20000</v>
      </c>
      <c r="G54" s="84">
        <f t="shared" si="0"/>
        <v>1577476395.2549999</v>
      </c>
      <c r="H54" s="356">
        <f t="shared" si="1"/>
        <v>1953279999.9999998</v>
      </c>
    </row>
  </sheetData>
  <mergeCells count="2">
    <mergeCell ref="F15:I15"/>
    <mergeCell ref="E38:G3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47195-52CD-2044-A7A8-13A0CCC4A9CA}">
  <dimension ref="C2:Z129"/>
  <sheetViews>
    <sheetView showGridLines="0" zoomScale="125" zoomScaleNormal="160" workbookViewId="0">
      <selection activeCell="A25" sqref="A25"/>
    </sheetView>
  </sheetViews>
  <sheetFormatPr baseColWidth="10" defaultColWidth="10.83203125" defaultRowHeight="14" x14ac:dyDescent="0.15"/>
  <cols>
    <col min="1" max="2" width="10.83203125" style="2"/>
    <col min="3" max="3" width="52.83203125" style="2" bestFit="1" customWidth="1"/>
    <col min="4" max="4" width="14.33203125" style="2" customWidth="1"/>
    <col min="5" max="5" width="43.5" style="2" bestFit="1" customWidth="1"/>
    <col min="6" max="7" width="14.33203125" style="2" customWidth="1"/>
    <col min="8" max="8" width="15.6640625" style="2" customWidth="1"/>
    <col min="9" max="9" width="20" style="2" customWidth="1"/>
    <col min="10" max="10" width="0.1640625" style="14" customWidth="1"/>
    <col min="11" max="11" width="10.83203125" style="2"/>
    <col min="12" max="12" width="75" style="2" bestFit="1" customWidth="1"/>
    <col min="13" max="14" width="24.1640625" style="2" customWidth="1"/>
    <col min="15" max="15" width="41.5" style="2" bestFit="1" customWidth="1"/>
    <col min="16" max="25" width="24.1640625" style="2" customWidth="1"/>
    <col min="26" max="16384" width="10.83203125" style="2"/>
  </cols>
  <sheetData>
    <row r="2" spans="3:23" ht="21" thickBot="1" x14ac:dyDescent="0.25">
      <c r="L2" s="432" t="s">
        <v>106</v>
      </c>
      <c r="M2" s="432"/>
      <c r="N2" s="432"/>
      <c r="O2" s="432"/>
      <c r="P2" s="432"/>
      <c r="Q2" s="432"/>
      <c r="R2" s="432"/>
      <c r="S2" s="432"/>
      <c r="T2" s="432"/>
      <c r="U2" s="432"/>
      <c r="V2" s="432"/>
      <c r="W2" s="432"/>
    </row>
    <row r="4" spans="3:23" ht="21" thickBot="1" x14ac:dyDescent="0.25">
      <c r="L4" s="10" t="s">
        <v>116</v>
      </c>
    </row>
    <row r="5" spans="3:23" ht="47" thickBot="1" x14ac:dyDescent="0.25">
      <c r="C5" s="19" t="s">
        <v>101</v>
      </c>
      <c r="D5" s="34"/>
      <c r="E5" s="34"/>
      <c r="F5" s="34"/>
      <c r="G5" s="34"/>
      <c r="H5" s="34"/>
      <c r="O5" s="10" t="s">
        <v>153</v>
      </c>
      <c r="P5" s="44" t="s">
        <v>163</v>
      </c>
      <c r="Q5" s="44" t="s">
        <v>164</v>
      </c>
      <c r="R5" s="44" t="s">
        <v>165</v>
      </c>
    </row>
    <row r="6" spans="3:23" ht="31" customHeight="1" x14ac:dyDescent="0.15">
      <c r="C6" s="34"/>
      <c r="D6" s="34"/>
      <c r="E6" s="34"/>
      <c r="F6" s="34"/>
      <c r="G6" s="34"/>
      <c r="H6" s="34"/>
      <c r="L6" s="21" t="s">
        <v>132</v>
      </c>
      <c r="M6" s="24">
        <v>20000000</v>
      </c>
      <c r="O6" s="21" t="s">
        <v>117</v>
      </c>
      <c r="P6" s="21"/>
      <c r="Q6" s="21"/>
      <c r="R6" s="25">
        <v>0.02</v>
      </c>
    </row>
    <row r="7" spans="3:23" ht="16" customHeight="1" x14ac:dyDescent="0.15">
      <c r="C7" s="35" t="s">
        <v>81</v>
      </c>
      <c r="D7" s="36">
        <v>0.52</v>
      </c>
      <c r="E7" s="34"/>
      <c r="F7" s="34"/>
      <c r="G7" s="34"/>
      <c r="H7" s="34"/>
      <c r="L7" s="21" t="s">
        <v>133</v>
      </c>
      <c r="M7" s="31">
        <v>7.0999999999999994E-2</v>
      </c>
      <c r="O7" s="21" t="s">
        <v>148</v>
      </c>
      <c r="P7" s="21"/>
      <c r="Q7" s="21"/>
      <c r="R7" s="25">
        <v>0.05</v>
      </c>
    </row>
    <row r="8" spans="3:23" x14ac:dyDescent="0.15">
      <c r="C8" s="35" t="s">
        <v>82</v>
      </c>
      <c r="D8" s="37">
        <v>0.1007</v>
      </c>
      <c r="E8" s="34"/>
      <c r="F8" s="34"/>
      <c r="G8" s="34"/>
      <c r="H8" s="34"/>
      <c r="L8" s="21" t="s">
        <v>41</v>
      </c>
      <c r="M8" s="26">
        <v>2.5000000000000001E-2</v>
      </c>
      <c r="O8" s="21" t="s">
        <v>122</v>
      </c>
      <c r="P8" s="26">
        <v>1.4999999999999999E-2</v>
      </c>
      <c r="Q8" s="21"/>
      <c r="R8" s="21"/>
    </row>
    <row r="9" spans="3:23" x14ac:dyDescent="0.15">
      <c r="C9" s="34"/>
      <c r="D9" s="34"/>
      <c r="E9" s="34"/>
      <c r="F9" s="34"/>
      <c r="G9" s="34"/>
      <c r="H9" s="34"/>
      <c r="L9" s="21" t="s">
        <v>42</v>
      </c>
      <c r="M9" s="26">
        <v>4.0899999999999999E-2</v>
      </c>
      <c r="O9" s="21" t="s">
        <v>120</v>
      </c>
      <c r="P9" s="26">
        <v>5.0000000000000001E-3</v>
      </c>
      <c r="Q9" s="26">
        <v>3.0000000000000001E-3</v>
      </c>
      <c r="R9" s="21"/>
    </row>
    <row r="10" spans="3:23" ht="16" customHeight="1" x14ac:dyDescent="0.15">
      <c r="C10" s="38" t="s">
        <v>83</v>
      </c>
      <c r="D10" s="38" t="s">
        <v>84</v>
      </c>
      <c r="E10" s="38" t="s">
        <v>85</v>
      </c>
      <c r="F10" s="38" t="s">
        <v>86</v>
      </c>
      <c r="G10" s="38" t="s">
        <v>87</v>
      </c>
      <c r="H10" s="38" t="s">
        <v>88</v>
      </c>
      <c r="J10" s="12"/>
      <c r="L10" s="59" t="s">
        <v>137</v>
      </c>
      <c r="M10" s="60">
        <v>0.02</v>
      </c>
      <c r="O10" s="21" t="s">
        <v>189</v>
      </c>
      <c r="P10" s="26">
        <v>5.0000000000000001E-3</v>
      </c>
      <c r="Q10" s="26">
        <v>3.0000000000000001E-3</v>
      </c>
      <c r="R10" s="21"/>
    </row>
    <row r="11" spans="3:23" ht="16" x14ac:dyDescent="0.15">
      <c r="C11" s="39" t="s">
        <v>89</v>
      </c>
      <c r="D11" s="39" t="s">
        <v>90</v>
      </c>
      <c r="E11" s="39">
        <v>1</v>
      </c>
      <c r="F11" s="40">
        <v>10833333</v>
      </c>
      <c r="G11" s="41">
        <f t="shared" ref="G11:G12" si="0">F11*(1+$D$8)</f>
        <v>11924249.633099999</v>
      </c>
      <c r="H11" s="41">
        <f t="shared" ref="H11:H12" si="1">(G11*(1+$D$7))*E11</f>
        <v>18124859.442311998</v>
      </c>
      <c r="I11" s="13"/>
      <c r="J11" s="15"/>
      <c r="L11" s="51" t="s">
        <v>173</v>
      </c>
      <c r="M11" s="52">
        <f>'Hipótesis de Ingresos MVP '!F32</f>
        <v>12136</v>
      </c>
      <c r="P11" s="68"/>
    </row>
    <row r="12" spans="3:23" ht="16" x14ac:dyDescent="0.15">
      <c r="C12" s="39" t="s">
        <v>91</v>
      </c>
      <c r="D12" s="39" t="s">
        <v>90</v>
      </c>
      <c r="E12" s="39">
        <v>2</v>
      </c>
      <c r="F12" s="40">
        <v>7000000</v>
      </c>
      <c r="G12" s="41">
        <f t="shared" si="0"/>
        <v>7704900</v>
      </c>
      <c r="H12" s="41">
        <f t="shared" si="1"/>
        <v>23422896</v>
      </c>
      <c r="I12" s="13"/>
      <c r="J12" s="15"/>
      <c r="L12" s="21" t="s">
        <v>134</v>
      </c>
      <c r="M12" s="24">
        <f>M6/12</f>
        <v>1666666.6666666667</v>
      </c>
    </row>
    <row r="13" spans="3:23" ht="16" x14ac:dyDescent="0.15">
      <c r="C13" s="39" t="s">
        <v>92</v>
      </c>
      <c r="D13" s="39" t="s">
        <v>90</v>
      </c>
      <c r="E13" s="39">
        <v>2</v>
      </c>
      <c r="F13" s="40">
        <v>6667000</v>
      </c>
      <c r="G13" s="41">
        <f t="shared" ref="G13:G21" si="2">F13*(1+$D$8)</f>
        <v>7338366.9000000004</v>
      </c>
      <c r="H13" s="41">
        <f t="shared" ref="H13:H20" si="3">(G13*(1+$D$7))*E13</f>
        <v>22308635.376000002</v>
      </c>
      <c r="I13" s="13"/>
      <c r="J13" s="15"/>
    </row>
    <row r="14" spans="3:23" ht="16" x14ac:dyDescent="0.15">
      <c r="C14" s="39" t="s">
        <v>93</v>
      </c>
      <c r="D14" s="39" t="s">
        <v>90</v>
      </c>
      <c r="E14" s="39">
        <v>1</v>
      </c>
      <c r="F14" s="40">
        <v>5500000</v>
      </c>
      <c r="G14" s="41">
        <f t="shared" si="2"/>
        <v>6053850</v>
      </c>
      <c r="H14" s="41">
        <f t="shared" si="3"/>
        <v>9201852</v>
      </c>
      <c r="I14" s="13"/>
      <c r="J14" s="15"/>
    </row>
    <row r="15" spans="3:23" ht="21" thickBot="1" x14ac:dyDescent="0.25">
      <c r="C15" s="39" t="s">
        <v>94</v>
      </c>
      <c r="D15" s="39" t="s">
        <v>90</v>
      </c>
      <c r="E15" s="39">
        <v>1</v>
      </c>
      <c r="F15" s="40">
        <v>5500000</v>
      </c>
      <c r="G15" s="41">
        <f t="shared" si="2"/>
        <v>6053850</v>
      </c>
      <c r="H15" s="41">
        <f t="shared" si="3"/>
        <v>9201852</v>
      </c>
      <c r="I15" s="13"/>
      <c r="J15" s="15"/>
      <c r="L15" s="10" t="s">
        <v>125</v>
      </c>
    </row>
    <row r="16" spans="3:23" ht="16" x14ac:dyDescent="0.15">
      <c r="C16" s="39" t="s">
        <v>95</v>
      </c>
      <c r="D16" s="39" t="s">
        <v>90</v>
      </c>
      <c r="E16" s="39">
        <v>1</v>
      </c>
      <c r="F16" s="40">
        <v>5000000</v>
      </c>
      <c r="G16" s="41">
        <f t="shared" si="2"/>
        <v>5503500</v>
      </c>
      <c r="H16" s="41">
        <f t="shared" si="3"/>
        <v>8365320</v>
      </c>
      <c r="I16" s="13"/>
      <c r="J16" s="15"/>
    </row>
    <row r="17" spans="3:25" ht="16" x14ac:dyDescent="0.15">
      <c r="C17" s="39" t="s">
        <v>96</v>
      </c>
      <c r="D17" s="39" t="s">
        <v>90</v>
      </c>
      <c r="E17" s="39">
        <v>1</v>
      </c>
      <c r="F17" s="40">
        <v>6500000</v>
      </c>
      <c r="G17" s="41">
        <f t="shared" si="2"/>
        <v>7154550</v>
      </c>
      <c r="H17" s="41">
        <f t="shared" si="3"/>
        <v>10874916</v>
      </c>
      <c r="I17" s="13"/>
      <c r="J17" s="15"/>
      <c r="L17" s="21" t="s">
        <v>126</v>
      </c>
      <c r="M17" s="11">
        <f>'Ingresos MVP Análisis PERT'!I18</f>
        <v>22400000</v>
      </c>
    </row>
    <row r="18" spans="3:25" ht="16" x14ac:dyDescent="0.15">
      <c r="C18" s="39" t="s">
        <v>97</v>
      </c>
      <c r="D18" s="39" t="s">
        <v>90</v>
      </c>
      <c r="E18" s="39">
        <v>1</v>
      </c>
      <c r="F18" s="42">
        <v>6500000</v>
      </c>
      <c r="G18" s="41">
        <f t="shared" si="2"/>
        <v>7154550</v>
      </c>
      <c r="H18" s="41">
        <f t="shared" si="3"/>
        <v>10874916</v>
      </c>
      <c r="I18" s="13"/>
      <c r="J18" s="15"/>
      <c r="L18" s="21" t="s">
        <v>127</v>
      </c>
      <c r="M18" s="11">
        <v>40000000</v>
      </c>
    </row>
    <row r="19" spans="3:25" ht="16" x14ac:dyDescent="0.15">
      <c r="C19" s="39" t="s">
        <v>99</v>
      </c>
      <c r="D19" s="39" t="s">
        <v>90</v>
      </c>
      <c r="E19" s="39">
        <v>1</v>
      </c>
      <c r="F19" s="42">
        <v>7500000</v>
      </c>
      <c r="G19" s="41">
        <f t="shared" si="2"/>
        <v>8255250</v>
      </c>
      <c r="H19" s="41">
        <f t="shared" si="3"/>
        <v>12547980</v>
      </c>
      <c r="I19" s="13"/>
      <c r="J19" s="15"/>
      <c r="L19" s="21" t="s">
        <v>109</v>
      </c>
      <c r="M19" s="31">
        <v>0.14399999999999999</v>
      </c>
      <c r="N19" s="2" t="s">
        <v>110</v>
      </c>
    </row>
    <row r="20" spans="3:25" ht="16" x14ac:dyDescent="0.15">
      <c r="C20" s="39" t="s">
        <v>100</v>
      </c>
      <c r="D20" s="39" t="s">
        <v>90</v>
      </c>
      <c r="E20" s="39">
        <v>1</v>
      </c>
      <c r="F20" s="42">
        <v>7500000</v>
      </c>
      <c r="G20" s="41">
        <f t="shared" si="2"/>
        <v>8255250</v>
      </c>
      <c r="H20" s="41">
        <f t="shared" si="3"/>
        <v>12547980</v>
      </c>
      <c r="I20" s="13"/>
      <c r="J20" s="15"/>
      <c r="L20" s="21" t="s">
        <v>124</v>
      </c>
      <c r="M20" s="11">
        <v>320400</v>
      </c>
      <c r="N20" s="2" t="s">
        <v>151</v>
      </c>
    </row>
    <row r="21" spans="3:25" ht="16" x14ac:dyDescent="0.15">
      <c r="C21" s="39" t="s">
        <v>2</v>
      </c>
      <c r="D21" s="39" t="s">
        <v>90</v>
      </c>
      <c r="E21" s="39">
        <v>1</v>
      </c>
      <c r="F21" s="42">
        <v>15500000</v>
      </c>
      <c r="G21" s="41">
        <f t="shared" si="2"/>
        <v>17060850</v>
      </c>
      <c r="H21" s="41">
        <f>G21</f>
        <v>17060850</v>
      </c>
      <c r="I21" s="13"/>
      <c r="J21" s="15"/>
      <c r="L21" s="21" t="s">
        <v>111</v>
      </c>
      <c r="M21" s="25">
        <v>0.05</v>
      </c>
    </row>
    <row r="22" spans="3:25" ht="16" x14ac:dyDescent="0.15">
      <c r="C22" s="429" t="s">
        <v>98</v>
      </c>
      <c r="D22" s="429"/>
      <c r="E22" s="429"/>
      <c r="F22" s="429"/>
      <c r="G22" s="429"/>
      <c r="H22" s="43">
        <f>SUM(H11:H18)</f>
        <v>112375246.818312</v>
      </c>
      <c r="I22" s="13"/>
      <c r="J22" s="15"/>
      <c r="L22" s="21" t="s">
        <v>129</v>
      </c>
      <c r="M22" s="25">
        <v>0.04</v>
      </c>
      <c r="N22" s="2" t="s">
        <v>130</v>
      </c>
    </row>
    <row r="23" spans="3:25" ht="17" customHeight="1" x14ac:dyDescent="0.15">
      <c r="E23" s="2">
        <f>SUM(E11:E21)</f>
        <v>13</v>
      </c>
      <c r="L23" s="21" t="s">
        <v>131</v>
      </c>
      <c r="M23" s="26">
        <v>2.1000000000000001E-2</v>
      </c>
      <c r="N23" s="2" t="s">
        <v>130</v>
      </c>
    </row>
    <row r="24" spans="3:25" x14ac:dyDescent="0.15">
      <c r="E24" s="87">
        <f>E23*7000000</f>
        <v>91000000</v>
      </c>
      <c r="L24" s="21"/>
      <c r="M24" s="26"/>
    </row>
    <row r="28" spans="3:25" ht="21" thickBot="1" x14ac:dyDescent="0.25">
      <c r="C28" s="10" t="s">
        <v>102</v>
      </c>
      <c r="L28" s="17"/>
    </row>
    <row r="29" spans="3:25" ht="78" customHeight="1" thickBot="1" x14ac:dyDescent="0.25">
      <c r="C29" s="2" t="s">
        <v>103</v>
      </c>
      <c r="D29" s="4">
        <v>0.03</v>
      </c>
      <c r="E29" s="2" t="s">
        <v>115</v>
      </c>
      <c r="L29" s="10" t="s">
        <v>153</v>
      </c>
      <c r="M29" s="18"/>
      <c r="N29" s="18" t="s">
        <v>117</v>
      </c>
      <c r="O29" s="18" t="s">
        <v>148</v>
      </c>
      <c r="P29" s="18" t="s">
        <v>122</v>
      </c>
      <c r="Q29" s="18"/>
      <c r="R29" s="18" t="s">
        <v>169</v>
      </c>
      <c r="S29" s="18" t="s">
        <v>120</v>
      </c>
      <c r="T29" s="18"/>
      <c r="U29" s="18"/>
      <c r="V29" s="18" t="s">
        <v>119</v>
      </c>
      <c r="W29" s="18" t="s">
        <v>121</v>
      </c>
      <c r="X29" s="18" t="s">
        <v>128</v>
      </c>
      <c r="Y29" s="430" t="s">
        <v>141</v>
      </c>
    </row>
    <row r="30" spans="3:25" x14ac:dyDescent="0.15">
      <c r="C30" s="2" t="s">
        <v>104</v>
      </c>
      <c r="D30" s="4">
        <v>0.1</v>
      </c>
      <c r="E30" s="2" t="s">
        <v>115</v>
      </c>
      <c r="M30" s="33">
        <v>1</v>
      </c>
      <c r="N30" s="33">
        <v>2</v>
      </c>
      <c r="O30" s="33">
        <v>3</v>
      </c>
      <c r="P30" s="33">
        <v>4</v>
      </c>
      <c r="Q30" s="33">
        <v>5</v>
      </c>
      <c r="R30" s="33">
        <v>6</v>
      </c>
      <c r="S30" s="33">
        <v>7</v>
      </c>
      <c r="T30" s="33">
        <v>8</v>
      </c>
      <c r="U30" s="33">
        <v>9</v>
      </c>
      <c r="V30" s="33">
        <v>10</v>
      </c>
      <c r="W30" s="33">
        <v>11</v>
      </c>
      <c r="X30" s="33">
        <v>12</v>
      </c>
      <c r="Y30" s="431"/>
    </row>
    <row r="31" spans="3:25" ht="16" x14ac:dyDescent="0.2">
      <c r="C31" s="2" t="s">
        <v>107</v>
      </c>
      <c r="D31" s="3">
        <v>0.05</v>
      </c>
      <c r="E31" s="2" t="s">
        <v>115</v>
      </c>
      <c r="L31" s="20" t="s">
        <v>150</v>
      </c>
    </row>
    <row r="32" spans="3:25" x14ac:dyDescent="0.15">
      <c r="C32" s="2" t="s">
        <v>105</v>
      </c>
      <c r="D32" s="3">
        <v>0.15</v>
      </c>
      <c r="E32" s="2" t="s">
        <v>115</v>
      </c>
      <c r="L32" s="21" t="s">
        <v>149</v>
      </c>
      <c r="M32" s="22">
        <v>0.7</v>
      </c>
      <c r="N32" s="22">
        <f t="shared" ref="N32:O35" si="4">M32</f>
        <v>0.7</v>
      </c>
      <c r="O32" s="23">
        <f t="shared" si="4"/>
        <v>0.7</v>
      </c>
      <c r="P32" s="23">
        <f>O32*(1+$P$8)</f>
        <v>0.71049999999999991</v>
      </c>
      <c r="Q32" s="23">
        <f>P32*(1+$P$8)</f>
        <v>0.72115749999999978</v>
      </c>
      <c r="R32" s="23">
        <f t="shared" ref="R32:X32" si="5">Q32*(1+$P$8)</f>
        <v>0.73197486249999966</v>
      </c>
      <c r="S32" s="23">
        <f t="shared" si="5"/>
        <v>0.74295448543749953</v>
      </c>
      <c r="T32" s="23">
        <f t="shared" si="5"/>
        <v>0.75409880271906193</v>
      </c>
      <c r="U32" s="23">
        <f t="shared" si="5"/>
        <v>0.76541028475984774</v>
      </c>
      <c r="V32" s="23">
        <f t="shared" si="5"/>
        <v>0.77689143903124536</v>
      </c>
      <c r="W32" s="23">
        <f t="shared" si="5"/>
        <v>0.788544810616714</v>
      </c>
      <c r="X32" s="23">
        <f t="shared" si="5"/>
        <v>0.80037298277596458</v>
      </c>
      <c r="Y32" s="22">
        <f>MAX(M32:X32)</f>
        <v>0.80037298277596458</v>
      </c>
    </row>
    <row r="33" spans="3:25" x14ac:dyDescent="0.15">
      <c r="C33" s="2" t="s">
        <v>123</v>
      </c>
      <c r="D33" s="3">
        <v>0.05</v>
      </c>
      <c r="E33" s="2" t="s">
        <v>114</v>
      </c>
      <c r="L33" s="21" t="s">
        <v>143</v>
      </c>
      <c r="M33" s="22">
        <v>0.75</v>
      </c>
      <c r="N33" s="22">
        <f t="shared" si="4"/>
        <v>0.75</v>
      </c>
      <c r="O33" s="23">
        <f t="shared" si="4"/>
        <v>0.75</v>
      </c>
      <c r="P33" s="23">
        <f>O33</f>
        <v>0.75</v>
      </c>
      <c r="Q33" s="23">
        <v>0.75</v>
      </c>
      <c r="R33" s="23">
        <v>0.75</v>
      </c>
      <c r="S33" s="23">
        <v>0.75</v>
      </c>
      <c r="T33" s="23">
        <v>0.75</v>
      </c>
      <c r="U33" s="23">
        <v>0.75</v>
      </c>
      <c r="V33" s="23">
        <v>0.75</v>
      </c>
      <c r="W33" s="23">
        <v>0.75</v>
      </c>
      <c r="X33" s="23">
        <v>0.75</v>
      </c>
      <c r="Y33" s="22">
        <f t="shared" ref="Y33:Y38" si="6">MAX(M33:X33)</f>
        <v>0.75</v>
      </c>
    </row>
    <row r="34" spans="3:25" x14ac:dyDescent="0.15">
      <c r="C34" s="2" t="s">
        <v>80</v>
      </c>
      <c r="D34" s="3">
        <v>4.4999999999999998E-2</v>
      </c>
      <c r="E34" s="2" t="s">
        <v>114</v>
      </c>
      <c r="L34" s="21" t="s">
        <v>144</v>
      </c>
      <c r="M34" s="22">
        <v>0.51344925876597958</v>
      </c>
      <c r="N34" s="22">
        <f t="shared" si="4"/>
        <v>0.51344925876597958</v>
      </c>
      <c r="O34" s="23">
        <f t="shared" si="4"/>
        <v>0.51344925876597958</v>
      </c>
      <c r="P34" s="23">
        <f>O34</f>
        <v>0.51344925876597958</v>
      </c>
      <c r="Q34" s="23">
        <f>P34</f>
        <v>0.51344925876597958</v>
      </c>
      <c r="R34" s="23">
        <f t="shared" ref="R34:X34" si="7">Q34</f>
        <v>0.51344925876597958</v>
      </c>
      <c r="S34" s="23">
        <f t="shared" si="7"/>
        <v>0.51344925876597958</v>
      </c>
      <c r="T34" s="23">
        <f t="shared" si="7"/>
        <v>0.51344925876597958</v>
      </c>
      <c r="U34" s="23">
        <f t="shared" si="7"/>
        <v>0.51344925876597958</v>
      </c>
      <c r="V34" s="23">
        <f t="shared" si="7"/>
        <v>0.51344925876597958</v>
      </c>
      <c r="W34" s="23">
        <f t="shared" si="7"/>
        <v>0.51344925876597958</v>
      </c>
      <c r="X34" s="23">
        <f t="shared" si="7"/>
        <v>0.51344925876597958</v>
      </c>
      <c r="Y34" s="22">
        <f t="shared" si="6"/>
        <v>0.51344925876597958</v>
      </c>
    </row>
    <row r="35" spans="3:25" x14ac:dyDescent="0.15">
      <c r="C35" s="6" t="s">
        <v>108</v>
      </c>
      <c r="D35" s="7">
        <f>SUM(D29:D34)</f>
        <v>0.42499999999999993</v>
      </c>
      <c r="E35" s="2" t="s">
        <v>114</v>
      </c>
      <c r="L35" s="21" t="s">
        <v>145</v>
      </c>
      <c r="M35" s="22">
        <v>0.46</v>
      </c>
      <c r="N35" s="22">
        <f t="shared" si="4"/>
        <v>0.46</v>
      </c>
      <c r="O35" s="23">
        <f t="shared" si="4"/>
        <v>0.46</v>
      </c>
      <c r="P35" s="23">
        <f>O35</f>
        <v>0.46</v>
      </c>
      <c r="Q35" s="23">
        <f>P35</f>
        <v>0.46</v>
      </c>
      <c r="R35" s="23">
        <f t="shared" ref="R35:X35" si="8">Q35</f>
        <v>0.46</v>
      </c>
      <c r="S35" s="23">
        <f t="shared" si="8"/>
        <v>0.46</v>
      </c>
      <c r="T35" s="23">
        <f t="shared" si="8"/>
        <v>0.46</v>
      </c>
      <c r="U35" s="23">
        <f t="shared" si="8"/>
        <v>0.46</v>
      </c>
      <c r="V35" s="23">
        <f t="shared" si="8"/>
        <v>0.46</v>
      </c>
      <c r="W35" s="23">
        <f t="shared" si="8"/>
        <v>0.46</v>
      </c>
      <c r="X35" s="23">
        <f t="shared" si="8"/>
        <v>0.46</v>
      </c>
      <c r="Y35" s="22">
        <f t="shared" si="6"/>
        <v>0.46</v>
      </c>
    </row>
    <row r="36" spans="3:25" x14ac:dyDescent="0.15">
      <c r="L36" s="21" t="s">
        <v>146</v>
      </c>
      <c r="M36" s="22">
        <v>0.499</v>
      </c>
      <c r="N36" s="22">
        <f>M36+R6</f>
        <v>0.51900000000000002</v>
      </c>
      <c r="O36" s="22">
        <f>N36+R7</f>
        <v>0.56900000000000006</v>
      </c>
      <c r="P36" s="22">
        <v>0.56899999999999995</v>
      </c>
      <c r="Q36" s="22">
        <v>0.56899999999999995</v>
      </c>
      <c r="R36" s="22">
        <v>0.56899999999999995</v>
      </c>
      <c r="S36" s="22">
        <v>0.56899999999999995</v>
      </c>
      <c r="T36" s="22">
        <v>0.56899999999999995</v>
      </c>
      <c r="U36" s="22">
        <v>0.56899999999999995</v>
      </c>
      <c r="V36" s="22">
        <v>0.56899999999999995</v>
      </c>
      <c r="W36" s="22">
        <v>0.56899999999999995</v>
      </c>
      <c r="X36" s="22">
        <v>0.56899999999999995</v>
      </c>
      <c r="Y36" s="22">
        <f t="shared" si="6"/>
        <v>0.56900000000000006</v>
      </c>
    </row>
    <row r="37" spans="3:25" x14ac:dyDescent="0.15">
      <c r="C37" s="2" t="s">
        <v>267</v>
      </c>
      <c r="D37" s="3">
        <v>0.08</v>
      </c>
      <c r="L37" s="21" t="s">
        <v>147</v>
      </c>
      <c r="M37" s="22">
        <v>0.8</v>
      </c>
      <c r="N37" s="22">
        <f>M37</f>
        <v>0.8</v>
      </c>
      <c r="O37" s="22">
        <f>N37</f>
        <v>0.8</v>
      </c>
      <c r="P37" s="22">
        <f>O37</f>
        <v>0.8</v>
      </c>
      <c r="Q37" s="22">
        <f>P37</f>
        <v>0.8</v>
      </c>
      <c r="R37" s="22">
        <f t="shared" ref="R37:X37" si="9">Q37</f>
        <v>0.8</v>
      </c>
      <c r="S37" s="22">
        <f t="shared" si="9"/>
        <v>0.8</v>
      </c>
      <c r="T37" s="22">
        <f t="shared" si="9"/>
        <v>0.8</v>
      </c>
      <c r="U37" s="22">
        <f t="shared" si="9"/>
        <v>0.8</v>
      </c>
      <c r="V37" s="22">
        <f t="shared" si="9"/>
        <v>0.8</v>
      </c>
      <c r="W37" s="22">
        <f t="shared" si="9"/>
        <v>0.8</v>
      </c>
      <c r="X37" s="22">
        <f t="shared" si="9"/>
        <v>0.8</v>
      </c>
      <c r="Y37" s="22">
        <f t="shared" si="6"/>
        <v>0.8</v>
      </c>
    </row>
    <row r="38" spans="3:25" x14ac:dyDescent="0.15">
      <c r="L38" s="21" t="s">
        <v>142</v>
      </c>
      <c r="M38" s="22">
        <f>M32*M33*M34*M35*M36*M37</f>
        <v>4.950000000000003E-2</v>
      </c>
      <c r="N38" s="22">
        <f>N32*N33*N34*N35*N36*N37</f>
        <v>5.1483967935871781E-2</v>
      </c>
      <c r="O38" s="22">
        <f>O32*O33*O34*O35*O36*O37</f>
        <v>5.6443887775551142E-2</v>
      </c>
      <c r="P38" s="22">
        <f>P32*P33*P34*P35*P36*P37</f>
        <v>5.7290546092184418E-2</v>
      </c>
      <c r="Q38" s="22">
        <f>Q32*Q33*Q34*Q35*Q36*Q37</f>
        <v>5.8149904283567158E-2</v>
      </c>
      <c r="R38" s="22">
        <f t="shared" ref="R38:X38" si="10">R32*R33*R34*R35*R36*R37</f>
        <v>5.9022152847820669E-2</v>
      </c>
      <c r="S38" s="22">
        <f t="shared" si="10"/>
        <v>5.9907485140537946E-2</v>
      </c>
      <c r="T38" s="22">
        <f t="shared" si="10"/>
        <v>6.0806097417646025E-2</v>
      </c>
      <c r="U38" s="22">
        <f t="shared" si="10"/>
        <v>6.1718188878910701E-2</v>
      </c>
      <c r="V38" s="22">
        <f t="shared" si="10"/>
        <v>6.2643961712094368E-2</v>
      </c>
      <c r="W38" s="22">
        <f t="shared" si="10"/>
        <v>6.358362113777577E-2</v>
      </c>
      <c r="X38" s="22">
        <f t="shared" si="10"/>
        <v>6.4537375454842394E-2</v>
      </c>
      <c r="Y38" s="22">
        <f t="shared" si="6"/>
        <v>6.4537375454842394E-2</v>
      </c>
    </row>
    <row r="40" spans="3:25" x14ac:dyDescent="0.15">
      <c r="L40" s="21" t="s">
        <v>135</v>
      </c>
      <c r="M40" s="24">
        <f>M12</f>
        <v>1666666.6666666667</v>
      </c>
      <c r="N40" s="24">
        <f>M40*(1+$M$7)</f>
        <v>1785000</v>
      </c>
      <c r="O40" s="24">
        <f t="shared" ref="O40:X40" si="11">N40*(1+$M$7)</f>
        <v>1911735</v>
      </c>
      <c r="P40" s="24">
        <f t="shared" si="11"/>
        <v>2047468.1849999998</v>
      </c>
      <c r="Q40" s="24">
        <f t="shared" si="11"/>
        <v>2192838.4261349998</v>
      </c>
      <c r="R40" s="24">
        <f t="shared" si="11"/>
        <v>2348529.954390585</v>
      </c>
      <c r="S40" s="24">
        <f t="shared" si="11"/>
        <v>2515275.5811523162</v>
      </c>
      <c r="T40" s="24">
        <f t="shared" si="11"/>
        <v>2693860.1474141306</v>
      </c>
      <c r="U40" s="24">
        <f t="shared" si="11"/>
        <v>2885124.2178805335</v>
      </c>
      <c r="V40" s="24">
        <f t="shared" si="11"/>
        <v>3089968.0373500511</v>
      </c>
      <c r="W40" s="24">
        <f t="shared" si="11"/>
        <v>3309355.7680019047</v>
      </c>
      <c r="X40" s="24">
        <f t="shared" si="11"/>
        <v>3544320.0275300397</v>
      </c>
      <c r="Y40" s="24">
        <f>SUM(M40:X40)</f>
        <v>29990142.011521224</v>
      </c>
    </row>
    <row r="41" spans="3:25" x14ac:dyDescent="0.15">
      <c r="L41" s="21" t="s">
        <v>170</v>
      </c>
      <c r="M41" s="24">
        <f t="shared" ref="M41:X41" si="12">M40*$M$8</f>
        <v>41666.666666666672</v>
      </c>
      <c r="N41" s="24">
        <f t="shared" si="12"/>
        <v>44625</v>
      </c>
      <c r="O41" s="24">
        <f t="shared" si="12"/>
        <v>47793.375</v>
      </c>
      <c r="P41" s="24">
        <f t="shared" si="12"/>
        <v>51186.704624999998</v>
      </c>
      <c r="Q41" s="24">
        <f t="shared" si="12"/>
        <v>54820.960653374997</v>
      </c>
      <c r="R41" s="24">
        <f t="shared" si="12"/>
        <v>58713.24885976463</v>
      </c>
      <c r="S41" s="24">
        <f t="shared" si="12"/>
        <v>62881.889528807907</v>
      </c>
      <c r="T41" s="24">
        <f t="shared" si="12"/>
        <v>67346.503685353266</v>
      </c>
      <c r="U41" s="24">
        <f t="shared" si="12"/>
        <v>72128.105447013339</v>
      </c>
      <c r="V41" s="24">
        <f t="shared" si="12"/>
        <v>77249.200933751286</v>
      </c>
      <c r="W41" s="24">
        <f t="shared" si="12"/>
        <v>82733.894200047624</v>
      </c>
      <c r="X41" s="24">
        <f t="shared" si="12"/>
        <v>88608.000688250992</v>
      </c>
      <c r="Y41" s="24">
        <f>SUM(M41:X41)</f>
        <v>749753.55028803064</v>
      </c>
    </row>
    <row r="42" spans="3:25" x14ac:dyDescent="0.15">
      <c r="L42" s="21" t="s">
        <v>171</v>
      </c>
      <c r="M42" s="24">
        <f>M89</f>
        <v>924.76</v>
      </c>
      <c r="N42" s="24">
        <f t="shared" ref="N42:X42" si="13">N89</f>
        <v>1036.896</v>
      </c>
      <c r="O42" s="24">
        <f t="shared" si="13"/>
        <v>1142.9639999999999</v>
      </c>
      <c r="P42" s="24">
        <f t="shared" si="13"/>
        <v>1253.0773333333336</v>
      </c>
      <c r="Q42" s="24">
        <f t="shared" si="13"/>
        <v>1362.1793333333337</v>
      </c>
      <c r="R42" s="24">
        <f t="shared" si="13"/>
        <v>1471.2813333333336</v>
      </c>
      <c r="S42" s="24">
        <f t="shared" si="13"/>
        <v>1580.3833333333337</v>
      </c>
      <c r="T42" s="24">
        <f t="shared" si="13"/>
        <v>1689.4853333333335</v>
      </c>
      <c r="U42" s="24">
        <f t="shared" si="13"/>
        <v>1798.5873333333336</v>
      </c>
      <c r="V42" s="24">
        <f t="shared" si="13"/>
        <v>1907.6893333333337</v>
      </c>
      <c r="W42" s="24">
        <f t="shared" si="13"/>
        <v>2016.7913333333336</v>
      </c>
      <c r="X42" s="24">
        <f t="shared" si="13"/>
        <v>2125.8933333333334</v>
      </c>
      <c r="Y42" s="24">
        <f>SUM(M42:X42)</f>
        <v>18309.988000000001</v>
      </c>
    </row>
    <row r="43" spans="3:25" x14ac:dyDescent="0.15">
      <c r="L43" s="21" t="s">
        <v>138</v>
      </c>
      <c r="M43" s="24">
        <f>(M41+M42)*M38</f>
        <v>2108.2756200000017</v>
      </c>
      <c r="N43" s="24">
        <f t="shared" ref="N43:X43" si="14">(N41+N42)*N38</f>
        <v>2350.8555895551121</v>
      </c>
      <c r="O43" s="24">
        <f t="shared" si="14"/>
        <v>2762.1572266623266</v>
      </c>
      <c r="P43" s="24">
        <f t="shared" si="14"/>
        <v>3004.3037453479965</v>
      </c>
      <c r="Q43" s="24">
        <f t="shared" si="14"/>
        <v>3267.0442125773438</v>
      </c>
      <c r="R43" s="24">
        <f t="shared" si="14"/>
        <v>3552.2205401313058</v>
      </c>
      <c r="S43" s="24">
        <f t="shared" si="14"/>
        <v>3861.772653614029</v>
      </c>
      <c r="T43" s="24">
        <f t="shared" si="14"/>
        <v>4197.8090735937985</v>
      </c>
      <c r="U43" s="24">
        <f t="shared" si="14"/>
        <v>4562.6215882106399</v>
      </c>
      <c r="V43" s="24">
        <f t="shared" si="14"/>
        <v>4958.7012031397035</v>
      </c>
      <c r="W43" s="24">
        <f t="shared" si="14"/>
        <v>5388.7554801212682</v>
      </c>
      <c r="X43" s="24">
        <f t="shared" si="14"/>
        <v>5855.7273849508674</v>
      </c>
      <c r="Y43" s="24">
        <f t="shared" ref="Y43:Y45" si="15">Y41*Y38</f>
        <v>48387.126373539693</v>
      </c>
    </row>
    <row r="44" spans="3:25" x14ac:dyDescent="0.15">
      <c r="L44" s="21" t="s">
        <v>139</v>
      </c>
      <c r="M44" s="11">
        <f t="shared" ref="M44:X44" si="16">M43*($M$17*$M$22)</f>
        <v>1889014955.5200016</v>
      </c>
      <c r="N44" s="11">
        <f t="shared" si="16"/>
        <v>2106366608.2413805</v>
      </c>
      <c r="O44" s="11">
        <f t="shared" si="16"/>
        <v>2474892875.0894446</v>
      </c>
      <c r="P44" s="11">
        <f t="shared" si="16"/>
        <v>2691856155.8318048</v>
      </c>
      <c r="Q44" s="11">
        <f t="shared" si="16"/>
        <v>2927271614.4693003</v>
      </c>
      <c r="R44" s="11">
        <f t="shared" si="16"/>
        <v>3182789603.9576502</v>
      </c>
      <c r="S44" s="11">
        <f t="shared" si="16"/>
        <v>3460148297.6381698</v>
      </c>
      <c r="T44" s="11">
        <f t="shared" si="16"/>
        <v>3761236929.9400434</v>
      </c>
      <c r="U44" s="11">
        <f t="shared" si="16"/>
        <v>4088108943.0367332</v>
      </c>
      <c r="V44" s="11">
        <f t="shared" si="16"/>
        <v>4442996278.0131741</v>
      </c>
      <c r="W44" s="11">
        <f t="shared" si="16"/>
        <v>4828324910.1886559</v>
      </c>
      <c r="X44" s="11">
        <f t="shared" si="16"/>
        <v>5246731736.9159775</v>
      </c>
      <c r="Y44" s="11">
        <f>SUM(M44:X44)</f>
        <v>41099738908.842339</v>
      </c>
    </row>
    <row r="45" spans="3:25" x14ac:dyDescent="0.15">
      <c r="L45" s="21" t="s">
        <v>113</v>
      </c>
      <c r="M45" s="24">
        <f>M85*M91</f>
        <v>0</v>
      </c>
      <c r="N45" s="24">
        <f t="shared" ref="N45:X45" si="17">N85*N91</f>
        <v>0</v>
      </c>
      <c r="O45" s="24">
        <f t="shared" si="17"/>
        <v>0</v>
      </c>
      <c r="P45" s="24">
        <f t="shared" si="17"/>
        <v>0</v>
      </c>
      <c r="Q45" s="24">
        <f t="shared" si="17"/>
        <v>0</v>
      </c>
      <c r="R45" s="24">
        <f t="shared" si="17"/>
        <v>8.5</v>
      </c>
      <c r="S45" s="24">
        <f t="shared" si="17"/>
        <v>12.75</v>
      </c>
      <c r="T45" s="24">
        <f t="shared" si="17"/>
        <v>25.5</v>
      </c>
      <c r="U45" s="24">
        <f t="shared" si="17"/>
        <v>179.01</v>
      </c>
      <c r="V45" s="24">
        <f t="shared" si="17"/>
        <v>1256.6501999999998</v>
      </c>
      <c r="W45" s="24">
        <f t="shared" si="17"/>
        <v>8833.1898000000001</v>
      </c>
      <c r="X45" s="24">
        <f t="shared" si="17"/>
        <v>0</v>
      </c>
      <c r="Y45" s="24">
        <f t="shared" si="15"/>
        <v>1451136791471.8794</v>
      </c>
    </row>
    <row r="46" spans="3:25" x14ac:dyDescent="0.15">
      <c r="L46" s="21" t="s">
        <v>140</v>
      </c>
      <c r="M46" s="11">
        <f t="shared" ref="M46:X46" si="18">(M44*$M$19)+(M45*$M$19)</f>
        <v>272018153.59488022</v>
      </c>
      <c r="N46" s="11">
        <f t="shared" si="18"/>
        <v>303316791.58675873</v>
      </c>
      <c r="O46" s="11">
        <f t="shared" si="18"/>
        <v>356384574.01288003</v>
      </c>
      <c r="P46" s="11">
        <f t="shared" si="18"/>
        <v>387627286.43977988</v>
      </c>
      <c r="Q46" s="11">
        <f t="shared" si="18"/>
        <v>421527112.48357922</v>
      </c>
      <c r="R46" s="11">
        <f t="shared" si="18"/>
        <v>458321704.1939016</v>
      </c>
      <c r="S46" s="11">
        <f t="shared" si="18"/>
        <v>498261356.69589645</v>
      </c>
      <c r="T46" s="11">
        <f t="shared" si="18"/>
        <v>541618121.58336627</v>
      </c>
      <c r="U46" s="11">
        <f t="shared" si="18"/>
        <v>588687713.57472944</v>
      </c>
      <c r="V46" s="11">
        <f t="shared" si="18"/>
        <v>639791644.99152589</v>
      </c>
      <c r="W46" s="11">
        <f t="shared" si="18"/>
        <v>695280059.0464977</v>
      </c>
      <c r="X46" s="11">
        <f t="shared" si="18"/>
        <v>755529370.11590075</v>
      </c>
      <c r="Y46" s="11">
        <f>SUM(M46:X46)</f>
        <v>5918363888.3196964</v>
      </c>
    </row>
    <row r="48" spans="3:25" ht="16" x14ac:dyDescent="0.2">
      <c r="L48" s="20" t="s">
        <v>118</v>
      </c>
      <c r="M48" s="3"/>
      <c r="N48" s="3"/>
      <c r="O48" s="3"/>
      <c r="P48" s="3"/>
      <c r="Q48" s="3"/>
      <c r="R48" s="3"/>
    </row>
    <row r="49" spans="3:25" x14ac:dyDescent="0.15">
      <c r="L49" s="21" t="s">
        <v>149</v>
      </c>
      <c r="M49" s="25">
        <v>0</v>
      </c>
      <c r="N49" s="25">
        <v>0</v>
      </c>
      <c r="O49" s="25">
        <v>0</v>
      </c>
      <c r="P49" s="25">
        <v>0</v>
      </c>
      <c r="Q49" s="25">
        <v>0</v>
      </c>
      <c r="R49" s="25">
        <v>0.5</v>
      </c>
      <c r="S49" s="26">
        <v>0.5</v>
      </c>
      <c r="T49" s="27">
        <f>S49*(1+$P$9)</f>
        <v>0.50249999999999995</v>
      </c>
      <c r="U49" s="27">
        <f>T49*(1+$P$9)</f>
        <v>0.50501249999999986</v>
      </c>
      <c r="V49" s="27">
        <f>U49*(1+$P$9)</f>
        <v>0.50753756249999982</v>
      </c>
      <c r="W49" s="27">
        <f>V49*(1+$P$9)</f>
        <v>0.51007525031249978</v>
      </c>
      <c r="X49" s="27">
        <f>W49*(1+$P$9)</f>
        <v>0.51262562656406219</v>
      </c>
      <c r="Y49" s="22">
        <f>MAX(M49:X49)</f>
        <v>0.51262562656406219</v>
      </c>
    </row>
    <row r="50" spans="3:25" x14ac:dyDescent="0.15">
      <c r="L50" s="21" t="s">
        <v>143</v>
      </c>
      <c r="M50" s="25">
        <v>0</v>
      </c>
      <c r="N50" s="25">
        <v>0</v>
      </c>
      <c r="O50" s="25">
        <v>0</v>
      </c>
      <c r="P50" s="25">
        <v>0</v>
      </c>
      <c r="Q50" s="25">
        <v>0</v>
      </c>
      <c r="R50" s="25">
        <v>0.7</v>
      </c>
      <c r="S50" s="25">
        <v>0.7</v>
      </c>
      <c r="T50" s="27">
        <f>S50*(1+$Q$9)</f>
        <v>0.70209999999999984</v>
      </c>
      <c r="U50" s="27">
        <f>T50*(1+$Q$9)</f>
        <v>0.70420629999999973</v>
      </c>
      <c r="V50" s="27">
        <f>U50*(1+$Q$9)</f>
        <v>0.70631891889999965</v>
      </c>
      <c r="W50" s="27">
        <f>V50*(1+$Q$9)</f>
        <v>0.70843787565669958</v>
      </c>
      <c r="X50" s="27">
        <f>W50*(1+$Q$9)</f>
        <v>0.71056318928366957</v>
      </c>
      <c r="Y50" s="22">
        <f t="shared" ref="Y50:Y55" si="19">MAX(M50:X50)</f>
        <v>0.71056318928366957</v>
      </c>
    </row>
    <row r="51" spans="3:25" x14ac:dyDescent="0.15">
      <c r="H51" s="8"/>
      <c r="I51" s="8"/>
      <c r="J51" s="16"/>
      <c r="K51" s="9"/>
      <c r="L51" s="21" t="s">
        <v>144</v>
      </c>
      <c r="M51" s="25">
        <v>0</v>
      </c>
      <c r="N51" s="25">
        <v>0</v>
      </c>
      <c r="O51" s="25">
        <v>0</v>
      </c>
      <c r="P51" s="25">
        <v>0</v>
      </c>
      <c r="Q51" s="25">
        <v>0</v>
      </c>
      <c r="R51" s="25">
        <v>0.5</v>
      </c>
      <c r="S51" s="25">
        <v>0.5</v>
      </c>
      <c r="T51" s="27">
        <v>0.5</v>
      </c>
      <c r="U51" s="27">
        <v>0.5</v>
      </c>
      <c r="V51" s="27">
        <v>0.5</v>
      </c>
      <c r="W51" s="27">
        <v>0.5</v>
      </c>
      <c r="X51" s="27">
        <v>0.5</v>
      </c>
      <c r="Y51" s="22">
        <f t="shared" si="19"/>
        <v>0.5</v>
      </c>
    </row>
    <row r="52" spans="3:25" x14ac:dyDescent="0.15">
      <c r="H52" s="8"/>
      <c r="I52" s="8"/>
      <c r="J52" s="16"/>
      <c r="L52" s="21" t="s">
        <v>145</v>
      </c>
      <c r="M52" s="25">
        <v>0</v>
      </c>
      <c r="N52" s="25">
        <v>0</v>
      </c>
      <c r="O52" s="25">
        <v>0</v>
      </c>
      <c r="P52" s="25">
        <v>0</v>
      </c>
      <c r="Q52" s="25">
        <v>0</v>
      </c>
      <c r="R52" s="25">
        <v>1</v>
      </c>
      <c r="S52" s="25">
        <v>1</v>
      </c>
      <c r="T52" s="28">
        <v>1</v>
      </c>
      <c r="U52" s="28">
        <v>1</v>
      </c>
      <c r="V52" s="28">
        <v>1</v>
      </c>
      <c r="W52" s="28">
        <v>1</v>
      </c>
      <c r="X52" s="28">
        <v>1</v>
      </c>
      <c r="Y52" s="22">
        <f t="shared" si="19"/>
        <v>1</v>
      </c>
    </row>
    <row r="53" spans="3:25" x14ac:dyDescent="0.15">
      <c r="L53" s="21" t="s">
        <v>146</v>
      </c>
      <c r="M53" s="25">
        <v>0</v>
      </c>
      <c r="N53" s="25">
        <v>0</v>
      </c>
      <c r="O53" s="25">
        <v>0</v>
      </c>
      <c r="P53" s="25">
        <v>0</v>
      </c>
      <c r="Q53" s="25">
        <v>0</v>
      </c>
      <c r="R53" s="25">
        <v>1</v>
      </c>
      <c r="S53" s="25">
        <v>1</v>
      </c>
      <c r="T53" s="28">
        <v>1</v>
      </c>
      <c r="U53" s="28">
        <v>1</v>
      </c>
      <c r="V53" s="28">
        <v>1</v>
      </c>
      <c r="W53" s="28">
        <v>1</v>
      </c>
      <c r="X53" s="28">
        <v>1</v>
      </c>
      <c r="Y53" s="22">
        <f t="shared" si="19"/>
        <v>1</v>
      </c>
    </row>
    <row r="54" spans="3:25" x14ac:dyDescent="0.15">
      <c r="L54" s="21" t="s">
        <v>147</v>
      </c>
      <c r="M54" s="25">
        <v>0</v>
      </c>
      <c r="N54" s="25">
        <v>0</v>
      </c>
      <c r="O54" s="25">
        <v>0</v>
      </c>
      <c r="P54" s="25">
        <v>0</v>
      </c>
      <c r="Q54" s="25">
        <v>0</v>
      </c>
      <c r="R54" s="25">
        <v>0.4</v>
      </c>
      <c r="S54" s="25">
        <v>0.4</v>
      </c>
      <c r="T54" s="28">
        <v>0.4</v>
      </c>
      <c r="U54" s="28">
        <v>0.4</v>
      </c>
      <c r="V54" s="28">
        <v>0.4</v>
      </c>
      <c r="W54" s="28">
        <v>0.4</v>
      </c>
      <c r="X54" s="28">
        <v>0.4</v>
      </c>
      <c r="Y54" s="22">
        <f t="shared" si="19"/>
        <v>0.4</v>
      </c>
    </row>
    <row r="55" spans="3:25" x14ac:dyDescent="0.15">
      <c r="L55" s="21" t="s">
        <v>142</v>
      </c>
      <c r="M55" s="25">
        <f t="shared" ref="M55:Q55" si="20">M49*M50*M51*M52*M53*M54</f>
        <v>0</v>
      </c>
      <c r="N55" s="25">
        <f t="shared" si="20"/>
        <v>0</v>
      </c>
      <c r="O55" s="25">
        <f t="shared" si="20"/>
        <v>0</v>
      </c>
      <c r="P55" s="25">
        <f t="shared" si="20"/>
        <v>0</v>
      </c>
      <c r="Q55" s="25">
        <f t="shared" si="20"/>
        <v>0</v>
      </c>
      <c r="R55" s="25">
        <f>R49*R50*R51*R52*R53*R54</f>
        <v>6.9999999999999993E-2</v>
      </c>
      <c r="S55" s="25">
        <f>S49*S50*S51*S52*S53*S54</f>
        <v>6.9999999999999993E-2</v>
      </c>
      <c r="T55" s="28">
        <f t="shared" ref="T55:X55" si="21">T49*T50*T51*T52*T53*T54</f>
        <v>7.0561049999999986E-2</v>
      </c>
      <c r="U55" s="28">
        <f t="shared" si="21"/>
        <v>7.1126596815749954E-2</v>
      </c>
      <c r="V55" s="28">
        <f t="shared" si="21"/>
        <v>7.1696676489228173E-2</v>
      </c>
      <c r="W55" s="28">
        <f t="shared" si="21"/>
        <v>7.2271325351289328E-2</v>
      </c>
      <c r="X55" s="28">
        <f t="shared" si="21"/>
        <v>7.2850580023979886E-2</v>
      </c>
      <c r="Y55" s="22">
        <f t="shared" si="19"/>
        <v>7.2850580023979886E-2</v>
      </c>
    </row>
    <row r="57" spans="3:25" x14ac:dyDescent="0.15">
      <c r="L57" s="21" t="s">
        <v>152</v>
      </c>
      <c r="M57" s="21">
        <v>0</v>
      </c>
      <c r="N57" s="21">
        <v>0</v>
      </c>
      <c r="O57" s="21">
        <v>0</v>
      </c>
      <c r="P57" s="21">
        <v>0</v>
      </c>
      <c r="Q57" s="21">
        <v>0</v>
      </c>
      <c r="R57" s="24">
        <f>M12</f>
        <v>1666666.6666666667</v>
      </c>
      <c r="S57" s="24">
        <f>R57*(1+$M$7)</f>
        <v>1785000</v>
      </c>
      <c r="T57" s="24">
        <f t="shared" ref="T57:X57" si="22">S57*(1+$M$7)</f>
        <v>1911735</v>
      </c>
      <c r="U57" s="24">
        <f t="shared" si="22"/>
        <v>2047468.1849999998</v>
      </c>
      <c r="V57" s="24">
        <f t="shared" si="22"/>
        <v>2192838.4261349998</v>
      </c>
      <c r="W57" s="24">
        <f t="shared" si="22"/>
        <v>2348529.954390585</v>
      </c>
      <c r="X57" s="24">
        <f t="shared" si="22"/>
        <v>2515275.5811523162</v>
      </c>
      <c r="Y57" s="24">
        <f t="shared" ref="Y57:Y62" si="23">SUM(M57:X57)</f>
        <v>14467513.813344568</v>
      </c>
    </row>
    <row r="58" spans="3:25" x14ac:dyDescent="0.15">
      <c r="L58" s="21" t="s">
        <v>136</v>
      </c>
      <c r="M58" s="21">
        <v>0</v>
      </c>
      <c r="N58" s="21">
        <v>0</v>
      </c>
      <c r="O58" s="21">
        <v>0</v>
      </c>
      <c r="P58" s="21">
        <v>0</v>
      </c>
      <c r="Q58" s="21">
        <v>0</v>
      </c>
      <c r="R58" s="24">
        <f t="shared" ref="R58:X58" si="24">R57*$M$8</f>
        <v>41666.666666666672</v>
      </c>
      <c r="S58" s="24">
        <f t="shared" si="24"/>
        <v>44625</v>
      </c>
      <c r="T58" s="24">
        <f t="shared" si="24"/>
        <v>47793.375</v>
      </c>
      <c r="U58" s="24">
        <f t="shared" si="24"/>
        <v>51186.704624999998</v>
      </c>
      <c r="V58" s="24">
        <f t="shared" si="24"/>
        <v>54820.960653374997</v>
      </c>
      <c r="W58" s="24">
        <f t="shared" si="24"/>
        <v>58713.24885976463</v>
      </c>
      <c r="X58" s="24">
        <f t="shared" si="24"/>
        <v>62881.889528807907</v>
      </c>
      <c r="Y58" s="24">
        <f t="shared" si="23"/>
        <v>361687.84533361421</v>
      </c>
    </row>
    <row r="59" spans="3:25" x14ac:dyDescent="0.15">
      <c r="L59" s="21" t="s">
        <v>171</v>
      </c>
      <c r="M59" s="24">
        <v>0</v>
      </c>
      <c r="N59" s="24">
        <v>0</v>
      </c>
      <c r="O59" s="24">
        <v>0</v>
      </c>
      <c r="P59" s="24">
        <v>0</v>
      </c>
      <c r="Q59" s="24">
        <v>0</v>
      </c>
      <c r="R59" s="24">
        <f>R89</f>
        <v>1471.2813333333336</v>
      </c>
      <c r="S59" s="24">
        <f t="shared" ref="S59:X59" si="25">S89</f>
        <v>1580.3833333333337</v>
      </c>
      <c r="T59" s="24">
        <f t="shared" si="25"/>
        <v>1689.4853333333335</v>
      </c>
      <c r="U59" s="24">
        <f t="shared" si="25"/>
        <v>1798.5873333333336</v>
      </c>
      <c r="V59" s="24">
        <f t="shared" si="25"/>
        <v>1907.6893333333337</v>
      </c>
      <c r="W59" s="24">
        <f t="shared" si="25"/>
        <v>2016.7913333333336</v>
      </c>
      <c r="X59" s="24">
        <f t="shared" si="25"/>
        <v>2125.8933333333334</v>
      </c>
      <c r="Y59" s="24">
        <f t="shared" si="23"/>
        <v>12590.111333333338</v>
      </c>
    </row>
    <row r="60" spans="3:25" x14ac:dyDescent="0.15">
      <c r="L60" s="21" t="s">
        <v>138</v>
      </c>
      <c r="M60" s="21">
        <v>0</v>
      </c>
      <c r="N60" s="21">
        <v>0</v>
      </c>
      <c r="O60" s="21">
        <v>0</v>
      </c>
      <c r="P60" s="21">
        <v>0</v>
      </c>
      <c r="Q60" s="21">
        <v>0</v>
      </c>
      <c r="R60" s="24">
        <f>(R58*R55)+(R59*R55)</f>
        <v>3019.6563599999999</v>
      </c>
      <c r="S60" s="24">
        <f t="shared" ref="S60:X60" si="26">(S58*S55)+(S59*S55)</f>
        <v>3234.3768333333328</v>
      </c>
      <c r="T60" s="24">
        <f t="shared" si="26"/>
        <v>3491.5625821233493</v>
      </c>
      <c r="U60" s="24">
        <f t="shared" si="26"/>
        <v>3768.6634982851733</v>
      </c>
      <c r="V60" s="24">
        <f t="shared" si="26"/>
        <v>4067.2556657676851</v>
      </c>
      <c r="W60" s="24">
        <f t="shared" si="26"/>
        <v>4389.0404933922609</v>
      </c>
      <c r="X60" s="24">
        <f t="shared" si="26"/>
        <v>4735.8546875799284</v>
      </c>
      <c r="Y60" s="24">
        <f t="shared" si="23"/>
        <v>26706.410120481734</v>
      </c>
    </row>
    <row r="61" spans="3:25" x14ac:dyDescent="0.15">
      <c r="L61" s="21" t="s">
        <v>139</v>
      </c>
      <c r="M61" s="21">
        <v>0</v>
      </c>
      <c r="N61" s="21">
        <v>0</v>
      </c>
      <c r="O61" s="21">
        <v>0</v>
      </c>
      <c r="P61" s="21">
        <v>0</v>
      </c>
      <c r="Q61" s="21">
        <v>0</v>
      </c>
      <c r="R61" s="29">
        <f>(R60*$M$20)</f>
        <v>967497897.74399996</v>
      </c>
      <c r="S61" s="29">
        <f t="shared" ref="S61:X61" si="27">S60*$M$20</f>
        <v>1036294337.3999999</v>
      </c>
      <c r="T61" s="29">
        <f t="shared" si="27"/>
        <v>1118696651.3123212</v>
      </c>
      <c r="U61" s="29">
        <f t="shared" si="27"/>
        <v>1207479784.8505695</v>
      </c>
      <c r="V61" s="29">
        <f t="shared" si="27"/>
        <v>1303148715.3119662</v>
      </c>
      <c r="W61" s="29">
        <f t="shared" si="27"/>
        <v>1406248574.0828805</v>
      </c>
      <c r="X61" s="29">
        <f t="shared" si="27"/>
        <v>1517367841.900609</v>
      </c>
      <c r="Y61" s="24">
        <f t="shared" si="23"/>
        <v>8556733802.6023455</v>
      </c>
    </row>
    <row r="62" spans="3:25" x14ac:dyDescent="0.15">
      <c r="L62" s="21" t="s">
        <v>140</v>
      </c>
      <c r="M62" s="21">
        <v>0</v>
      </c>
      <c r="N62" s="21">
        <v>0</v>
      </c>
      <c r="O62" s="21">
        <v>0</v>
      </c>
      <c r="P62" s="21">
        <v>0</v>
      </c>
      <c r="Q62" s="21">
        <v>0</v>
      </c>
      <c r="R62" s="29">
        <f t="shared" ref="R62:X62" si="28">R61*$M$21</f>
        <v>48374894.887199998</v>
      </c>
      <c r="S62" s="29">
        <f t="shared" si="28"/>
        <v>51814716.869999997</v>
      </c>
      <c r="T62" s="29">
        <f t="shared" si="28"/>
        <v>55934832.565616064</v>
      </c>
      <c r="U62" s="29">
        <f t="shared" si="28"/>
        <v>60373989.242528476</v>
      </c>
      <c r="V62" s="29">
        <f t="shared" si="28"/>
        <v>65157435.765598312</v>
      </c>
      <c r="W62" s="29">
        <f t="shared" si="28"/>
        <v>70312428.704144031</v>
      </c>
      <c r="X62" s="29">
        <f t="shared" si="28"/>
        <v>75868392.095030457</v>
      </c>
      <c r="Y62" s="24">
        <f t="shared" si="23"/>
        <v>427836690.1301173</v>
      </c>
    </row>
    <row r="63" spans="3:25" ht="16" x14ac:dyDescent="0.15">
      <c r="C63" s="1"/>
    </row>
    <row r="64" spans="3:25" ht="16" x14ac:dyDescent="0.2">
      <c r="C64" s="1"/>
      <c r="L64" s="20" t="s">
        <v>158</v>
      </c>
    </row>
    <row r="65" spans="3:25" ht="16" x14ac:dyDescent="0.15">
      <c r="C65" s="5"/>
      <c r="L65" s="21" t="s">
        <v>149</v>
      </c>
      <c r="M65" s="25">
        <v>0</v>
      </c>
      <c r="N65" s="25">
        <v>0</v>
      </c>
      <c r="O65" s="26">
        <v>0</v>
      </c>
      <c r="P65" s="26">
        <v>0</v>
      </c>
      <c r="Q65" s="26">
        <v>0</v>
      </c>
      <c r="R65" s="26">
        <v>0</v>
      </c>
      <c r="S65" s="26">
        <v>0</v>
      </c>
      <c r="T65" s="26">
        <v>0</v>
      </c>
      <c r="U65" s="26">
        <v>0</v>
      </c>
      <c r="V65" s="26">
        <v>0.5</v>
      </c>
      <c r="W65" s="22">
        <f>V65*(1+0.5%)</f>
        <v>0.50249999999999995</v>
      </c>
      <c r="X65" s="22">
        <f>W65*(1+0.5%)</f>
        <v>0.50501249999999986</v>
      </c>
      <c r="Y65" s="22">
        <f>MAX(M65:X65)</f>
        <v>0.50501249999999986</v>
      </c>
    </row>
    <row r="66" spans="3:25" ht="16" x14ac:dyDescent="0.15">
      <c r="C66" s="1"/>
      <c r="L66" s="21" t="s">
        <v>143</v>
      </c>
      <c r="M66" s="25">
        <v>0</v>
      </c>
      <c r="N66" s="25">
        <v>0</v>
      </c>
      <c r="O66" s="26">
        <v>0</v>
      </c>
      <c r="P66" s="26">
        <v>0</v>
      </c>
      <c r="Q66" s="26">
        <v>0</v>
      </c>
      <c r="R66" s="26">
        <v>0</v>
      </c>
      <c r="S66" s="26">
        <v>0</v>
      </c>
      <c r="T66" s="26">
        <v>0</v>
      </c>
      <c r="U66" s="26">
        <v>0</v>
      </c>
      <c r="V66" s="26">
        <v>0.7</v>
      </c>
      <c r="W66" s="22">
        <f>V66*(1+0.03%)</f>
        <v>0.70020999999999989</v>
      </c>
      <c r="X66" s="22">
        <f t="shared" ref="X66" si="29">W66*(1+0.03%)</f>
        <v>0.70042006299999982</v>
      </c>
      <c r="Y66" s="22">
        <f t="shared" ref="Y66:Y71" si="30">MAX(M66:X66)</f>
        <v>0.70042006299999982</v>
      </c>
    </row>
    <row r="67" spans="3:25" ht="16" x14ac:dyDescent="0.15">
      <c r="C67" s="5"/>
      <c r="L67" s="21" t="s">
        <v>144</v>
      </c>
      <c r="M67" s="25">
        <v>0</v>
      </c>
      <c r="N67" s="25">
        <v>0</v>
      </c>
      <c r="O67" s="26">
        <v>0</v>
      </c>
      <c r="P67" s="26">
        <v>0</v>
      </c>
      <c r="Q67" s="26">
        <v>0</v>
      </c>
      <c r="R67" s="26">
        <v>0</v>
      </c>
      <c r="S67" s="26">
        <v>0</v>
      </c>
      <c r="T67" s="26">
        <v>0</v>
      </c>
      <c r="U67" s="26">
        <v>0</v>
      </c>
      <c r="V67" s="26">
        <v>0.7</v>
      </c>
      <c r="W67" s="26">
        <v>0.7</v>
      </c>
      <c r="X67" s="26">
        <v>0.7</v>
      </c>
      <c r="Y67" s="22">
        <f t="shared" si="30"/>
        <v>0.7</v>
      </c>
    </row>
    <row r="68" spans="3:25" ht="16" x14ac:dyDescent="0.15">
      <c r="C68" s="5"/>
      <c r="L68" s="21" t="s">
        <v>145</v>
      </c>
      <c r="M68" s="25">
        <v>0</v>
      </c>
      <c r="N68" s="25">
        <v>0</v>
      </c>
      <c r="O68" s="26">
        <v>0</v>
      </c>
      <c r="P68" s="26">
        <v>0</v>
      </c>
      <c r="Q68" s="26">
        <v>0</v>
      </c>
      <c r="R68" s="26">
        <v>0</v>
      </c>
      <c r="S68" s="26">
        <v>0</v>
      </c>
      <c r="T68" s="26">
        <v>0</v>
      </c>
      <c r="U68" s="26">
        <v>0</v>
      </c>
      <c r="V68" s="26">
        <v>0.7</v>
      </c>
      <c r="W68" s="26">
        <v>0.7</v>
      </c>
      <c r="X68" s="26">
        <v>0.7</v>
      </c>
      <c r="Y68" s="22">
        <f t="shared" si="30"/>
        <v>0.7</v>
      </c>
    </row>
    <row r="69" spans="3:25" x14ac:dyDescent="0.15">
      <c r="L69" s="21" t="s">
        <v>146</v>
      </c>
      <c r="M69" s="25">
        <v>0</v>
      </c>
      <c r="N69" s="25">
        <v>0</v>
      </c>
      <c r="O69" s="26">
        <v>0</v>
      </c>
      <c r="P69" s="26">
        <v>0</v>
      </c>
      <c r="Q69" s="26">
        <v>0</v>
      </c>
      <c r="R69" s="26">
        <v>0</v>
      </c>
      <c r="S69" s="26">
        <v>0</v>
      </c>
      <c r="T69" s="26">
        <v>0</v>
      </c>
      <c r="U69" s="26">
        <v>0</v>
      </c>
      <c r="V69" s="26">
        <v>0.59899999999999998</v>
      </c>
      <c r="W69" s="26">
        <v>0.59899999999999998</v>
      </c>
      <c r="X69" s="26">
        <v>0.59899999999999998</v>
      </c>
      <c r="Y69" s="22">
        <f t="shared" si="30"/>
        <v>0.59899999999999998</v>
      </c>
    </row>
    <row r="70" spans="3:25" x14ac:dyDescent="0.15">
      <c r="L70" s="21" t="s">
        <v>147</v>
      </c>
      <c r="M70" s="25">
        <v>0</v>
      </c>
      <c r="N70" s="25">
        <v>0</v>
      </c>
      <c r="O70" s="26">
        <v>0</v>
      </c>
      <c r="P70" s="26">
        <v>0</v>
      </c>
      <c r="Q70" s="26">
        <v>0</v>
      </c>
      <c r="R70" s="26">
        <v>0</v>
      </c>
      <c r="S70" s="26">
        <v>0</v>
      </c>
      <c r="T70" s="26">
        <v>0</v>
      </c>
      <c r="U70" s="26">
        <v>0</v>
      </c>
      <c r="V70" s="26">
        <v>0.4</v>
      </c>
      <c r="W70" s="26">
        <v>0.4</v>
      </c>
      <c r="X70" s="26">
        <v>0.4</v>
      </c>
      <c r="Y70" s="22">
        <f t="shared" si="30"/>
        <v>0.4</v>
      </c>
    </row>
    <row r="71" spans="3:25" x14ac:dyDescent="0.15">
      <c r="L71" s="21" t="s">
        <v>142</v>
      </c>
      <c r="M71" s="25">
        <f t="shared" ref="M71" si="31">M65*M66*M67*M68*M69*M70</f>
        <v>0</v>
      </c>
      <c r="N71" s="25">
        <f t="shared" ref="N71" si="32">N65*N66*N67*N68*N69*N70</f>
        <v>0</v>
      </c>
      <c r="O71" s="26">
        <f t="shared" ref="O71" si="33">O65*O66*O67*O68*O69*O70</f>
        <v>0</v>
      </c>
      <c r="P71" s="26">
        <f t="shared" ref="P71" si="34">P65*P66*P67*P68*P69*P70</f>
        <v>0</v>
      </c>
      <c r="Q71" s="26">
        <f t="shared" ref="Q71" si="35">Q65*Q66*Q67*Q68*Q69*Q70</f>
        <v>0</v>
      </c>
      <c r="R71" s="26">
        <f t="shared" ref="R71" si="36">R65*R66*R67*R68*R69*R70</f>
        <v>0</v>
      </c>
      <c r="S71" s="26">
        <f t="shared" ref="S71" si="37">S65*S66*S67*S68*S69*S70</f>
        <v>0</v>
      </c>
      <c r="T71" s="26">
        <f t="shared" ref="T71" si="38">T65*T66*T67*T68*T69*T70</f>
        <v>0</v>
      </c>
      <c r="U71" s="26">
        <f t="shared" ref="U71" si="39">U65*U66*U67*U68*U69*U70</f>
        <v>0</v>
      </c>
      <c r="V71" s="26">
        <f>V65*V66*V67*V69*V68*V70</f>
        <v>4.1091399999999993E-2</v>
      </c>
      <c r="W71" s="26">
        <f>W65*W66*W67*W69*W68*W70</f>
        <v>4.1309246057099985E-2</v>
      </c>
      <c r="X71" s="26">
        <f>X65*X66*X67*X69*X68*X70</f>
        <v>4.1528247025071685E-2</v>
      </c>
      <c r="Y71" s="22">
        <f t="shared" si="30"/>
        <v>4.1528247025071685E-2</v>
      </c>
    </row>
    <row r="73" spans="3:25" x14ac:dyDescent="0.15">
      <c r="L73" s="21" t="s">
        <v>152</v>
      </c>
      <c r="M73" s="21">
        <v>0</v>
      </c>
      <c r="N73" s="21">
        <v>0</v>
      </c>
      <c r="O73" s="21">
        <v>0</v>
      </c>
      <c r="P73" s="21">
        <v>0</v>
      </c>
      <c r="Q73" s="21">
        <v>0</v>
      </c>
      <c r="R73" s="21">
        <v>0</v>
      </c>
      <c r="S73" s="21">
        <v>0</v>
      </c>
      <c r="T73" s="21">
        <v>0</v>
      </c>
      <c r="U73" s="21">
        <v>0</v>
      </c>
      <c r="V73" s="24">
        <f>M12</f>
        <v>1666666.6666666667</v>
      </c>
      <c r="W73" s="24">
        <f>V73*(1+$M$7)</f>
        <v>1785000</v>
      </c>
      <c r="X73" s="24">
        <f>W73*(1+$M$7)</f>
        <v>1911735</v>
      </c>
      <c r="Y73" s="24">
        <f t="shared" ref="Y73:Y78" si="40">SUM(M73:X73)</f>
        <v>5363401.666666667</v>
      </c>
    </row>
    <row r="74" spans="3:25" x14ac:dyDescent="0.15">
      <c r="L74" s="21" t="s">
        <v>136</v>
      </c>
      <c r="M74" s="21">
        <v>0</v>
      </c>
      <c r="N74" s="21">
        <v>0</v>
      </c>
      <c r="O74" s="21">
        <v>0</v>
      </c>
      <c r="P74" s="21">
        <v>0</v>
      </c>
      <c r="Q74" s="21">
        <v>0</v>
      </c>
      <c r="R74" s="21">
        <v>0</v>
      </c>
      <c r="S74" s="21">
        <v>0</v>
      </c>
      <c r="T74" s="21">
        <v>0</v>
      </c>
      <c r="U74" s="21">
        <v>0</v>
      </c>
      <c r="V74" s="24">
        <f>V73*$M$8</f>
        <v>41666.666666666672</v>
      </c>
      <c r="W74" s="24">
        <f>W73*$M$8</f>
        <v>44625</v>
      </c>
      <c r="X74" s="24">
        <f>X73*$M$8</f>
        <v>47793.375</v>
      </c>
      <c r="Y74" s="24">
        <f t="shared" si="40"/>
        <v>134085.04166666669</v>
      </c>
    </row>
    <row r="75" spans="3:25" x14ac:dyDescent="0.15">
      <c r="L75" s="21" t="s">
        <v>171</v>
      </c>
      <c r="M75" s="24">
        <v>0</v>
      </c>
      <c r="N75" s="24">
        <v>0</v>
      </c>
      <c r="O75" s="24">
        <v>0</v>
      </c>
      <c r="P75" s="24">
        <v>0</v>
      </c>
      <c r="Q75" s="24">
        <v>0</v>
      </c>
      <c r="R75" s="24">
        <v>0</v>
      </c>
      <c r="S75" s="24">
        <v>0</v>
      </c>
      <c r="T75" s="24">
        <v>0</v>
      </c>
      <c r="U75" s="24">
        <v>0</v>
      </c>
      <c r="V75" s="24">
        <f>V89</f>
        <v>1907.6893333333337</v>
      </c>
      <c r="W75" s="24">
        <f t="shared" ref="W75:X75" si="41">W89</f>
        <v>2016.7913333333336</v>
      </c>
      <c r="X75" s="24">
        <f t="shared" si="41"/>
        <v>2125.8933333333334</v>
      </c>
      <c r="Y75" s="24">
        <f t="shared" si="40"/>
        <v>6050.3740000000007</v>
      </c>
    </row>
    <row r="76" spans="3:25" x14ac:dyDescent="0.15">
      <c r="L76" s="21" t="s">
        <v>138</v>
      </c>
      <c r="M76" s="21">
        <v>0</v>
      </c>
      <c r="N76" s="21">
        <v>0</v>
      </c>
      <c r="O76" s="21">
        <v>0</v>
      </c>
      <c r="P76" s="21">
        <v>0</v>
      </c>
      <c r="Q76" s="21">
        <v>0</v>
      </c>
      <c r="R76" s="21">
        <v>0</v>
      </c>
      <c r="S76" s="21">
        <v>0</v>
      </c>
      <c r="T76" s="21">
        <v>0</v>
      </c>
      <c r="U76" s="21">
        <v>0</v>
      </c>
      <c r="V76" s="24">
        <f>(V74*V71)+(V75*V71)</f>
        <v>1790.5312921384</v>
      </c>
      <c r="W76" s="24">
        <f t="shared" ref="W76:X76" si="42">(W74*W71)+(W75*W71)</f>
        <v>1926.7372347325804</v>
      </c>
      <c r="X76" s="24">
        <f t="shared" si="42"/>
        <v>2073.0597066575051</v>
      </c>
      <c r="Y76" s="24">
        <f t="shared" si="40"/>
        <v>5790.3282335284857</v>
      </c>
    </row>
    <row r="77" spans="3:25" x14ac:dyDescent="0.15">
      <c r="L77" s="21" t="s">
        <v>139</v>
      </c>
      <c r="M77" s="21">
        <v>0</v>
      </c>
      <c r="N77" s="21">
        <v>0</v>
      </c>
      <c r="O77" s="21">
        <v>0</v>
      </c>
      <c r="P77" s="21">
        <v>0</v>
      </c>
      <c r="Q77" s="21">
        <v>0</v>
      </c>
      <c r="R77" s="21">
        <v>0</v>
      </c>
      <c r="S77" s="21">
        <v>0</v>
      </c>
      <c r="T77" s="21">
        <v>0</v>
      </c>
      <c r="U77" s="21">
        <v>0</v>
      </c>
      <c r="V77" s="29">
        <f>V76*($M$18*$M$23)</f>
        <v>1504046285.396256</v>
      </c>
      <c r="W77" s="29">
        <f>W76*($M$18*$M$23)</f>
        <v>1618459277.1753676</v>
      </c>
      <c r="X77" s="29">
        <f>X76*($M$18*$M$23)</f>
        <v>1741370153.5923042</v>
      </c>
      <c r="Y77" s="24">
        <f t="shared" si="40"/>
        <v>4863875716.163928</v>
      </c>
    </row>
    <row r="78" spans="3:25" x14ac:dyDescent="0.15">
      <c r="L78" s="21" t="s">
        <v>140</v>
      </c>
      <c r="M78" s="21">
        <v>0</v>
      </c>
      <c r="N78" s="21">
        <v>0</v>
      </c>
      <c r="O78" s="21">
        <v>0</v>
      </c>
      <c r="P78" s="21">
        <v>0</v>
      </c>
      <c r="Q78" s="21">
        <v>0</v>
      </c>
      <c r="R78" s="21">
        <v>0</v>
      </c>
      <c r="S78" s="21">
        <v>0</v>
      </c>
      <c r="T78" s="21">
        <v>0</v>
      </c>
      <c r="U78" s="21">
        <v>0</v>
      </c>
      <c r="V78" s="30">
        <f>V77*$M$19</f>
        <v>216582665.09706083</v>
      </c>
      <c r="W78" s="30">
        <f>W77*$M$19</f>
        <v>233058135.91325292</v>
      </c>
      <c r="X78" s="30">
        <f>X77*$M$19</f>
        <v>250757302.11729178</v>
      </c>
      <c r="Y78" s="24">
        <f t="shared" si="40"/>
        <v>700398103.12760556</v>
      </c>
    </row>
    <row r="80" spans="3:25" x14ac:dyDescent="0.15">
      <c r="M80" s="33">
        <v>1</v>
      </c>
      <c r="N80" s="33">
        <v>2</v>
      </c>
      <c r="O80" s="33">
        <v>3</v>
      </c>
      <c r="P80" s="33">
        <v>4</v>
      </c>
      <c r="Q80" s="33">
        <v>5</v>
      </c>
      <c r="R80" s="33">
        <v>6</v>
      </c>
      <c r="S80" s="33">
        <v>7</v>
      </c>
      <c r="T80" s="33">
        <v>8</v>
      </c>
      <c r="U80" s="33">
        <v>9</v>
      </c>
      <c r="V80" s="33">
        <v>10</v>
      </c>
      <c r="W80" s="33">
        <v>11</v>
      </c>
      <c r="X80" s="33">
        <v>12</v>
      </c>
    </row>
    <row r="81" spans="12:26" ht="21" thickBot="1" x14ac:dyDescent="0.25">
      <c r="L81" s="10"/>
    </row>
    <row r="82" spans="12:26" ht="16" x14ac:dyDescent="0.2">
      <c r="L82" s="20" t="s">
        <v>154</v>
      </c>
    </row>
    <row r="83" spans="12:26" x14ac:dyDescent="0.15">
      <c r="L83" s="49" t="s">
        <v>174</v>
      </c>
      <c r="M83" s="61">
        <f>M43+M60+M76+M45</f>
        <v>2108.2756200000017</v>
      </c>
      <c r="N83" s="61">
        <f t="shared" ref="N83:X83" si="43">N43+N60+N76+N45</f>
        <v>2350.8555895551121</v>
      </c>
      <c r="O83" s="61">
        <f t="shared" si="43"/>
        <v>2762.1572266623266</v>
      </c>
      <c r="P83" s="61">
        <f t="shared" si="43"/>
        <v>3004.3037453479965</v>
      </c>
      <c r="Q83" s="61">
        <f t="shared" si="43"/>
        <v>3267.0442125773438</v>
      </c>
      <c r="R83" s="61">
        <f t="shared" si="43"/>
        <v>6580.3769001313058</v>
      </c>
      <c r="S83" s="61">
        <f t="shared" si="43"/>
        <v>7108.8994869473618</v>
      </c>
      <c r="T83" s="61">
        <f t="shared" si="43"/>
        <v>7714.8716557171483</v>
      </c>
      <c r="U83" s="61">
        <f t="shared" si="43"/>
        <v>8510.2950864958129</v>
      </c>
      <c r="V83" s="61">
        <f t="shared" si="43"/>
        <v>12073.138361045789</v>
      </c>
      <c r="W83" s="61">
        <f t="shared" si="43"/>
        <v>20537.72300824611</v>
      </c>
      <c r="X83" s="61">
        <f t="shared" si="43"/>
        <v>12664.641779188301</v>
      </c>
      <c r="Y83" s="24">
        <f>SUM(M83:X83)</f>
        <v>88682.582671914599</v>
      </c>
      <c r="Z83" s="61"/>
    </row>
    <row r="84" spans="12:26" x14ac:dyDescent="0.15">
      <c r="L84" s="49" t="s">
        <v>183</v>
      </c>
      <c r="M84" s="61">
        <f>M43+M60+M76</f>
        <v>2108.2756200000017</v>
      </c>
      <c r="N84" s="61">
        <f t="shared" ref="N84:X84" si="44">N43+N60+N76</f>
        <v>2350.8555895551121</v>
      </c>
      <c r="O84" s="61">
        <f t="shared" si="44"/>
        <v>2762.1572266623266</v>
      </c>
      <c r="P84" s="61">
        <f t="shared" si="44"/>
        <v>3004.3037453479965</v>
      </c>
      <c r="Q84" s="61">
        <f t="shared" si="44"/>
        <v>3267.0442125773438</v>
      </c>
      <c r="R84" s="61">
        <f t="shared" si="44"/>
        <v>6571.8769001313058</v>
      </c>
      <c r="S84" s="61">
        <f t="shared" si="44"/>
        <v>7096.1494869473618</v>
      </c>
      <c r="T84" s="61">
        <f t="shared" si="44"/>
        <v>7689.3716557171483</v>
      </c>
      <c r="U84" s="61">
        <f t="shared" si="44"/>
        <v>8331.2850864958127</v>
      </c>
      <c r="V84" s="61">
        <f t="shared" si="44"/>
        <v>10816.488161045789</v>
      </c>
      <c r="W84" s="61">
        <f t="shared" si="44"/>
        <v>11704.53320824611</v>
      </c>
      <c r="X84" s="61">
        <f t="shared" si="44"/>
        <v>12664.641779188301</v>
      </c>
      <c r="Y84" s="24">
        <f>SUM(M84:X84)</f>
        <v>78366.982671914593</v>
      </c>
      <c r="Z84" s="61"/>
    </row>
    <row r="85" spans="12:26" x14ac:dyDescent="0.15">
      <c r="L85" s="49" t="s">
        <v>172</v>
      </c>
      <c r="M85" s="51"/>
      <c r="N85" s="51"/>
      <c r="O85" s="51"/>
      <c r="P85" s="51"/>
      <c r="Q85" s="51"/>
      <c r="R85" s="52">
        <f>'Hipótesis de Ingresos MVP '!G57</f>
        <v>10</v>
      </c>
      <c r="S85" s="52">
        <f>'Hipótesis de Ingresos MVP '!G58</f>
        <v>15</v>
      </c>
      <c r="T85" s="52">
        <f>'Hipótesis de Ingresos MVP '!G59</f>
        <v>30</v>
      </c>
      <c r="U85" s="52">
        <f>'Hipótesis de Ingresos MVP '!G60</f>
        <v>210.6</v>
      </c>
      <c r="V85" s="52">
        <f>'Hipótesis de Ingresos MVP '!G61</f>
        <v>1478.4119999999998</v>
      </c>
      <c r="W85" s="52">
        <f>'Hipótesis de Ingresos MVP '!G62</f>
        <v>10391.988000000001</v>
      </c>
      <c r="X85" s="51"/>
    </row>
    <row r="86" spans="12:26" x14ac:dyDescent="0.15">
      <c r="L86" s="49" t="s">
        <v>112</v>
      </c>
      <c r="M86" s="53">
        <v>0.7</v>
      </c>
      <c r="N86" s="53">
        <v>0.72</v>
      </c>
      <c r="O86" s="53">
        <v>0.73</v>
      </c>
      <c r="P86" s="53">
        <v>0.74666666666666703</v>
      </c>
      <c r="Q86" s="53">
        <v>0.76166666666666705</v>
      </c>
      <c r="R86" s="53">
        <v>0.77666666666666695</v>
      </c>
      <c r="S86" s="53">
        <v>0.79166666666666696</v>
      </c>
      <c r="T86" s="53">
        <v>0.80666666666666698</v>
      </c>
      <c r="U86" s="53">
        <v>0.82166666666666699</v>
      </c>
      <c r="V86" s="53">
        <v>0.836666666666667</v>
      </c>
      <c r="W86" s="53">
        <v>0.85166666666666702</v>
      </c>
      <c r="X86" s="53">
        <v>0.86666666666666703</v>
      </c>
      <c r="Y86" s="66">
        <f>AVERAGE(M86:X86)</f>
        <v>0.78416666666666701</v>
      </c>
      <c r="Z86" s="3">
        <f>Y86*5%</f>
        <v>3.9208333333333352E-2</v>
      </c>
    </row>
    <row r="87" spans="12:26" x14ac:dyDescent="0.15">
      <c r="L87" s="54" t="s">
        <v>155</v>
      </c>
      <c r="M87" s="55">
        <v>0.05</v>
      </c>
      <c r="N87" s="55">
        <v>0.05</v>
      </c>
      <c r="O87" s="55">
        <v>0.05</v>
      </c>
      <c r="P87" s="55">
        <v>0.05</v>
      </c>
      <c r="Q87" s="55">
        <v>0.05</v>
      </c>
      <c r="R87" s="55">
        <v>0.05</v>
      </c>
      <c r="S87" s="55">
        <v>0.05</v>
      </c>
      <c r="T87" s="55">
        <v>0.05</v>
      </c>
      <c r="U87" s="55">
        <v>0.05</v>
      </c>
      <c r="V87" s="55">
        <v>0.05</v>
      </c>
      <c r="W87" s="55">
        <v>0.05</v>
      </c>
      <c r="X87" s="55">
        <v>0.05</v>
      </c>
      <c r="Y87" s="66">
        <f>AVERAGE(M87:X87)</f>
        <v>4.9999999999999996E-2</v>
      </c>
    </row>
    <row r="88" spans="12:26" x14ac:dyDescent="0.15">
      <c r="L88" s="58" t="s">
        <v>157</v>
      </c>
      <c r="M88" s="51">
        <v>500</v>
      </c>
      <c r="N88" s="51">
        <v>600</v>
      </c>
      <c r="O88" s="51">
        <v>700</v>
      </c>
      <c r="P88" s="51">
        <v>800</v>
      </c>
      <c r="Q88" s="51">
        <v>900</v>
      </c>
      <c r="R88" s="51">
        <v>1000</v>
      </c>
      <c r="S88" s="51">
        <v>1100</v>
      </c>
      <c r="T88" s="51">
        <v>1200</v>
      </c>
      <c r="U88" s="51">
        <v>1300</v>
      </c>
      <c r="V88" s="51">
        <v>1400</v>
      </c>
      <c r="W88" s="51">
        <v>1500</v>
      </c>
      <c r="X88" s="51">
        <v>1600</v>
      </c>
      <c r="Y88" s="70">
        <f>MAX(M88:X88)</f>
        <v>1600</v>
      </c>
    </row>
    <row r="89" spans="12:26" x14ac:dyDescent="0.15">
      <c r="L89" s="56" t="s">
        <v>156</v>
      </c>
      <c r="M89" s="57">
        <f t="shared" ref="M89:X89" si="45">M88+($M$11*(M86*M87))</f>
        <v>924.76</v>
      </c>
      <c r="N89" s="57">
        <f t="shared" si="45"/>
        <v>1036.896</v>
      </c>
      <c r="O89" s="57">
        <f t="shared" si="45"/>
        <v>1142.9639999999999</v>
      </c>
      <c r="P89" s="57">
        <f t="shared" si="45"/>
        <v>1253.0773333333336</v>
      </c>
      <c r="Q89" s="57">
        <f t="shared" si="45"/>
        <v>1362.1793333333337</v>
      </c>
      <c r="R89" s="57">
        <f t="shared" si="45"/>
        <v>1471.2813333333336</v>
      </c>
      <c r="S89" s="57">
        <f t="shared" si="45"/>
        <v>1580.3833333333337</v>
      </c>
      <c r="T89" s="57">
        <f t="shared" si="45"/>
        <v>1689.4853333333335</v>
      </c>
      <c r="U89" s="57">
        <f t="shared" si="45"/>
        <v>1798.5873333333336</v>
      </c>
      <c r="V89" s="57">
        <f t="shared" si="45"/>
        <v>1907.6893333333337</v>
      </c>
      <c r="W89" s="57">
        <f t="shared" si="45"/>
        <v>2016.7913333333336</v>
      </c>
      <c r="X89" s="57">
        <f t="shared" si="45"/>
        <v>2125.8933333333334</v>
      </c>
      <c r="Y89" s="50"/>
    </row>
    <row r="90" spans="12:26" x14ac:dyDescent="0.15">
      <c r="L90" s="49" t="s">
        <v>113</v>
      </c>
      <c r="M90" s="51"/>
      <c r="N90" s="51"/>
      <c r="O90" s="51"/>
      <c r="P90" s="51"/>
      <c r="Q90" s="51"/>
      <c r="R90" s="53">
        <v>0.85</v>
      </c>
      <c r="S90" s="53">
        <v>0.85</v>
      </c>
      <c r="T90" s="53">
        <v>0.85</v>
      </c>
      <c r="U90" s="53">
        <v>0.85</v>
      </c>
      <c r="V90" s="53">
        <v>0.85</v>
      </c>
      <c r="W90" s="53">
        <v>0.85</v>
      </c>
      <c r="X90" s="51"/>
      <c r="Y90" s="50"/>
    </row>
    <row r="91" spans="12:26" x14ac:dyDescent="0.15">
      <c r="M91" s="51"/>
      <c r="N91" s="51"/>
      <c r="O91" s="51"/>
      <c r="P91" s="51"/>
      <c r="Q91" s="51"/>
      <c r="R91" s="53">
        <v>0.85</v>
      </c>
      <c r="S91" s="53">
        <v>0.85</v>
      </c>
      <c r="T91" s="53">
        <v>0.85</v>
      </c>
      <c r="U91" s="53">
        <v>0.85</v>
      </c>
      <c r="V91" s="53">
        <v>0.85</v>
      </c>
      <c r="W91" s="53">
        <v>0.85</v>
      </c>
      <c r="X91" s="51"/>
      <c r="Y91" s="50"/>
      <c r="Z91" s="67">
        <f>3%*5%</f>
        <v>1.5E-3</v>
      </c>
    </row>
    <row r="93" spans="12:26" ht="21" thickBot="1" x14ac:dyDescent="0.25">
      <c r="L93" s="10" t="s">
        <v>162</v>
      </c>
      <c r="M93" s="29">
        <f t="shared" ref="M93:X93" si="46">M78+M62+M46</f>
        <v>272018153.59488022</v>
      </c>
      <c r="N93" s="29">
        <f t="shared" si="46"/>
        <v>303316791.58675873</v>
      </c>
      <c r="O93" s="29">
        <f t="shared" si="46"/>
        <v>356384574.01288003</v>
      </c>
      <c r="P93" s="29">
        <f t="shared" si="46"/>
        <v>387627286.43977988</v>
      </c>
      <c r="Q93" s="29">
        <f t="shared" si="46"/>
        <v>421527112.48357922</v>
      </c>
      <c r="R93" s="29">
        <f t="shared" si="46"/>
        <v>506696599.0811016</v>
      </c>
      <c r="S93" s="29">
        <f t="shared" si="46"/>
        <v>550076073.56589639</v>
      </c>
      <c r="T93" s="29">
        <f t="shared" si="46"/>
        <v>597552954.14898229</v>
      </c>
      <c r="U93" s="29">
        <f t="shared" si="46"/>
        <v>649061702.81725788</v>
      </c>
      <c r="V93" s="29">
        <f t="shared" si="46"/>
        <v>921531745.8541851</v>
      </c>
      <c r="W93" s="29">
        <f t="shared" si="46"/>
        <v>998650623.66389465</v>
      </c>
      <c r="X93" s="29">
        <f t="shared" si="46"/>
        <v>1082155064.328223</v>
      </c>
      <c r="Y93" s="11">
        <f>SUM(M93:X93)</f>
        <v>7046598681.5774193</v>
      </c>
    </row>
    <row r="95" spans="12:26" ht="20" x14ac:dyDescent="0.2">
      <c r="L95" s="32" t="s">
        <v>65</v>
      </c>
    </row>
    <row r="96" spans="12:26" ht="16" x14ac:dyDescent="0.2">
      <c r="L96" s="46" t="s">
        <v>159</v>
      </c>
      <c r="M96" s="21"/>
      <c r="N96" s="21"/>
      <c r="O96" s="21"/>
      <c r="P96" s="21"/>
      <c r="Q96" s="21"/>
      <c r="R96" s="21"/>
      <c r="S96" s="21"/>
      <c r="T96" s="21"/>
      <c r="U96" s="21"/>
      <c r="V96" s="21"/>
      <c r="W96" s="21"/>
      <c r="X96" s="21"/>
      <c r="Y96" s="21"/>
    </row>
    <row r="97" spans="12:25" x14ac:dyDescent="0.15">
      <c r="L97" s="45" t="s">
        <v>160</v>
      </c>
      <c r="M97" s="47">
        <f>H22</f>
        <v>112375246.818312</v>
      </c>
      <c r="N97" s="47">
        <f>M97</f>
        <v>112375246.818312</v>
      </c>
      <c r="O97" s="47">
        <f t="shared" ref="O97:X97" si="47">N97</f>
        <v>112375246.818312</v>
      </c>
      <c r="P97" s="47">
        <f t="shared" si="47"/>
        <v>112375246.818312</v>
      </c>
      <c r="Q97" s="47">
        <f t="shared" si="47"/>
        <v>112375246.818312</v>
      </c>
      <c r="R97" s="47">
        <f t="shared" si="47"/>
        <v>112375246.818312</v>
      </c>
      <c r="S97" s="47">
        <f t="shared" si="47"/>
        <v>112375246.818312</v>
      </c>
      <c r="T97" s="47">
        <f t="shared" si="47"/>
        <v>112375246.818312</v>
      </c>
      <c r="U97" s="47">
        <f t="shared" si="47"/>
        <v>112375246.818312</v>
      </c>
      <c r="V97" s="47">
        <f t="shared" si="47"/>
        <v>112375246.818312</v>
      </c>
      <c r="W97" s="47">
        <f t="shared" si="47"/>
        <v>112375246.818312</v>
      </c>
      <c r="X97" s="47">
        <f t="shared" si="47"/>
        <v>112375246.818312</v>
      </c>
      <c r="Y97" s="24">
        <f>SUM(M97:X97)</f>
        <v>1348502961.8197441</v>
      </c>
    </row>
    <row r="98" spans="12:25" x14ac:dyDescent="0.15">
      <c r="L98" s="45" t="s">
        <v>14</v>
      </c>
      <c r="M98" s="29">
        <f>'Costos y Gastos Fijos'!E11*(1+D37)</f>
        <v>1080000</v>
      </c>
      <c r="N98" s="29">
        <f>M98*(1+$D$37)</f>
        <v>1166400</v>
      </c>
      <c r="O98" s="29">
        <f t="shared" ref="O98:X98" si="48">N98*(1+$D$37)</f>
        <v>1259712</v>
      </c>
      <c r="P98" s="29">
        <f t="shared" si="48"/>
        <v>1360488.9600000002</v>
      </c>
      <c r="Q98" s="29">
        <f t="shared" si="48"/>
        <v>1469328.0768000004</v>
      </c>
      <c r="R98" s="29">
        <f t="shared" si="48"/>
        <v>1586874.3229440006</v>
      </c>
      <c r="S98" s="29">
        <f t="shared" si="48"/>
        <v>1713824.2687795206</v>
      </c>
      <c r="T98" s="29">
        <f t="shared" si="48"/>
        <v>1850930.2102818824</v>
      </c>
      <c r="U98" s="29">
        <f t="shared" si="48"/>
        <v>1999004.6271044333</v>
      </c>
      <c r="V98" s="29">
        <f t="shared" si="48"/>
        <v>2158924.9972727881</v>
      </c>
      <c r="W98" s="29">
        <f t="shared" si="48"/>
        <v>2331638.9970546113</v>
      </c>
      <c r="X98" s="29">
        <f t="shared" si="48"/>
        <v>2518170.1168189803</v>
      </c>
      <c r="Y98" s="24">
        <f>SUM(M98:X98)</f>
        <v>20495296.577056214</v>
      </c>
    </row>
    <row r="99" spans="12:25" x14ac:dyDescent="0.15">
      <c r="L99" s="45" t="s">
        <v>13</v>
      </c>
      <c r="M99" s="88">
        <f>M97*50%</f>
        <v>56187623.409156002</v>
      </c>
      <c r="N99" s="88">
        <f t="shared" ref="N99:X99" si="49">N97*50%</f>
        <v>56187623.409156002</v>
      </c>
      <c r="O99" s="88">
        <f t="shared" si="49"/>
        <v>56187623.409156002</v>
      </c>
      <c r="P99" s="88">
        <f t="shared" si="49"/>
        <v>56187623.409156002</v>
      </c>
      <c r="Q99" s="88">
        <f t="shared" si="49"/>
        <v>56187623.409156002</v>
      </c>
      <c r="R99" s="88">
        <f t="shared" si="49"/>
        <v>56187623.409156002</v>
      </c>
      <c r="S99" s="88">
        <f t="shared" si="49"/>
        <v>56187623.409156002</v>
      </c>
      <c r="T99" s="88">
        <f t="shared" si="49"/>
        <v>56187623.409156002</v>
      </c>
      <c r="U99" s="88">
        <f t="shared" si="49"/>
        <v>56187623.409156002</v>
      </c>
      <c r="V99" s="88">
        <f t="shared" si="49"/>
        <v>56187623.409156002</v>
      </c>
      <c r="W99" s="88">
        <f t="shared" si="49"/>
        <v>56187623.409156002</v>
      </c>
      <c r="X99" s="88">
        <f t="shared" si="49"/>
        <v>56187623.409156002</v>
      </c>
      <c r="Y99" s="24">
        <f>SUM(M99:X99)</f>
        <v>674251480.90987206</v>
      </c>
    </row>
    <row r="100" spans="12:25" x14ac:dyDescent="0.15">
      <c r="L100" s="45" t="s">
        <v>166</v>
      </c>
      <c r="M100" s="29">
        <f>'Costos y Gastos Fijos'!E12*(1+D37)</f>
        <v>1620000</v>
      </c>
      <c r="N100" s="29">
        <f>M100*(1+$D$37)</f>
        <v>1749600</v>
      </c>
      <c r="O100" s="29">
        <f t="shared" ref="O100:X100" si="50">N100*(1+$D$37)</f>
        <v>1889568.0000000002</v>
      </c>
      <c r="P100" s="29">
        <f t="shared" si="50"/>
        <v>2040733.4400000004</v>
      </c>
      <c r="Q100" s="29">
        <f t="shared" si="50"/>
        <v>2203992.1152000008</v>
      </c>
      <c r="R100" s="29">
        <f t="shared" si="50"/>
        <v>2380311.484416001</v>
      </c>
      <c r="S100" s="29">
        <f t="shared" si="50"/>
        <v>2570736.4031692813</v>
      </c>
      <c r="T100" s="29">
        <f t="shared" si="50"/>
        <v>2776395.3154228241</v>
      </c>
      <c r="U100" s="29">
        <f t="shared" si="50"/>
        <v>2998506.9406566503</v>
      </c>
      <c r="V100" s="29">
        <f t="shared" si="50"/>
        <v>3238387.4959091824</v>
      </c>
      <c r="W100" s="29">
        <f t="shared" si="50"/>
        <v>3497458.495581917</v>
      </c>
      <c r="X100" s="29">
        <f t="shared" si="50"/>
        <v>3777255.1752284705</v>
      </c>
      <c r="Y100" s="24">
        <f>SUM(M100:X100)</f>
        <v>30742944.865584329</v>
      </c>
    </row>
    <row r="101" spans="12:25" x14ac:dyDescent="0.15">
      <c r="L101" s="21" t="s">
        <v>168</v>
      </c>
      <c r="M101" s="47">
        <f t="shared" ref="M101:X101" si="51">SUM(M97:M100)</f>
        <v>171262870.22746801</v>
      </c>
      <c r="N101" s="47">
        <f t="shared" si="51"/>
        <v>171478870.22746801</v>
      </c>
      <c r="O101" s="47">
        <f t="shared" si="51"/>
        <v>171712150.22746801</v>
      </c>
      <c r="P101" s="47">
        <f t="shared" si="51"/>
        <v>171964092.62746799</v>
      </c>
      <c r="Q101" s="47">
        <f t="shared" si="51"/>
        <v>172236190.41946802</v>
      </c>
      <c r="R101" s="47">
        <f t="shared" si="51"/>
        <v>172530056.03482801</v>
      </c>
      <c r="S101" s="47">
        <f t="shared" si="51"/>
        <v>172847430.8994168</v>
      </c>
      <c r="T101" s="47">
        <f t="shared" si="51"/>
        <v>173190195.75317273</v>
      </c>
      <c r="U101" s="47">
        <f t="shared" si="51"/>
        <v>173560381.79522911</v>
      </c>
      <c r="V101" s="47">
        <f t="shared" si="51"/>
        <v>173960182.72064999</v>
      </c>
      <c r="W101" s="47">
        <f t="shared" si="51"/>
        <v>174391967.72010455</v>
      </c>
      <c r="X101" s="47">
        <f t="shared" si="51"/>
        <v>174858295.51951545</v>
      </c>
      <c r="Y101" s="24">
        <f>SUM(M101:X101)</f>
        <v>2073992684.1722565</v>
      </c>
    </row>
    <row r="102" spans="12:25" ht="16" x14ac:dyDescent="0.2">
      <c r="L102" s="48" t="s">
        <v>102</v>
      </c>
      <c r="M102" s="21"/>
      <c r="N102" s="21"/>
      <c r="O102" s="21"/>
      <c r="P102" s="21"/>
      <c r="Q102" s="21"/>
      <c r="R102" s="21"/>
      <c r="S102" s="21"/>
      <c r="T102" s="21"/>
      <c r="U102" s="21"/>
      <c r="V102" s="21"/>
      <c r="W102" s="21"/>
      <c r="X102" s="21"/>
      <c r="Y102" s="21"/>
    </row>
    <row r="103" spans="12:25" x14ac:dyDescent="0.15">
      <c r="L103" s="45" t="s">
        <v>103</v>
      </c>
      <c r="M103" s="30">
        <f t="shared" ref="M103:X103" si="52">M93*$D$29</f>
        <v>8160544.6078464063</v>
      </c>
      <c r="N103" s="30">
        <f t="shared" si="52"/>
        <v>9099503.7476027608</v>
      </c>
      <c r="O103" s="30">
        <f t="shared" si="52"/>
        <v>10691537.220386401</v>
      </c>
      <c r="P103" s="30">
        <f t="shared" si="52"/>
        <v>11628818.593193395</v>
      </c>
      <c r="Q103" s="30">
        <f t="shared" si="52"/>
        <v>12645813.374507377</v>
      </c>
      <c r="R103" s="30">
        <f t="shared" si="52"/>
        <v>15200897.972433047</v>
      </c>
      <c r="S103" s="30">
        <f t="shared" si="52"/>
        <v>16502282.206976891</v>
      </c>
      <c r="T103" s="30">
        <f t="shared" si="52"/>
        <v>17926588.624469467</v>
      </c>
      <c r="U103" s="30">
        <f t="shared" si="52"/>
        <v>19471851.084517736</v>
      </c>
      <c r="V103" s="30">
        <f t="shared" si="52"/>
        <v>27645952.375625551</v>
      </c>
      <c r="W103" s="30">
        <f t="shared" si="52"/>
        <v>29959518.709916838</v>
      </c>
      <c r="X103" s="30">
        <f t="shared" si="52"/>
        <v>32464651.929846689</v>
      </c>
      <c r="Y103" s="24">
        <f t="shared" ref="Y103:Y109" si="53">SUM(M103:X103)</f>
        <v>211397960.44732255</v>
      </c>
    </row>
    <row r="104" spans="12:25" x14ac:dyDescent="0.15">
      <c r="L104" s="45" t="s">
        <v>104</v>
      </c>
      <c r="M104" s="30">
        <f t="shared" ref="M104:X104" si="54">M93*$D$30</f>
        <v>27201815.359488025</v>
      </c>
      <c r="N104" s="30">
        <f t="shared" si="54"/>
        <v>30331679.158675876</v>
      </c>
      <c r="O104" s="30">
        <f t="shared" si="54"/>
        <v>35638457.401288003</v>
      </c>
      <c r="P104" s="30">
        <f t="shared" si="54"/>
        <v>38762728.643977992</v>
      </c>
      <c r="Q104" s="30">
        <f t="shared" si="54"/>
        <v>42152711.248357922</v>
      </c>
      <c r="R104" s="30">
        <f t="shared" si="54"/>
        <v>50669659.908110164</v>
      </c>
      <c r="S104" s="30">
        <f t="shared" si="54"/>
        <v>55007607.356589645</v>
      </c>
      <c r="T104" s="30">
        <f t="shared" si="54"/>
        <v>59755295.414898232</v>
      </c>
      <c r="U104" s="30">
        <f t="shared" si="54"/>
        <v>64906170.281725794</v>
      </c>
      <c r="V104" s="30">
        <f t="shared" si="54"/>
        <v>92153174.585418522</v>
      </c>
      <c r="W104" s="30">
        <f t="shared" si="54"/>
        <v>99865062.366389468</v>
      </c>
      <c r="X104" s="30">
        <f t="shared" si="54"/>
        <v>108215506.4328223</v>
      </c>
      <c r="Y104" s="24">
        <f t="shared" si="53"/>
        <v>704659868.15774202</v>
      </c>
    </row>
    <row r="105" spans="12:25" x14ac:dyDescent="0.15">
      <c r="L105" s="45" t="s">
        <v>107</v>
      </c>
      <c r="M105" s="29">
        <f t="shared" ref="M105:X105" si="55">M93*$D$31</f>
        <v>13600907.679744013</v>
      </c>
      <c r="N105" s="29">
        <f t="shared" si="55"/>
        <v>15165839.579337938</v>
      </c>
      <c r="O105" s="29">
        <f t="shared" si="55"/>
        <v>17819228.700644001</v>
      </c>
      <c r="P105" s="29">
        <f t="shared" si="55"/>
        <v>19381364.321988996</v>
      </c>
      <c r="Q105" s="29">
        <f t="shared" si="55"/>
        <v>21076355.624178961</v>
      </c>
      <c r="R105" s="29">
        <f t="shared" si="55"/>
        <v>25334829.954055082</v>
      </c>
      <c r="S105" s="29">
        <f t="shared" si="55"/>
        <v>27503803.678294823</v>
      </c>
      <c r="T105" s="29">
        <f t="shared" si="55"/>
        <v>29877647.707449116</v>
      </c>
      <c r="U105" s="29">
        <f t="shared" si="55"/>
        <v>32453085.140862897</v>
      </c>
      <c r="V105" s="29">
        <f t="shared" si="55"/>
        <v>46076587.292709261</v>
      </c>
      <c r="W105" s="29">
        <f t="shared" si="55"/>
        <v>49932531.183194734</v>
      </c>
      <c r="X105" s="29">
        <f t="shared" si="55"/>
        <v>54107753.216411151</v>
      </c>
      <c r="Y105" s="24">
        <f t="shared" si="53"/>
        <v>352329934.07887101</v>
      </c>
    </row>
    <row r="106" spans="12:25" x14ac:dyDescent="0.15">
      <c r="L106" s="45" t="s">
        <v>105</v>
      </c>
      <c r="M106" s="29">
        <f t="shared" ref="M106:X106" si="56">M93*$D$32</f>
        <v>40802723.039232031</v>
      </c>
      <c r="N106" s="29">
        <f t="shared" si="56"/>
        <v>45497518.738013811</v>
      </c>
      <c r="O106" s="29">
        <f t="shared" si="56"/>
        <v>53457686.101932004</v>
      </c>
      <c r="P106" s="29">
        <f t="shared" si="56"/>
        <v>58144092.965966977</v>
      </c>
      <c r="Q106" s="29">
        <f t="shared" si="56"/>
        <v>63229066.872536883</v>
      </c>
      <c r="R106" s="29">
        <f t="shared" si="56"/>
        <v>76004489.862165242</v>
      </c>
      <c r="S106" s="29">
        <f t="shared" si="56"/>
        <v>82511411.034884453</v>
      </c>
      <c r="T106" s="29">
        <f t="shared" si="56"/>
        <v>89632943.12234734</v>
      </c>
      <c r="U106" s="29">
        <f t="shared" si="56"/>
        <v>97359255.422588676</v>
      </c>
      <c r="V106" s="29">
        <f t="shared" si="56"/>
        <v>138229761.87812775</v>
      </c>
      <c r="W106" s="29">
        <f t="shared" si="56"/>
        <v>149797593.54958418</v>
      </c>
      <c r="X106" s="29">
        <f t="shared" si="56"/>
        <v>162323259.64923343</v>
      </c>
      <c r="Y106" s="24">
        <f t="shared" si="53"/>
        <v>1056989802.2366129</v>
      </c>
    </row>
    <row r="107" spans="12:25" x14ac:dyDescent="0.15">
      <c r="L107" s="45" t="s">
        <v>123</v>
      </c>
      <c r="M107" s="29">
        <f t="shared" ref="M107:X107" si="57">M93*$D$33</f>
        <v>13600907.679744013</v>
      </c>
      <c r="N107" s="29">
        <f t="shared" si="57"/>
        <v>15165839.579337938</v>
      </c>
      <c r="O107" s="29">
        <f t="shared" si="57"/>
        <v>17819228.700644001</v>
      </c>
      <c r="P107" s="29">
        <f t="shared" si="57"/>
        <v>19381364.321988996</v>
      </c>
      <c r="Q107" s="29">
        <f t="shared" si="57"/>
        <v>21076355.624178961</v>
      </c>
      <c r="R107" s="29">
        <f t="shared" si="57"/>
        <v>25334829.954055082</v>
      </c>
      <c r="S107" s="29">
        <f t="shared" si="57"/>
        <v>27503803.678294823</v>
      </c>
      <c r="T107" s="29">
        <f t="shared" si="57"/>
        <v>29877647.707449116</v>
      </c>
      <c r="U107" s="29">
        <f t="shared" si="57"/>
        <v>32453085.140862897</v>
      </c>
      <c r="V107" s="29">
        <f t="shared" si="57"/>
        <v>46076587.292709261</v>
      </c>
      <c r="W107" s="29">
        <f t="shared" si="57"/>
        <v>49932531.183194734</v>
      </c>
      <c r="X107" s="29">
        <f t="shared" si="57"/>
        <v>54107753.216411151</v>
      </c>
      <c r="Y107" s="24">
        <f t="shared" si="53"/>
        <v>352329934.07887101</v>
      </c>
    </row>
    <row r="108" spans="12:25" x14ac:dyDescent="0.15">
      <c r="L108" s="45" t="s">
        <v>80</v>
      </c>
      <c r="M108" s="29">
        <f t="shared" ref="M108:X108" si="58">M93*$D$34</f>
        <v>12240816.91176961</v>
      </c>
      <c r="N108" s="29">
        <f t="shared" si="58"/>
        <v>13649255.621404143</v>
      </c>
      <c r="O108" s="29">
        <f t="shared" si="58"/>
        <v>16037305.830579601</v>
      </c>
      <c r="P108" s="29">
        <f t="shared" si="58"/>
        <v>17443227.889790095</v>
      </c>
      <c r="Q108" s="29">
        <f t="shared" si="58"/>
        <v>18968720.061761063</v>
      </c>
      <c r="R108" s="29">
        <f t="shared" si="58"/>
        <v>22801346.958649572</v>
      </c>
      <c r="S108" s="29">
        <f t="shared" si="58"/>
        <v>24753423.310465336</v>
      </c>
      <c r="T108" s="29">
        <f t="shared" si="58"/>
        <v>26889882.936704203</v>
      </c>
      <c r="U108" s="29">
        <f t="shared" si="58"/>
        <v>29207776.626776602</v>
      </c>
      <c r="V108" s="29">
        <f t="shared" si="58"/>
        <v>41468928.563438326</v>
      </c>
      <c r="W108" s="29">
        <f t="shared" si="58"/>
        <v>44939278.06487526</v>
      </c>
      <c r="X108" s="29">
        <f t="shared" si="58"/>
        <v>48696977.894770034</v>
      </c>
      <c r="Y108" s="24">
        <f t="shared" si="53"/>
        <v>317096940.67098385</v>
      </c>
    </row>
    <row r="109" spans="12:25" x14ac:dyDescent="0.15">
      <c r="L109" s="21" t="s">
        <v>161</v>
      </c>
      <c r="M109" s="30">
        <f>SUM(M103:M108)</f>
        <v>115607715.27782409</v>
      </c>
      <c r="N109" s="30">
        <f t="shared" ref="N109:X109" si="59">SUM(N103:N108)</f>
        <v>128909636.42437248</v>
      </c>
      <c r="O109" s="30">
        <f t="shared" si="59"/>
        <v>151463443.95547402</v>
      </c>
      <c r="P109" s="30">
        <f t="shared" si="59"/>
        <v>164741596.73690644</v>
      </c>
      <c r="Q109" s="30">
        <f t="shared" si="59"/>
        <v>179149022.80552116</v>
      </c>
      <c r="R109" s="30">
        <f t="shared" si="59"/>
        <v>215346054.60946816</v>
      </c>
      <c r="S109" s="30">
        <f t="shared" si="59"/>
        <v>233782331.26550597</v>
      </c>
      <c r="T109" s="30">
        <f t="shared" si="59"/>
        <v>253960005.51331747</v>
      </c>
      <c r="U109" s="30">
        <f t="shared" si="59"/>
        <v>275851223.69733459</v>
      </c>
      <c r="V109" s="30">
        <f t="shared" si="59"/>
        <v>391650991.98802865</v>
      </c>
      <c r="W109" s="30">
        <f t="shared" si="59"/>
        <v>424426515.05715525</v>
      </c>
      <c r="X109" s="30">
        <f t="shared" si="59"/>
        <v>459915902.33949476</v>
      </c>
      <c r="Y109" s="24">
        <f t="shared" si="53"/>
        <v>2994804439.670403</v>
      </c>
    </row>
    <row r="112" spans="12:25" ht="21" thickBot="1" x14ac:dyDescent="0.25">
      <c r="L112" s="10" t="s">
        <v>175</v>
      </c>
    </row>
    <row r="113" spans="12:25" x14ac:dyDescent="0.15">
      <c r="L113" s="2" t="s">
        <v>176</v>
      </c>
      <c r="M113" s="63">
        <f t="shared" ref="M113:X113" si="60">(M109+M97)/M83</f>
        <v>108137.1714084214</v>
      </c>
      <c r="N113" s="63">
        <f t="shared" si="60"/>
        <v>102637.05023597236</v>
      </c>
      <c r="O113" s="63">
        <f t="shared" si="60"/>
        <v>95519.070466744379</v>
      </c>
      <c r="P113" s="63">
        <f t="shared" si="60"/>
        <v>92239.955425385677</v>
      </c>
      <c r="Q113" s="63">
        <f t="shared" si="60"/>
        <v>89231.810362876029</v>
      </c>
      <c r="R113" s="63">
        <f t="shared" si="60"/>
        <v>49802.81622185513</v>
      </c>
      <c r="S113" s="63">
        <f t="shared" si="60"/>
        <v>48693.553582997942</v>
      </c>
      <c r="T113" s="63">
        <f t="shared" si="60"/>
        <v>47484.296392689139</v>
      </c>
      <c r="U113" s="63">
        <f t="shared" si="60"/>
        <v>45618.449956181503</v>
      </c>
      <c r="V113" s="63">
        <f t="shared" si="60"/>
        <v>41747.739795030502</v>
      </c>
      <c r="W113" s="63">
        <f t="shared" si="60"/>
        <v>26137.355229688106</v>
      </c>
      <c r="X113" s="63">
        <f t="shared" si="60"/>
        <v>45188.103946078285</v>
      </c>
      <c r="Y113" s="17">
        <f>SUM(M113:X113)</f>
        <v>792437.37302392046</v>
      </c>
    </row>
    <row r="114" spans="12:25" x14ac:dyDescent="0.15">
      <c r="L114" s="2" t="s">
        <v>178</v>
      </c>
    </row>
    <row r="115" spans="12:25" x14ac:dyDescent="0.15">
      <c r="L115" s="2" t="s">
        <v>179</v>
      </c>
      <c r="M115" s="64">
        <f t="shared" ref="M115:X115" si="61">(M109+M101)/M83</f>
        <v>136068.82458057921</v>
      </c>
      <c r="N115" s="64">
        <f t="shared" si="61"/>
        <v>127778.37481233271</v>
      </c>
      <c r="O115" s="64">
        <f t="shared" si="61"/>
        <v>117001.15803091112</v>
      </c>
      <c r="P115" s="64">
        <f t="shared" si="61"/>
        <v>112074.44982410489</v>
      </c>
      <c r="Q115" s="64">
        <f t="shared" si="61"/>
        <v>107554.47136963731</v>
      </c>
      <c r="R115" s="64">
        <f t="shared" si="61"/>
        <v>58944.360867316951</v>
      </c>
      <c r="S115" s="64">
        <f t="shared" si="61"/>
        <v>57200.100087437582</v>
      </c>
      <c r="T115" s="64">
        <f t="shared" si="61"/>
        <v>55367.116956501566</v>
      </c>
      <c r="U115" s="64">
        <f t="shared" si="61"/>
        <v>52807.993251102744</v>
      </c>
      <c r="V115" s="64">
        <f t="shared" si="61"/>
        <v>46848.727960712669</v>
      </c>
      <c r="W115" s="64">
        <f t="shared" si="61"/>
        <v>29157.004529510305</v>
      </c>
      <c r="X115" s="64">
        <f t="shared" si="61"/>
        <v>50121.76490472311</v>
      </c>
      <c r="Y115" s="17">
        <f>SUM(M115:X115)</f>
        <v>950924.3471748702</v>
      </c>
    </row>
    <row r="119" spans="12:25" ht="21" thickBot="1" x14ac:dyDescent="0.25">
      <c r="L119" s="10" t="s">
        <v>177</v>
      </c>
    </row>
    <row r="122" spans="12:25" x14ac:dyDescent="0.15">
      <c r="L122" s="2" t="s">
        <v>180</v>
      </c>
      <c r="M122" s="63">
        <f>Y93</f>
        <v>7046598681.5774193</v>
      </c>
    </row>
    <row r="123" spans="12:25" x14ac:dyDescent="0.15">
      <c r="L123" s="2" t="s">
        <v>181</v>
      </c>
      <c r="M123" s="61">
        <f>Y83</f>
        <v>88682.582671914599</v>
      </c>
    </row>
    <row r="124" spans="12:25" x14ac:dyDescent="0.15">
      <c r="L124" s="2" t="s">
        <v>182</v>
      </c>
      <c r="M124" s="63">
        <f>M122/M123</f>
        <v>79458.654329527635</v>
      </c>
    </row>
    <row r="125" spans="12:25" x14ac:dyDescent="0.15">
      <c r="L125" s="2" t="s">
        <v>185</v>
      </c>
      <c r="M125" s="61">
        <f>Y84</f>
        <v>78366.982671914593</v>
      </c>
    </row>
    <row r="126" spans="12:25" x14ac:dyDescent="0.15">
      <c r="L126" s="2" t="s">
        <v>184</v>
      </c>
      <c r="M126" s="65">
        <f>M123/M125</f>
        <v>1.1316319660179661</v>
      </c>
    </row>
    <row r="127" spans="12:25" x14ac:dyDescent="0.15">
      <c r="L127" s="2" t="s">
        <v>186</v>
      </c>
      <c r="M127" s="62">
        <f>M124*(M126-1)</f>
        <v>10459.298886537697</v>
      </c>
    </row>
    <row r="128" spans="12:25" x14ac:dyDescent="0.15">
      <c r="L128" s="2" t="s">
        <v>190</v>
      </c>
      <c r="M128" s="2">
        <v>3</v>
      </c>
      <c r="N128" s="2" t="s">
        <v>187</v>
      </c>
    </row>
    <row r="129" spans="12:13" x14ac:dyDescent="0.15">
      <c r="L129" s="2" t="s">
        <v>188</v>
      </c>
      <c r="M129" s="62">
        <f>M127*M128</f>
        <v>31377.896659613092</v>
      </c>
    </row>
  </sheetData>
  <scenarios current="0" show="0" sqref="M93:X93">
    <scenario name="Supuestos de Conversion - Pesimista" locked="1" count="6" user="Carlos Fidel Tonguino Rosero" comment="Creado por Carlos Fidel Tonguino Rosero el 2/04/2022_x000a_Modificado por Carlos Fidel Tonguino Rosero el 2/04/2022">
      <inputCells r="M6" val="15000000" numFmtId="3"/>
      <inputCells r="M7" val="0,05" numFmtId="165"/>
      <inputCells r="M8" val="0,015" numFmtId="10"/>
      <inputCells r="M9" val="0,035" numFmtId="10"/>
      <inputCells r="M10" val="0,0005" numFmtId="10"/>
      <inputCells r="M11" val="8000"/>
    </scenario>
  </scenarios>
  <mergeCells count="3">
    <mergeCell ref="C22:G22"/>
    <mergeCell ref="Y29:Y30"/>
    <mergeCell ref="L2:W2"/>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A3D66-C562-8C4F-A0DC-F38FEE019605}">
  <dimension ref="C2:Y143"/>
  <sheetViews>
    <sheetView showGridLines="0" topLeftCell="H83" zoomScale="119" zoomScaleNormal="100" workbookViewId="0">
      <pane xSplit="5" ySplit="28" topLeftCell="W111" activePane="bottomRight" state="frozen"/>
      <selection activeCell="H83" sqref="H83"/>
      <selection pane="topRight" activeCell="M83" sqref="M83"/>
      <selection pane="bottomLeft" activeCell="H111" sqref="H111"/>
      <selection pane="bottomRight" activeCell="L117" sqref="L117"/>
    </sheetView>
  </sheetViews>
  <sheetFormatPr baseColWidth="10" defaultColWidth="10.83203125" defaultRowHeight="14" x14ac:dyDescent="0.15"/>
  <cols>
    <col min="1" max="2" width="10.83203125" style="2"/>
    <col min="3" max="3" width="32.5" style="2" bestFit="1" customWidth="1"/>
    <col min="4" max="7" width="14.33203125" style="2" customWidth="1"/>
    <col min="8" max="8" width="15.6640625" style="2" customWidth="1"/>
    <col min="9" max="9" width="20" style="2" customWidth="1"/>
    <col min="10" max="10" width="0.1640625" style="14" customWidth="1"/>
    <col min="11" max="11" width="10.83203125" style="2"/>
    <col min="12" max="12" width="75" style="2" bestFit="1" customWidth="1"/>
    <col min="13" max="14" width="24.1640625" style="2" customWidth="1"/>
    <col min="15" max="15" width="41.5" style="2" bestFit="1" customWidth="1"/>
    <col min="16" max="25" width="24.1640625" style="2" customWidth="1"/>
    <col min="26" max="16384" width="10.83203125" style="2"/>
  </cols>
  <sheetData>
    <row r="2" spans="3:23" ht="21" thickBot="1" x14ac:dyDescent="0.25">
      <c r="L2" s="432" t="s">
        <v>193</v>
      </c>
      <c r="M2" s="432"/>
      <c r="N2" s="432"/>
      <c r="O2" s="432"/>
      <c r="P2" s="432"/>
      <c r="Q2" s="432"/>
      <c r="R2" s="432"/>
      <c r="S2" s="432"/>
      <c r="T2" s="432"/>
      <c r="U2" s="432"/>
      <c r="V2" s="432"/>
      <c r="W2" s="432"/>
    </row>
    <row r="4" spans="3:23" ht="21" thickBot="1" x14ac:dyDescent="0.25">
      <c r="L4" s="10" t="s">
        <v>116</v>
      </c>
    </row>
    <row r="5" spans="3:23" ht="32" thickBot="1" x14ac:dyDescent="0.25">
      <c r="C5" s="19" t="s">
        <v>101</v>
      </c>
      <c r="D5" s="34"/>
      <c r="E5" s="34"/>
      <c r="F5" s="34"/>
      <c r="G5" s="34"/>
      <c r="H5" s="34"/>
      <c r="O5" s="10" t="s">
        <v>153</v>
      </c>
      <c r="P5" s="44" t="s">
        <v>202</v>
      </c>
      <c r="Q5" s="44" t="s">
        <v>143</v>
      </c>
      <c r="R5" s="21" t="s">
        <v>144</v>
      </c>
    </row>
    <row r="6" spans="3:23" ht="31" customHeight="1" x14ac:dyDescent="0.15">
      <c r="C6" s="34"/>
      <c r="D6" s="34"/>
      <c r="E6" s="34"/>
      <c r="F6" s="34"/>
      <c r="G6" s="34"/>
      <c r="H6" s="34"/>
      <c r="L6" s="21" t="s">
        <v>132</v>
      </c>
      <c r="M6" s="24">
        <f>'ContabilidaddeInnovación Año2'!$Y$40</f>
        <v>29990142.011521224</v>
      </c>
      <c r="O6" s="44" t="s">
        <v>201</v>
      </c>
      <c r="P6" s="26">
        <v>5.0000000000000001E-3</v>
      </c>
      <c r="Q6" s="26">
        <v>3.0000000000000001E-3</v>
      </c>
      <c r="R6" s="31">
        <v>1E-3</v>
      </c>
    </row>
    <row r="7" spans="3:23" ht="16" customHeight="1" x14ac:dyDescent="0.15">
      <c r="C7" s="35" t="s">
        <v>81</v>
      </c>
      <c r="D7" s="36">
        <v>0.52</v>
      </c>
      <c r="E7" s="34"/>
      <c r="F7" s="34"/>
      <c r="G7" s="34"/>
      <c r="H7" s="34"/>
      <c r="L7" s="21" t="s">
        <v>133</v>
      </c>
      <c r="M7" s="31">
        <v>7.0999999999999994E-2</v>
      </c>
      <c r="O7" s="21"/>
      <c r="P7" s="21"/>
      <c r="Q7" s="21"/>
      <c r="R7" s="25"/>
    </row>
    <row r="8" spans="3:23" x14ac:dyDescent="0.15">
      <c r="C8" s="35" t="s">
        <v>82</v>
      </c>
      <c r="D8" s="37">
        <v>0.05</v>
      </c>
      <c r="E8" s="34"/>
      <c r="F8" s="34"/>
      <c r="G8" s="34"/>
      <c r="H8" s="34"/>
      <c r="L8" s="21" t="s">
        <v>41</v>
      </c>
      <c r="M8" s="26">
        <v>2.5000000000000001E-2</v>
      </c>
      <c r="O8" s="21"/>
      <c r="P8" s="26"/>
      <c r="Q8" s="21"/>
      <c r="R8" s="21"/>
    </row>
    <row r="9" spans="3:23" x14ac:dyDescent="0.15">
      <c r="C9" s="34"/>
      <c r="D9" s="34"/>
      <c r="E9" s="34"/>
      <c r="F9" s="34"/>
      <c r="G9" s="34"/>
      <c r="H9" s="34"/>
      <c r="L9" s="21" t="s">
        <v>42</v>
      </c>
      <c r="M9" s="26">
        <v>4.0899999999999999E-2</v>
      </c>
      <c r="O9" s="21"/>
      <c r="P9" s="26"/>
      <c r="Q9" s="26"/>
      <c r="R9" s="21"/>
    </row>
    <row r="10" spans="3:23" ht="16" customHeight="1" x14ac:dyDescent="0.15">
      <c r="C10" s="38" t="s">
        <v>83</v>
      </c>
      <c r="D10" s="38" t="s">
        <v>84</v>
      </c>
      <c r="E10" s="38" t="s">
        <v>85</v>
      </c>
      <c r="F10" s="38" t="s">
        <v>191</v>
      </c>
      <c r="G10" s="38" t="s">
        <v>192</v>
      </c>
      <c r="H10" s="38" t="s">
        <v>88</v>
      </c>
      <c r="J10" s="12"/>
      <c r="L10" s="51" t="s">
        <v>173</v>
      </c>
      <c r="M10" s="69">
        <f>'ContabilidaddeInnovación Año2'!Y83</f>
        <v>88682.582671914599</v>
      </c>
      <c r="O10" s="21"/>
      <c r="P10" s="26"/>
      <c r="Q10" s="26"/>
      <c r="R10" s="21"/>
    </row>
    <row r="11" spans="3:23" ht="16" x14ac:dyDescent="0.15">
      <c r="C11" s="39" t="s">
        <v>89</v>
      </c>
      <c r="D11" s="39" t="s">
        <v>90</v>
      </c>
      <c r="E11" s="39">
        <v>1</v>
      </c>
      <c r="F11" s="40">
        <f>'ContabilidaddeInnovación Año2'!G11</f>
        <v>11924249.633099999</v>
      </c>
      <c r="G11" s="41">
        <f t="shared" ref="G11:G12" si="0">F11*(1+$D$8)</f>
        <v>12520462.114754999</v>
      </c>
      <c r="H11" s="41">
        <f t="shared" ref="H11:H12" si="1">(G11*(1+$D$7))*E11</f>
        <v>19031102.414427597</v>
      </c>
      <c r="I11" s="13"/>
      <c r="J11" s="15"/>
      <c r="L11" s="21" t="s">
        <v>134</v>
      </c>
      <c r="M11" s="24">
        <f>M6/12</f>
        <v>2499178.5009601018</v>
      </c>
      <c r="P11" s="68"/>
    </row>
    <row r="12" spans="3:23" ht="16" x14ac:dyDescent="0.15">
      <c r="C12" s="39" t="s">
        <v>91</v>
      </c>
      <c r="D12" s="39" t="s">
        <v>90</v>
      </c>
      <c r="E12" s="39">
        <v>3</v>
      </c>
      <c r="F12" s="40">
        <f>'ContabilidaddeInnovación Año2'!G12</f>
        <v>7704900</v>
      </c>
      <c r="G12" s="41">
        <f t="shared" si="0"/>
        <v>8090145</v>
      </c>
      <c r="H12" s="41">
        <f t="shared" si="1"/>
        <v>36891061.200000003</v>
      </c>
      <c r="I12" s="13"/>
      <c r="J12" s="15"/>
      <c r="L12" s="2" t="s">
        <v>197</v>
      </c>
      <c r="M12" s="3">
        <v>0.05</v>
      </c>
    </row>
    <row r="13" spans="3:23" ht="16" x14ac:dyDescent="0.15">
      <c r="C13" s="39" t="s">
        <v>92</v>
      </c>
      <c r="D13" s="39" t="s">
        <v>90</v>
      </c>
      <c r="E13" s="39">
        <v>3</v>
      </c>
      <c r="F13" s="40">
        <f>'ContabilidaddeInnovación Año2'!G13</f>
        <v>7338366.9000000004</v>
      </c>
      <c r="G13" s="41">
        <f t="shared" ref="G13:G21" si="2">F13*(1+$D$8)</f>
        <v>7705285.245000001</v>
      </c>
      <c r="H13" s="41">
        <f t="shared" ref="H13:H20" si="3">(G13*(1+$D$7))*E13</f>
        <v>35136100.717200004</v>
      </c>
      <c r="I13" s="13"/>
      <c r="J13" s="15"/>
    </row>
    <row r="14" spans="3:23" ht="16" x14ac:dyDescent="0.15">
      <c r="C14" s="39" t="s">
        <v>93</v>
      </c>
      <c r="D14" s="39" t="s">
        <v>90</v>
      </c>
      <c r="E14" s="39">
        <v>2</v>
      </c>
      <c r="F14" s="40">
        <f>'ContabilidaddeInnovación Año2'!G13</f>
        <v>7338366.9000000004</v>
      </c>
      <c r="G14" s="41">
        <f t="shared" si="2"/>
        <v>7705285.245000001</v>
      </c>
      <c r="H14" s="41">
        <f t="shared" si="3"/>
        <v>23424067.144800004</v>
      </c>
      <c r="I14" s="13"/>
      <c r="J14" s="15"/>
    </row>
    <row r="15" spans="3:23" ht="21" thickBot="1" x14ac:dyDescent="0.25">
      <c r="C15" s="39" t="s">
        <v>94</v>
      </c>
      <c r="D15" s="39" t="s">
        <v>90</v>
      </c>
      <c r="E15" s="39">
        <v>1</v>
      </c>
      <c r="F15" s="40">
        <f>'ContabilidaddeInnovación Año2'!G14</f>
        <v>6053850</v>
      </c>
      <c r="G15" s="41">
        <f t="shared" si="2"/>
        <v>6356542.5</v>
      </c>
      <c r="H15" s="41">
        <f t="shared" si="3"/>
        <v>9661944.5999999996</v>
      </c>
      <c r="I15" s="13"/>
      <c r="J15" s="15"/>
      <c r="L15" s="10" t="s">
        <v>125</v>
      </c>
    </row>
    <row r="16" spans="3:23" ht="16" x14ac:dyDescent="0.15">
      <c r="C16" s="39" t="s">
        <v>95</v>
      </c>
      <c r="D16" s="39" t="s">
        <v>90</v>
      </c>
      <c r="E16" s="39">
        <v>1</v>
      </c>
      <c r="F16" s="40">
        <f>'ContabilidaddeInnovación Año2'!G15</f>
        <v>6053850</v>
      </c>
      <c r="G16" s="41">
        <f t="shared" si="2"/>
        <v>6356542.5</v>
      </c>
      <c r="H16" s="41">
        <f t="shared" si="3"/>
        <v>9661944.5999999996</v>
      </c>
      <c r="I16" s="13"/>
      <c r="J16" s="15"/>
    </row>
    <row r="17" spans="3:25" ht="16" x14ac:dyDescent="0.15">
      <c r="C17" s="39" t="s">
        <v>96</v>
      </c>
      <c r="D17" s="39" t="s">
        <v>90</v>
      </c>
      <c r="E17" s="39">
        <v>2</v>
      </c>
      <c r="F17" s="40">
        <f>'ContabilidaddeInnovación Año2'!G16</f>
        <v>5503500</v>
      </c>
      <c r="G17" s="41">
        <f t="shared" si="2"/>
        <v>5778675</v>
      </c>
      <c r="H17" s="41">
        <f t="shared" si="3"/>
        <v>17567172</v>
      </c>
      <c r="I17" s="13"/>
      <c r="J17" s="15"/>
      <c r="L17" s="21" t="s">
        <v>126</v>
      </c>
      <c r="M17" s="11">
        <f>'ContabilidaddeInnovación Año2'!M17*(1+$M$12)</f>
        <v>23520000</v>
      </c>
    </row>
    <row r="18" spans="3:25" ht="16" x14ac:dyDescent="0.15">
      <c r="C18" s="39" t="s">
        <v>97</v>
      </c>
      <c r="D18" s="39" t="s">
        <v>90</v>
      </c>
      <c r="E18" s="39">
        <v>2</v>
      </c>
      <c r="F18" s="40">
        <f>'ContabilidaddeInnovación Año2'!G17</f>
        <v>7154550</v>
      </c>
      <c r="G18" s="41">
        <f t="shared" si="2"/>
        <v>7512277.5</v>
      </c>
      <c r="H18" s="41">
        <f t="shared" si="3"/>
        <v>22837323.600000001</v>
      </c>
      <c r="I18" s="13"/>
      <c r="J18" s="15"/>
      <c r="L18" s="21" t="s">
        <v>127</v>
      </c>
      <c r="M18" s="11">
        <f>'ContabilidaddeInnovación Año2'!M18*(1+$M$12)</f>
        <v>42000000</v>
      </c>
    </row>
    <row r="19" spans="3:25" ht="16" x14ac:dyDescent="0.15">
      <c r="C19" s="39" t="s">
        <v>99</v>
      </c>
      <c r="D19" s="39" t="s">
        <v>90</v>
      </c>
      <c r="E19" s="39">
        <v>1</v>
      </c>
      <c r="F19" s="40">
        <f>'ContabilidaddeInnovación Año2'!G18</f>
        <v>7154550</v>
      </c>
      <c r="G19" s="41">
        <f t="shared" si="2"/>
        <v>7512277.5</v>
      </c>
      <c r="H19" s="41">
        <f t="shared" si="3"/>
        <v>11418661.800000001</v>
      </c>
      <c r="I19" s="13"/>
      <c r="J19" s="15"/>
      <c r="L19" s="21" t="s">
        <v>109</v>
      </c>
      <c r="M19" s="31">
        <v>0.15</v>
      </c>
      <c r="N19" s="2" t="s">
        <v>110</v>
      </c>
    </row>
    <row r="20" spans="3:25" ht="16" x14ac:dyDescent="0.15">
      <c r="C20" s="39" t="s">
        <v>100</v>
      </c>
      <c r="D20" s="39" t="s">
        <v>90</v>
      </c>
      <c r="E20" s="39">
        <v>1</v>
      </c>
      <c r="F20" s="40">
        <f>'ContabilidaddeInnovación Año2'!G19</f>
        <v>8255250</v>
      </c>
      <c r="G20" s="41">
        <f t="shared" si="2"/>
        <v>8668012.5</v>
      </c>
      <c r="H20" s="41">
        <f t="shared" si="3"/>
        <v>13175379</v>
      </c>
      <c r="I20" s="13"/>
      <c r="J20" s="15"/>
      <c r="L20" s="21" t="s">
        <v>124</v>
      </c>
      <c r="M20" s="11">
        <f>'ContabilidaddeInnovación Año2'!M20*(1+$M$12)</f>
        <v>336420</v>
      </c>
      <c r="N20" s="2" t="s">
        <v>151</v>
      </c>
    </row>
    <row r="21" spans="3:25" ht="16" x14ac:dyDescent="0.15">
      <c r="C21" s="39" t="s">
        <v>2</v>
      </c>
      <c r="D21" s="39" t="s">
        <v>90</v>
      </c>
      <c r="E21" s="39">
        <v>1</v>
      </c>
      <c r="F21" s="40">
        <f>'ContabilidaddeInnovación Año2'!G20</f>
        <v>8255250</v>
      </c>
      <c r="G21" s="41">
        <f t="shared" si="2"/>
        <v>8668012.5</v>
      </c>
      <c r="H21" s="41">
        <f>G21</f>
        <v>8668012.5</v>
      </c>
      <c r="I21" s="13"/>
      <c r="J21" s="15"/>
      <c r="L21" s="21" t="s">
        <v>111</v>
      </c>
      <c r="M21" s="25">
        <v>0.05</v>
      </c>
    </row>
    <row r="22" spans="3:25" ht="16" x14ac:dyDescent="0.15">
      <c r="C22" s="429" t="s">
        <v>98</v>
      </c>
      <c r="D22" s="429"/>
      <c r="E22" s="429"/>
      <c r="F22" s="429"/>
      <c r="G22" s="429"/>
      <c r="H22" s="43">
        <f>SUM(H11:H18)</f>
        <v>174210716.2764276</v>
      </c>
      <c r="I22" s="13"/>
      <c r="J22" s="15"/>
      <c r="L22" s="21" t="s">
        <v>129</v>
      </c>
      <c r="M22" s="25">
        <v>0.04</v>
      </c>
      <c r="N22" s="2" t="s">
        <v>130</v>
      </c>
    </row>
    <row r="23" spans="3:25" ht="17" customHeight="1" x14ac:dyDescent="0.15">
      <c r="L23" s="21" t="s">
        <v>131</v>
      </c>
      <c r="M23" s="26">
        <v>2.1000000000000001E-2</v>
      </c>
      <c r="N23" s="2" t="s">
        <v>130</v>
      </c>
    </row>
    <row r="24" spans="3:25" x14ac:dyDescent="0.15">
      <c r="L24" s="21"/>
      <c r="M24" s="26"/>
    </row>
    <row r="28" spans="3:25" ht="21" thickBot="1" x14ac:dyDescent="0.25">
      <c r="C28" s="10" t="s">
        <v>102</v>
      </c>
      <c r="L28" s="17"/>
    </row>
    <row r="29" spans="3:25" ht="78" customHeight="1" thickBot="1" x14ac:dyDescent="0.25">
      <c r="C29" s="2" t="s">
        <v>103</v>
      </c>
      <c r="D29" s="4">
        <v>0.03</v>
      </c>
      <c r="E29" s="2" t="s">
        <v>115</v>
      </c>
      <c r="L29" s="10" t="s">
        <v>153</v>
      </c>
      <c r="M29" s="18" t="s">
        <v>194</v>
      </c>
      <c r="N29" s="18" t="s">
        <v>198</v>
      </c>
      <c r="O29" s="18" t="s">
        <v>199</v>
      </c>
      <c r="P29" s="18" t="s">
        <v>200</v>
      </c>
      <c r="Q29" s="18" t="s">
        <v>194</v>
      </c>
      <c r="R29" s="18" t="s">
        <v>194</v>
      </c>
      <c r="S29" s="18" t="s">
        <v>194</v>
      </c>
      <c r="T29" s="18" t="s">
        <v>194</v>
      </c>
      <c r="U29" s="18" t="s">
        <v>194</v>
      </c>
      <c r="V29" s="18" t="s">
        <v>194</v>
      </c>
      <c r="W29" s="18" t="s">
        <v>194</v>
      </c>
      <c r="X29" s="18" t="s">
        <v>194</v>
      </c>
      <c r="Y29" s="430" t="s">
        <v>141</v>
      </c>
    </row>
    <row r="30" spans="3:25" x14ac:dyDescent="0.15">
      <c r="C30" s="2" t="s">
        <v>104</v>
      </c>
      <c r="D30" s="4">
        <v>0.2</v>
      </c>
      <c r="E30" s="2" t="s">
        <v>115</v>
      </c>
      <c r="M30" s="33">
        <v>1</v>
      </c>
      <c r="N30" s="33">
        <v>2</v>
      </c>
      <c r="O30" s="33">
        <v>3</v>
      </c>
      <c r="P30" s="33">
        <v>4</v>
      </c>
      <c r="Q30" s="33">
        <v>5</v>
      </c>
      <c r="R30" s="33">
        <v>6</v>
      </c>
      <c r="S30" s="33">
        <v>7</v>
      </c>
      <c r="T30" s="33">
        <v>8</v>
      </c>
      <c r="U30" s="33">
        <v>9</v>
      </c>
      <c r="V30" s="33">
        <v>10</v>
      </c>
      <c r="W30" s="33">
        <v>11</v>
      </c>
      <c r="X30" s="33">
        <v>12</v>
      </c>
      <c r="Y30" s="431"/>
    </row>
    <row r="31" spans="3:25" ht="16" x14ac:dyDescent="0.2">
      <c r="C31" s="2" t="s">
        <v>107</v>
      </c>
      <c r="D31" s="4">
        <v>5.5E-2</v>
      </c>
      <c r="E31" s="2" t="s">
        <v>115</v>
      </c>
      <c r="L31" s="20" t="s">
        <v>150</v>
      </c>
    </row>
    <row r="32" spans="3:25" x14ac:dyDescent="0.15">
      <c r="C32" s="2" t="s">
        <v>105</v>
      </c>
      <c r="D32" s="3">
        <v>0.16</v>
      </c>
      <c r="E32" s="2" t="s">
        <v>115</v>
      </c>
      <c r="L32" s="21" t="s">
        <v>149</v>
      </c>
      <c r="M32" s="22">
        <f>'ContabilidaddeInnovación Año2'!Y32</f>
        <v>0.80037298277596458</v>
      </c>
      <c r="N32" s="22">
        <f>M32</f>
        <v>0.80037298277596458</v>
      </c>
      <c r="O32" s="22">
        <f>N32</f>
        <v>0.80037298277596458</v>
      </c>
      <c r="P32" s="27">
        <f>O32*(1+$P$6)</f>
        <v>0.80437484768984435</v>
      </c>
      <c r="Q32" s="27">
        <f t="shared" ref="Q32:X32" si="4">P32*(1+$P$6)</f>
        <v>0.80839672192829348</v>
      </c>
      <c r="R32" s="27">
        <f t="shared" si="4"/>
        <v>0.81243870553793485</v>
      </c>
      <c r="S32" s="27">
        <f t="shared" si="4"/>
        <v>0.8165008990656244</v>
      </c>
      <c r="T32" s="27">
        <f t="shared" si="4"/>
        <v>0.82058340356095238</v>
      </c>
      <c r="U32" s="27">
        <f t="shared" si="4"/>
        <v>0.82468632057875702</v>
      </c>
      <c r="V32" s="27">
        <f t="shared" si="4"/>
        <v>0.82880975218165076</v>
      </c>
      <c r="W32" s="27">
        <f t="shared" si="4"/>
        <v>0.83295380094255889</v>
      </c>
      <c r="X32" s="27">
        <f t="shared" si="4"/>
        <v>0.83711856994727163</v>
      </c>
      <c r="Y32" s="22">
        <f>MAX(M32:X32)</f>
        <v>0.83711856994727163</v>
      </c>
    </row>
    <row r="33" spans="3:25" x14ac:dyDescent="0.15">
      <c r="C33" s="2" t="s">
        <v>123</v>
      </c>
      <c r="D33" s="3">
        <v>0.06</v>
      </c>
      <c r="E33" s="2" t="s">
        <v>114</v>
      </c>
      <c r="L33" s="21" t="s">
        <v>143</v>
      </c>
      <c r="M33" s="22">
        <f>'ContabilidaddeInnovación Año2'!Y33</f>
        <v>0.75</v>
      </c>
      <c r="N33" s="22">
        <f t="shared" ref="N33:O37" si="5">M33</f>
        <v>0.75</v>
      </c>
      <c r="O33" s="22">
        <f t="shared" si="5"/>
        <v>0.75</v>
      </c>
      <c r="P33" s="22">
        <f>O33*(1+$Q$6)</f>
        <v>0.75224999999999986</v>
      </c>
      <c r="Q33" s="22">
        <f t="shared" ref="Q33:X33" si="6">P33*(1+$Q$6)</f>
        <v>0.75450674999999978</v>
      </c>
      <c r="R33" s="22">
        <f t="shared" si="6"/>
        <v>0.75677027024999965</v>
      </c>
      <c r="S33" s="22">
        <f t="shared" si="6"/>
        <v>0.75904058106074956</v>
      </c>
      <c r="T33" s="22">
        <f t="shared" si="6"/>
        <v>0.76131770280393174</v>
      </c>
      <c r="U33" s="22">
        <f t="shared" si="6"/>
        <v>0.76360165591234341</v>
      </c>
      <c r="V33" s="22">
        <f t="shared" si="6"/>
        <v>0.76589246088008034</v>
      </c>
      <c r="W33" s="22">
        <f t="shared" si="6"/>
        <v>0.76819013826272053</v>
      </c>
      <c r="X33" s="22">
        <f t="shared" si="6"/>
        <v>0.77049470867750858</v>
      </c>
      <c r="Y33" s="22">
        <f t="shared" ref="Y33:Y38" si="7">MAX(M33:X33)</f>
        <v>0.77049470867750858</v>
      </c>
    </row>
    <row r="34" spans="3:25" x14ac:dyDescent="0.15">
      <c r="C34" s="2" t="s">
        <v>80</v>
      </c>
      <c r="D34" s="4">
        <v>0.1</v>
      </c>
      <c r="E34" s="2" t="s">
        <v>114</v>
      </c>
      <c r="L34" s="21" t="s">
        <v>144</v>
      </c>
      <c r="M34" s="22">
        <f>'ContabilidaddeInnovación Año2'!Y34</f>
        <v>0.51344925876597958</v>
      </c>
      <c r="N34" s="22">
        <f t="shared" si="5"/>
        <v>0.51344925876597958</v>
      </c>
      <c r="O34" s="22">
        <f t="shared" si="5"/>
        <v>0.51344925876597958</v>
      </c>
      <c r="P34" s="22">
        <f>O34*(1+$R$6)</f>
        <v>0.51396270802474553</v>
      </c>
      <c r="Q34" s="22">
        <f t="shared" ref="Q34:X34" si="8">P34*(1+$R$6)</f>
        <v>0.51447667073277026</v>
      </c>
      <c r="R34" s="22">
        <f t="shared" si="8"/>
        <v>0.51499114740350294</v>
      </c>
      <c r="S34" s="22">
        <f t="shared" si="8"/>
        <v>0.51550613855090643</v>
      </c>
      <c r="T34" s="22">
        <f t="shared" si="8"/>
        <v>0.51602164468945733</v>
      </c>
      <c r="U34" s="22">
        <f t="shared" si="8"/>
        <v>0.51653766633414677</v>
      </c>
      <c r="V34" s="22">
        <f t="shared" si="8"/>
        <v>0.51705420400048085</v>
      </c>
      <c r="W34" s="22">
        <f t="shared" si="8"/>
        <v>0.51757125820448124</v>
      </c>
      <c r="X34" s="22">
        <f t="shared" si="8"/>
        <v>0.51808882946268564</v>
      </c>
      <c r="Y34" s="22">
        <f t="shared" si="7"/>
        <v>0.51808882946268564</v>
      </c>
    </row>
    <row r="35" spans="3:25" x14ac:dyDescent="0.15">
      <c r="C35" s="6" t="s">
        <v>108</v>
      </c>
      <c r="D35" s="7">
        <f>SUM(D29:D34)</f>
        <v>0.60500000000000009</v>
      </c>
      <c r="E35" s="2" t="s">
        <v>114</v>
      </c>
      <c r="L35" s="21" t="s">
        <v>145</v>
      </c>
      <c r="M35" s="22">
        <f>'ContabilidaddeInnovación Año2'!Y35</f>
        <v>0.46</v>
      </c>
      <c r="N35" s="22">
        <f t="shared" si="5"/>
        <v>0.46</v>
      </c>
      <c r="O35" s="22">
        <f t="shared" si="5"/>
        <v>0.46</v>
      </c>
      <c r="P35" s="23">
        <f>O35</f>
        <v>0.46</v>
      </c>
      <c r="Q35" s="23">
        <f t="shared" ref="Q35:X35" si="9">P35</f>
        <v>0.46</v>
      </c>
      <c r="R35" s="23">
        <f t="shared" si="9"/>
        <v>0.46</v>
      </c>
      <c r="S35" s="23">
        <f t="shared" si="9"/>
        <v>0.46</v>
      </c>
      <c r="T35" s="23">
        <f t="shared" si="9"/>
        <v>0.46</v>
      </c>
      <c r="U35" s="23">
        <f t="shared" si="9"/>
        <v>0.46</v>
      </c>
      <c r="V35" s="23">
        <f t="shared" si="9"/>
        <v>0.46</v>
      </c>
      <c r="W35" s="23">
        <f t="shared" si="9"/>
        <v>0.46</v>
      </c>
      <c r="X35" s="23">
        <f t="shared" si="9"/>
        <v>0.46</v>
      </c>
      <c r="Y35" s="22">
        <f t="shared" si="7"/>
        <v>0.46</v>
      </c>
    </row>
    <row r="36" spans="3:25" x14ac:dyDescent="0.15">
      <c r="L36" s="21" t="s">
        <v>146</v>
      </c>
      <c r="M36" s="22">
        <f>'ContabilidaddeInnovación Año2'!Y36</f>
        <v>0.56900000000000006</v>
      </c>
      <c r="N36" s="22">
        <f t="shared" si="5"/>
        <v>0.56900000000000006</v>
      </c>
      <c r="O36" s="22">
        <f t="shared" si="5"/>
        <v>0.56900000000000006</v>
      </c>
      <c r="P36" s="22">
        <f>O36</f>
        <v>0.56900000000000006</v>
      </c>
      <c r="Q36" s="22">
        <f t="shared" ref="Q36:X36" si="10">P36</f>
        <v>0.56900000000000006</v>
      </c>
      <c r="R36" s="22">
        <f t="shared" si="10"/>
        <v>0.56900000000000006</v>
      </c>
      <c r="S36" s="22">
        <f t="shared" si="10"/>
        <v>0.56900000000000006</v>
      </c>
      <c r="T36" s="22">
        <f t="shared" si="10"/>
        <v>0.56900000000000006</v>
      </c>
      <c r="U36" s="22">
        <f t="shared" si="10"/>
        <v>0.56900000000000006</v>
      </c>
      <c r="V36" s="22">
        <f t="shared" si="10"/>
        <v>0.56900000000000006</v>
      </c>
      <c r="W36" s="22">
        <f t="shared" si="10"/>
        <v>0.56900000000000006</v>
      </c>
      <c r="X36" s="22">
        <f t="shared" si="10"/>
        <v>0.56900000000000006</v>
      </c>
      <c r="Y36" s="22">
        <f t="shared" si="7"/>
        <v>0.56900000000000006</v>
      </c>
    </row>
    <row r="37" spans="3:25" x14ac:dyDescent="0.15">
      <c r="C37" s="2" t="s">
        <v>167</v>
      </c>
      <c r="D37" s="3">
        <v>0.08</v>
      </c>
      <c r="L37" s="21" t="s">
        <v>147</v>
      </c>
      <c r="M37" s="22">
        <f>'ContabilidaddeInnovación Año2'!Y37</f>
        <v>0.8</v>
      </c>
      <c r="N37" s="22">
        <f t="shared" si="5"/>
        <v>0.8</v>
      </c>
      <c r="O37" s="22">
        <f t="shared" si="5"/>
        <v>0.8</v>
      </c>
      <c r="P37" s="22">
        <f>O37</f>
        <v>0.8</v>
      </c>
      <c r="Q37" s="22">
        <f t="shared" ref="Q37:X37" si="11">P37</f>
        <v>0.8</v>
      </c>
      <c r="R37" s="22">
        <f t="shared" si="11"/>
        <v>0.8</v>
      </c>
      <c r="S37" s="22">
        <f t="shared" si="11"/>
        <v>0.8</v>
      </c>
      <c r="T37" s="22">
        <f t="shared" si="11"/>
        <v>0.8</v>
      </c>
      <c r="U37" s="22">
        <f t="shared" si="11"/>
        <v>0.8</v>
      </c>
      <c r="V37" s="22">
        <f t="shared" si="11"/>
        <v>0.8</v>
      </c>
      <c r="W37" s="22">
        <f t="shared" si="11"/>
        <v>0.8</v>
      </c>
      <c r="X37" s="22">
        <f t="shared" si="11"/>
        <v>0.8</v>
      </c>
      <c r="Y37" s="22">
        <f t="shared" si="7"/>
        <v>0.8</v>
      </c>
    </row>
    <row r="38" spans="3:25" x14ac:dyDescent="0.15">
      <c r="L38" s="21" t="s">
        <v>142</v>
      </c>
      <c r="M38" s="22">
        <f>M32*M33*M34*M35*M36*M37</f>
        <v>6.4537375454842408E-2</v>
      </c>
      <c r="N38" s="22">
        <f t="shared" ref="N38:O38" si="12">N32*N33*N34*N35*N36*N37</f>
        <v>6.4537375454842408E-2</v>
      </c>
      <c r="O38" s="22">
        <f t="shared" si="12"/>
        <v>6.4537375454842408E-2</v>
      </c>
      <c r="P38" s="22">
        <f t="shared" ref="P38" si="13">P32*P33*P34*P35*P36*P37</f>
        <v>6.5119697161632059E-2</v>
      </c>
      <c r="Q38" s="22">
        <f t="shared" ref="Q38" si="14">Q32*Q33*Q34*Q35*Q36*Q37</f>
        <v>6.5707273165916888E-2</v>
      </c>
      <c r="R38" s="22">
        <f t="shared" ref="R38" si="15">R32*R33*R34*R35*R36*R37</f>
        <v>6.6300150877302053E-2</v>
      </c>
      <c r="S38" s="22">
        <f t="shared" ref="S38" si="16">S32*S33*S34*S35*S36*S37</f>
        <v>6.6898378133170192E-2</v>
      </c>
      <c r="T38" s="22">
        <f t="shared" ref="T38" si="17">T32*T33*T34*T35*T36*T37</f>
        <v>6.7502003202541447E-2</v>
      </c>
      <c r="U38" s="22">
        <f t="shared" ref="U38" si="18">U32*U33*U34*U35*U36*U37</f>
        <v>6.8111074789967974E-2</v>
      </c>
      <c r="V38" s="22">
        <f t="shared" ref="V38" si="19">V32*V33*V34*V35*V36*V37</f>
        <v>6.8725642039463949E-2</v>
      </c>
      <c r="W38" s="22">
        <f t="shared" ref="W38" si="20">W32*W33*W34*W35*W36*W37</f>
        <v>6.9345754538470666E-2</v>
      </c>
      <c r="X38" s="22">
        <f t="shared" ref="X38" si="21">X32*X33*X34*X35*X36*X37</f>
        <v>6.9971462321857567E-2</v>
      </c>
      <c r="Y38" s="22">
        <f t="shared" si="7"/>
        <v>6.9971462321857567E-2</v>
      </c>
    </row>
    <row r="40" spans="3:25" x14ac:dyDescent="0.15">
      <c r="L40" s="21" t="s">
        <v>135</v>
      </c>
      <c r="M40" s="24">
        <f>M11</f>
        <v>2499178.5009601018</v>
      </c>
      <c r="N40" s="24">
        <f>M40*(1+$M$7)</f>
        <v>2676620.1745282691</v>
      </c>
      <c r="O40" s="24">
        <f t="shared" ref="O40:X40" si="22">N40*(1+$M$7)</f>
        <v>2866660.2069197763</v>
      </c>
      <c r="P40" s="24">
        <f t="shared" si="22"/>
        <v>3070193.0816110801</v>
      </c>
      <c r="Q40" s="24">
        <f t="shared" si="22"/>
        <v>3288176.7904054667</v>
      </c>
      <c r="R40" s="24">
        <f t="shared" si="22"/>
        <v>3521637.3425242547</v>
      </c>
      <c r="S40" s="24">
        <f t="shared" si="22"/>
        <v>3771673.5938434764</v>
      </c>
      <c r="T40" s="24">
        <f t="shared" si="22"/>
        <v>4039462.419006363</v>
      </c>
      <c r="U40" s="24">
        <f t="shared" si="22"/>
        <v>4326264.2507558148</v>
      </c>
      <c r="V40" s="24">
        <f t="shared" si="22"/>
        <v>4633429.0125594772</v>
      </c>
      <c r="W40" s="24">
        <f t="shared" si="22"/>
        <v>4962402.4724511998</v>
      </c>
      <c r="X40" s="24">
        <f t="shared" si="22"/>
        <v>5314733.0479952348</v>
      </c>
      <c r="Y40" s="24">
        <f>SUM(M40:X40)</f>
        <v>44970430.893560514</v>
      </c>
    </row>
    <row r="41" spans="3:25" x14ac:dyDescent="0.15">
      <c r="L41" s="21" t="s">
        <v>170</v>
      </c>
      <c r="M41" s="24">
        <f t="shared" ref="M41:X41" si="23">M40*$M$8</f>
        <v>62479.462524002549</v>
      </c>
      <c r="N41" s="24">
        <f t="shared" si="23"/>
        <v>66915.504363206725</v>
      </c>
      <c r="O41" s="24">
        <f t="shared" si="23"/>
        <v>71666.50517299441</v>
      </c>
      <c r="P41" s="24">
        <f t="shared" si="23"/>
        <v>76754.827040276999</v>
      </c>
      <c r="Q41" s="24">
        <f t="shared" si="23"/>
        <v>82204.419760136676</v>
      </c>
      <c r="R41" s="24">
        <f t="shared" si="23"/>
        <v>88040.933563106373</v>
      </c>
      <c r="S41" s="24">
        <f t="shared" si="23"/>
        <v>94291.839846086921</v>
      </c>
      <c r="T41" s="24">
        <f t="shared" si="23"/>
        <v>100986.56047515909</v>
      </c>
      <c r="U41" s="24">
        <f t="shared" si="23"/>
        <v>108156.60626889538</v>
      </c>
      <c r="V41" s="24">
        <f t="shared" si="23"/>
        <v>115835.72531398694</v>
      </c>
      <c r="W41" s="24">
        <f t="shared" si="23"/>
        <v>124060.06181128</v>
      </c>
      <c r="X41" s="24">
        <f t="shared" si="23"/>
        <v>132868.32619988089</v>
      </c>
      <c r="Y41" s="24">
        <f>SUM(M41:X41)</f>
        <v>1124260.7723390127</v>
      </c>
    </row>
    <row r="42" spans="3:25" x14ac:dyDescent="0.15">
      <c r="L42" s="21" t="s">
        <v>171</v>
      </c>
      <c r="M42" s="24">
        <f t="shared" ref="M42:X42" si="24">M104</f>
        <v>4012.7170996345385</v>
      </c>
      <c r="N42" s="24">
        <f t="shared" si="24"/>
        <v>4250.7663199938188</v>
      </c>
      <c r="O42" s="24">
        <f t="shared" si="24"/>
        <v>4491.4760178332572</v>
      </c>
      <c r="P42" s="24">
        <f t="shared" si="24"/>
        <v>4734.8461931528518</v>
      </c>
      <c r="Q42" s="24">
        <f t="shared" si="24"/>
        <v>4980.8768459526054</v>
      </c>
      <c r="R42" s="24">
        <f t="shared" si="24"/>
        <v>5229.5679762325153</v>
      </c>
      <c r="S42" s="24">
        <f t="shared" si="24"/>
        <v>5480.9195839925833</v>
      </c>
      <c r="T42" s="24">
        <f t="shared" si="24"/>
        <v>5726.359019574521</v>
      </c>
      <c r="U42" s="24">
        <f t="shared" si="24"/>
        <v>5956.7224161022359</v>
      </c>
      <c r="V42" s="24">
        <f t="shared" si="24"/>
        <v>6162.2546894818133</v>
      </c>
      <c r="W42" s="24">
        <f t="shared" si="24"/>
        <v>6352.4448760591513</v>
      </c>
      <c r="X42" s="24">
        <f t="shared" si="24"/>
        <v>6537.4914728415179</v>
      </c>
      <c r="Y42" s="24">
        <f>SUM(M42:X42)</f>
        <v>63916.442510851411</v>
      </c>
    </row>
    <row r="43" spans="3:25" x14ac:dyDescent="0.15">
      <c r="L43" s="21" t="s">
        <v>138</v>
      </c>
      <c r="M43" s="24">
        <f>(M41+M42)*M38</f>
        <v>4291.2307611814886</v>
      </c>
      <c r="N43" s="24">
        <f t="shared" ref="N43:X43" si="25">(N41+N42)*N38</f>
        <v>4592.884330802658</v>
      </c>
      <c r="O43" s="24">
        <f t="shared" si="25"/>
        <v>4915.0362259952708</v>
      </c>
      <c r="P43" s="24">
        <f t="shared" si="25"/>
        <v>5306.582842761306</v>
      </c>
      <c r="Q43" s="24">
        <f t="shared" si="25"/>
        <v>5728.7081001477945</v>
      </c>
      <c r="R43" s="24">
        <f t="shared" si="25"/>
        <v>6183.8483244598019</v>
      </c>
      <c r="S43" s="24">
        <f t="shared" si="25"/>
        <v>6674.6357877432811</v>
      </c>
      <c r="T43" s="24">
        <f t="shared" si="25"/>
        <v>7203.3358334860559</v>
      </c>
      <c r="U43" s="24">
        <f t="shared" si="25"/>
        <v>7772.3814645960701</v>
      </c>
      <c r="V43" s="24">
        <f t="shared" si="25"/>
        <v>8384.389503256074</v>
      </c>
      <c r="W43" s="24">
        <f t="shared" si="25"/>
        <v>9043.5536774868851</v>
      </c>
      <c r="X43" s="24">
        <f t="shared" si="25"/>
        <v>9754.4289187346421</v>
      </c>
      <c r="Y43" s="24">
        <f t="shared" ref="Y43" si="26">Y41*Y38</f>
        <v>78666.170271661715</v>
      </c>
    </row>
    <row r="44" spans="3:25" x14ac:dyDescent="0.15">
      <c r="L44" s="59" t="s">
        <v>139</v>
      </c>
      <c r="M44" s="11">
        <f t="shared" ref="M44:X44" si="27">M43*($M$17*$M$22)</f>
        <v>4037189900.1195445</v>
      </c>
      <c r="N44" s="11">
        <f t="shared" si="27"/>
        <v>4320985578.4191408</v>
      </c>
      <c r="O44" s="11">
        <f t="shared" si="27"/>
        <v>4624066081.4163504</v>
      </c>
      <c r="P44" s="11">
        <f t="shared" si="27"/>
        <v>4992433138.4698362</v>
      </c>
      <c r="Q44" s="11">
        <f t="shared" si="27"/>
        <v>5389568580.6190453</v>
      </c>
      <c r="R44" s="11">
        <f t="shared" si="27"/>
        <v>5817764503.651782</v>
      </c>
      <c r="S44" s="11">
        <f t="shared" si="27"/>
        <v>6279497349.1088791</v>
      </c>
      <c r="T44" s="11">
        <f t="shared" si="27"/>
        <v>6776898352.1436815</v>
      </c>
      <c r="U44" s="11">
        <f t="shared" si="27"/>
        <v>7312256481.891983</v>
      </c>
      <c r="V44" s="11">
        <f t="shared" si="27"/>
        <v>7888033644.6633148</v>
      </c>
      <c r="W44" s="11">
        <f t="shared" si="27"/>
        <v>8508175299.7796612</v>
      </c>
      <c r="X44" s="11">
        <f t="shared" si="27"/>
        <v>9176966726.7455521</v>
      </c>
      <c r="Y44" s="11">
        <f>SUM(M44:X44)</f>
        <v>75123835637.028778</v>
      </c>
    </row>
    <row r="45" spans="3:25" x14ac:dyDescent="0.15">
      <c r="L45" s="78" t="s">
        <v>113</v>
      </c>
      <c r="M45" s="76">
        <f>('ContabilidaddeInnovación Año2'!M43+'ContabilidaddeInnovación Año2'!M45)*M105</f>
        <v>1897.4480580000015</v>
      </c>
      <c r="N45" s="24">
        <f>('ContabilidaddeInnovación Año2'!N43+'ContabilidaddeInnovación Año2'!N45)*N105</f>
        <v>2115.7700305996009</v>
      </c>
      <c r="O45" s="24">
        <f>('ContabilidaddeInnovación Año2'!O43+'ContabilidaddeInnovación Año2'!O45)*O105</f>
        <v>2485.9415039960941</v>
      </c>
      <c r="P45" s="24">
        <f>('ContabilidaddeInnovación Año2'!P43+'ContabilidaddeInnovación Año2'!P45)*P105</f>
        <v>2703.8733708131967</v>
      </c>
      <c r="Q45" s="24">
        <f>('ContabilidaddeInnovación Año2'!Q43+'ContabilidaddeInnovación Año2'!Q45)*Q105</f>
        <v>2940.3397913196095</v>
      </c>
      <c r="R45" s="24">
        <f>('ContabilidaddeInnovación Año2'!R43+'ContabilidaddeInnovación Año2'!R45)*R105</f>
        <v>3204.6484861181752</v>
      </c>
      <c r="S45" s="24">
        <f>('ContabilidaddeInnovación Año2'!S43+'ContabilidaddeInnovación Año2'!S45)*S105</f>
        <v>3487.0703882526263</v>
      </c>
      <c r="T45" s="24">
        <f>('ContabilidaddeInnovación Año2'!T43+'ContabilidaddeInnovación Año2'!T45)*T105</f>
        <v>3800.9781662344189</v>
      </c>
      <c r="U45" s="24">
        <f>('ContabilidaddeInnovación Año2'!U43+'ContabilidaddeInnovación Año2'!U45)*U105</f>
        <v>4267.4684293895762</v>
      </c>
      <c r="V45" s="24">
        <f>('ContabilidaddeInnovación Año2'!V43+'ContabilidaddeInnovación Año2'!V45)*V105</f>
        <v>5593.8162628257332</v>
      </c>
      <c r="W45" s="24">
        <f>('ContabilidaddeInnovación Año2'!W43+'ContabilidaddeInnovación Año2'!W45)*W105</f>
        <v>12799.750752109141</v>
      </c>
      <c r="X45" s="24">
        <f>('ContabilidaddeInnovación Año2'!X43+'ContabilidaddeInnovación Año2'!X45)*X105</f>
        <v>5270.1546464557805</v>
      </c>
      <c r="Y45" s="24">
        <f>SUM(M45:X45)</f>
        <v>50567.259886113956</v>
      </c>
    </row>
    <row r="46" spans="3:25" x14ac:dyDescent="0.15">
      <c r="L46" s="78" t="s">
        <v>203</v>
      </c>
      <c r="M46" s="17">
        <f t="shared" ref="M46:X46" si="28">M45*($M$17*$M$22)</f>
        <v>1785119132.9664013</v>
      </c>
      <c r="N46" s="17">
        <f t="shared" si="28"/>
        <v>1990516444.7881045</v>
      </c>
      <c r="O46" s="17">
        <f t="shared" si="28"/>
        <v>2338773766.9595251</v>
      </c>
      <c r="P46" s="17">
        <f t="shared" si="28"/>
        <v>2543804067.2610555</v>
      </c>
      <c r="Q46" s="17">
        <f t="shared" si="28"/>
        <v>2766271675.6734886</v>
      </c>
      <c r="R46" s="17">
        <f t="shared" si="28"/>
        <v>3014933295.7399793</v>
      </c>
      <c r="S46" s="17">
        <f t="shared" si="28"/>
        <v>3280635821.2680707</v>
      </c>
      <c r="T46" s="17">
        <f t="shared" si="28"/>
        <v>3575960258.7933412</v>
      </c>
      <c r="U46" s="17">
        <f t="shared" si="28"/>
        <v>4014834298.3697133</v>
      </c>
      <c r="V46" s="17">
        <f t="shared" si="28"/>
        <v>5262662340.0664501</v>
      </c>
      <c r="W46" s="17">
        <f t="shared" si="28"/>
        <v>12042005507.58428</v>
      </c>
      <c r="X46" s="17">
        <f t="shared" si="28"/>
        <v>4958161491.3855982</v>
      </c>
      <c r="Y46" s="11">
        <f>SUM(M46:X46)</f>
        <v>47573678100.85601</v>
      </c>
    </row>
    <row r="47" spans="3:25" x14ac:dyDescent="0.15">
      <c r="L47" s="77" t="s">
        <v>140</v>
      </c>
      <c r="M47" s="11">
        <f t="shared" ref="M47:X47" si="29">(M44*$M$19)+(M46*$M$19)</f>
        <v>873346354.96289182</v>
      </c>
      <c r="N47" s="11">
        <f t="shared" si="29"/>
        <v>946725303.48108673</v>
      </c>
      <c r="O47" s="11">
        <f t="shared" si="29"/>
        <v>1044425977.2563813</v>
      </c>
      <c r="P47" s="11">
        <f t="shared" si="29"/>
        <v>1130435580.8596337</v>
      </c>
      <c r="Q47" s="11">
        <f t="shared" si="29"/>
        <v>1223376038.4438801</v>
      </c>
      <c r="R47" s="11">
        <f t="shared" si="29"/>
        <v>1324904669.9087641</v>
      </c>
      <c r="S47" s="11">
        <f t="shared" si="29"/>
        <v>1434019975.5565424</v>
      </c>
      <c r="T47" s="11">
        <f t="shared" si="29"/>
        <v>1552928791.6405532</v>
      </c>
      <c r="U47" s="11">
        <f t="shared" si="29"/>
        <v>1699063617.0392544</v>
      </c>
      <c r="V47" s="11">
        <f t="shared" si="29"/>
        <v>1972604397.7094646</v>
      </c>
      <c r="W47" s="11">
        <f t="shared" si="29"/>
        <v>3082527121.1045914</v>
      </c>
      <c r="X47" s="11">
        <f t="shared" si="29"/>
        <v>2120269232.7196724</v>
      </c>
      <c r="Y47" s="11">
        <f>SUM(M47:X47)</f>
        <v>18404627060.682716</v>
      </c>
    </row>
    <row r="48" spans="3:25" x14ac:dyDescent="0.15">
      <c r="M48" s="75"/>
      <c r="N48" s="75"/>
      <c r="O48" s="75"/>
      <c r="P48" s="75"/>
      <c r="Q48" s="75"/>
      <c r="R48" s="75"/>
      <c r="S48" s="75"/>
      <c r="T48" s="75"/>
      <c r="U48" s="75"/>
      <c r="V48" s="75"/>
      <c r="W48" s="75"/>
      <c r="X48" s="75"/>
      <c r="Y48" s="75"/>
    </row>
    <row r="49" spans="8:25" ht="16" x14ac:dyDescent="0.2">
      <c r="L49" s="20" t="s">
        <v>118</v>
      </c>
      <c r="M49" s="3"/>
      <c r="N49" s="3"/>
      <c r="O49" s="3"/>
      <c r="P49" s="3"/>
      <c r="Q49" s="3"/>
      <c r="R49" s="3"/>
    </row>
    <row r="50" spans="8:25" x14ac:dyDescent="0.15">
      <c r="L50" s="21" t="s">
        <v>149</v>
      </c>
      <c r="M50" s="25">
        <f>'ContabilidaddeInnovación Año2'!Y49</f>
        <v>0.51262562656406219</v>
      </c>
      <c r="N50" s="25">
        <f>M50</f>
        <v>0.51262562656406219</v>
      </c>
      <c r="O50" s="25">
        <f>N50</f>
        <v>0.51262562656406219</v>
      </c>
      <c r="P50" s="22">
        <f>O50*(1+$P$6)</f>
        <v>0.51518875469688241</v>
      </c>
      <c r="Q50" s="22">
        <f t="shared" ref="Q50:X50" si="30">P50*(1+$P$6)</f>
        <v>0.51776469847036677</v>
      </c>
      <c r="R50" s="22">
        <f t="shared" si="30"/>
        <v>0.52035352196271856</v>
      </c>
      <c r="S50" s="22">
        <f t="shared" si="30"/>
        <v>0.52295528957253212</v>
      </c>
      <c r="T50" s="22">
        <f t="shared" si="30"/>
        <v>0.52557006602039469</v>
      </c>
      <c r="U50" s="22">
        <f t="shared" si="30"/>
        <v>0.52819791635049662</v>
      </c>
      <c r="V50" s="22">
        <f t="shared" si="30"/>
        <v>0.53083890593224903</v>
      </c>
      <c r="W50" s="22">
        <f t="shared" si="30"/>
        <v>0.53349310046191023</v>
      </c>
      <c r="X50" s="22">
        <f t="shared" si="30"/>
        <v>0.53616056596421968</v>
      </c>
      <c r="Y50" s="22">
        <f>MAX(M50:X50)</f>
        <v>0.53616056596421968</v>
      </c>
    </row>
    <row r="51" spans="8:25" x14ac:dyDescent="0.15">
      <c r="L51" s="21" t="s">
        <v>143</v>
      </c>
      <c r="M51" s="25">
        <f>'ContabilidaddeInnovación Año2'!Y50</f>
        <v>0.71056318928366957</v>
      </c>
      <c r="N51" s="25">
        <f t="shared" ref="N51:O55" si="31">M51</f>
        <v>0.71056318928366957</v>
      </c>
      <c r="O51" s="25">
        <f t="shared" si="31"/>
        <v>0.71056318928366957</v>
      </c>
      <c r="P51" s="22">
        <f>O51*(1+$Q$6)</f>
        <v>0.7126948788515205</v>
      </c>
      <c r="Q51" s="22">
        <f t="shared" ref="Q51:X51" si="32">P51*(1+$Q$6)</f>
        <v>0.71483296348807501</v>
      </c>
      <c r="R51" s="22">
        <f t="shared" si="32"/>
        <v>0.71697746237853921</v>
      </c>
      <c r="S51" s="22">
        <f t="shared" si="32"/>
        <v>0.71912839476567469</v>
      </c>
      <c r="T51" s="22">
        <f t="shared" si="32"/>
        <v>0.72128577994997167</v>
      </c>
      <c r="U51" s="22">
        <f t="shared" si="32"/>
        <v>0.72344963728982148</v>
      </c>
      <c r="V51" s="22">
        <f t="shared" si="32"/>
        <v>0.72561998620169088</v>
      </c>
      <c r="W51" s="22">
        <f t="shared" si="32"/>
        <v>0.72779684616029583</v>
      </c>
      <c r="X51" s="22">
        <f t="shared" si="32"/>
        <v>0.72998023669877665</v>
      </c>
      <c r="Y51" s="22">
        <f t="shared" ref="Y51:Y56" si="33">MAX(M51:X51)</f>
        <v>0.72998023669877665</v>
      </c>
    </row>
    <row r="52" spans="8:25" x14ac:dyDescent="0.15">
      <c r="H52" s="8"/>
      <c r="I52" s="8"/>
      <c r="J52" s="16"/>
      <c r="K52" s="9"/>
      <c r="L52" s="21" t="s">
        <v>144</v>
      </c>
      <c r="M52" s="25">
        <f>'ContabilidaddeInnovación Año2'!Y51</f>
        <v>0.5</v>
      </c>
      <c r="N52" s="25">
        <f t="shared" si="31"/>
        <v>0.5</v>
      </c>
      <c r="O52" s="25">
        <f t="shared" si="31"/>
        <v>0.5</v>
      </c>
      <c r="P52" s="22">
        <f>O52*(1+$R$6)</f>
        <v>0.50049999999999994</v>
      </c>
      <c r="Q52" s="22">
        <f t="shared" ref="Q52:X52" si="34">P52*(1+$R$6)</f>
        <v>0.50100049999999985</v>
      </c>
      <c r="R52" s="22">
        <f t="shared" si="34"/>
        <v>0.50150150049999975</v>
      </c>
      <c r="S52" s="22">
        <f t="shared" si="34"/>
        <v>0.50200300200049974</v>
      </c>
      <c r="T52" s="22">
        <f t="shared" si="34"/>
        <v>0.50250500500250017</v>
      </c>
      <c r="U52" s="22">
        <f t="shared" si="34"/>
        <v>0.50300751000750266</v>
      </c>
      <c r="V52" s="22">
        <f t="shared" si="34"/>
        <v>0.50351051751751008</v>
      </c>
      <c r="W52" s="22">
        <f t="shared" si="34"/>
        <v>0.50401402803502748</v>
      </c>
      <c r="X52" s="22">
        <f t="shared" si="34"/>
        <v>0.5045180420630625</v>
      </c>
      <c r="Y52" s="22">
        <f t="shared" si="33"/>
        <v>0.5045180420630625</v>
      </c>
    </row>
    <row r="53" spans="8:25" x14ac:dyDescent="0.15">
      <c r="H53" s="8"/>
      <c r="I53" s="8"/>
      <c r="J53" s="16"/>
      <c r="L53" s="21" t="s">
        <v>145</v>
      </c>
      <c r="M53" s="25">
        <f>'ContabilidaddeInnovación Año2'!Y52</f>
        <v>1</v>
      </c>
      <c r="N53" s="25">
        <f t="shared" si="31"/>
        <v>1</v>
      </c>
      <c r="O53" s="25">
        <f t="shared" si="31"/>
        <v>1</v>
      </c>
      <c r="P53" s="22">
        <f>O53</f>
        <v>1</v>
      </c>
      <c r="Q53" s="22">
        <f t="shared" ref="Q53:X53" si="35">P53</f>
        <v>1</v>
      </c>
      <c r="R53" s="22">
        <f t="shared" si="35"/>
        <v>1</v>
      </c>
      <c r="S53" s="22">
        <f t="shared" si="35"/>
        <v>1</v>
      </c>
      <c r="T53" s="22">
        <f t="shared" si="35"/>
        <v>1</v>
      </c>
      <c r="U53" s="22">
        <f t="shared" si="35"/>
        <v>1</v>
      </c>
      <c r="V53" s="22">
        <f t="shared" si="35"/>
        <v>1</v>
      </c>
      <c r="W53" s="22">
        <f t="shared" si="35"/>
        <v>1</v>
      </c>
      <c r="X53" s="22">
        <f t="shared" si="35"/>
        <v>1</v>
      </c>
      <c r="Y53" s="22">
        <f t="shared" si="33"/>
        <v>1</v>
      </c>
    </row>
    <row r="54" spans="8:25" x14ac:dyDescent="0.15">
      <c r="L54" s="21" t="s">
        <v>146</v>
      </c>
      <c r="M54" s="25">
        <f>'ContabilidaddeInnovación Año2'!Y53</f>
        <v>1</v>
      </c>
      <c r="N54" s="25">
        <f t="shared" si="31"/>
        <v>1</v>
      </c>
      <c r="O54" s="25">
        <f t="shared" si="31"/>
        <v>1</v>
      </c>
      <c r="P54" s="22">
        <f>O54</f>
        <v>1</v>
      </c>
      <c r="Q54" s="22">
        <f t="shared" ref="Q54:X54" si="36">P54</f>
        <v>1</v>
      </c>
      <c r="R54" s="22">
        <f t="shared" si="36"/>
        <v>1</v>
      </c>
      <c r="S54" s="22">
        <f t="shared" si="36"/>
        <v>1</v>
      </c>
      <c r="T54" s="22">
        <f t="shared" si="36"/>
        <v>1</v>
      </c>
      <c r="U54" s="22">
        <f t="shared" si="36"/>
        <v>1</v>
      </c>
      <c r="V54" s="22">
        <f t="shared" si="36"/>
        <v>1</v>
      </c>
      <c r="W54" s="22">
        <f t="shared" si="36"/>
        <v>1</v>
      </c>
      <c r="X54" s="22">
        <f t="shared" si="36"/>
        <v>1</v>
      </c>
      <c r="Y54" s="22">
        <f t="shared" si="33"/>
        <v>1</v>
      </c>
    </row>
    <row r="55" spans="8:25" x14ac:dyDescent="0.15">
      <c r="L55" s="21" t="s">
        <v>147</v>
      </c>
      <c r="M55" s="25">
        <f>'ContabilidaddeInnovación Año2'!Y54</f>
        <v>0.4</v>
      </c>
      <c r="N55" s="25">
        <f t="shared" si="31"/>
        <v>0.4</v>
      </c>
      <c r="O55" s="25">
        <f t="shared" si="31"/>
        <v>0.4</v>
      </c>
      <c r="P55" s="22">
        <f>O55</f>
        <v>0.4</v>
      </c>
      <c r="Q55" s="22">
        <f t="shared" ref="Q55:X55" si="37">P55</f>
        <v>0.4</v>
      </c>
      <c r="R55" s="22">
        <f t="shared" si="37"/>
        <v>0.4</v>
      </c>
      <c r="S55" s="22">
        <f t="shared" si="37"/>
        <v>0.4</v>
      </c>
      <c r="T55" s="22">
        <f t="shared" si="37"/>
        <v>0.4</v>
      </c>
      <c r="U55" s="22">
        <f t="shared" si="37"/>
        <v>0.4</v>
      </c>
      <c r="V55" s="22">
        <f t="shared" si="37"/>
        <v>0.4</v>
      </c>
      <c r="W55" s="22">
        <f t="shared" si="37"/>
        <v>0.4</v>
      </c>
      <c r="X55" s="22">
        <f t="shared" si="37"/>
        <v>0.4</v>
      </c>
      <c r="Y55" s="22">
        <f t="shared" si="33"/>
        <v>0.4</v>
      </c>
    </row>
    <row r="56" spans="8:25" x14ac:dyDescent="0.15">
      <c r="L56" s="21" t="s">
        <v>142</v>
      </c>
      <c r="M56" s="25">
        <f t="shared" ref="M56:P56" si="38">M50*M51*M52*M53*M54*M55</f>
        <v>7.2850580023979886E-2</v>
      </c>
      <c r="N56" s="25">
        <f t="shared" si="38"/>
        <v>7.2850580023979886E-2</v>
      </c>
      <c r="O56" s="25">
        <f t="shared" si="38"/>
        <v>7.2850580023979886E-2</v>
      </c>
      <c r="P56" s="26">
        <f t="shared" si="38"/>
        <v>7.3507911900294931E-2</v>
      </c>
      <c r="Q56" s="26">
        <f t="shared" ref="Q56:X56" si="39">Q50*Q51*Q52*Q53*Q54*Q55</f>
        <v>7.4171174891989947E-2</v>
      </c>
      <c r="R56" s="26">
        <f t="shared" si="39"/>
        <v>7.4840422515607977E-2</v>
      </c>
      <c r="S56" s="26">
        <f t="shared" si="39"/>
        <v>7.551570877057262E-2</v>
      </c>
      <c r="T56" s="26">
        <f t="shared" si="39"/>
        <v>7.6197088143545089E-2</v>
      </c>
      <c r="U56" s="26">
        <f t="shared" si="39"/>
        <v>7.6884615612820617E-2</v>
      </c>
      <c r="V56" s="26">
        <f t="shared" si="39"/>
        <v>7.7578346652764293E-2</v>
      </c>
      <c r="W56" s="26">
        <f t="shared" si="39"/>
        <v>7.8278337238287352E-2</v>
      </c>
      <c r="X56" s="26">
        <f t="shared" si="39"/>
        <v>7.8984643849363448E-2</v>
      </c>
      <c r="Y56" s="22">
        <f t="shared" si="33"/>
        <v>7.8984643849363448E-2</v>
      </c>
    </row>
    <row r="58" spans="8:25" x14ac:dyDescent="0.15">
      <c r="L58" s="21" t="s">
        <v>152</v>
      </c>
      <c r="M58" s="24">
        <f>M11</f>
        <v>2499178.5009601018</v>
      </c>
      <c r="N58" s="24">
        <f>M58*(1+$M$7)</f>
        <v>2676620.1745282691</v>
      </c>
      <c r="O58" s="24">
        <f t="shared" ref="O58:X58" si="40">N58*(1+$M$7)</f>
        <v>2866660.2069197763</v>
      </c>
      <c r="P58" s="24">
        <f t="shared" si="40"/>
        <v>3070193.0816110801</v>
      </c>
      <c r="Q58" s="24">
        <f t="shared" si="40"/>
        <v>3288176.7904054667</v>
      </c>
      <c r="R58" s="24">
        <f t="shared" si="40"/>
        <v>3521637.3425242547</v>
      </c>
      <c r="S58" s="24">
        <f t="shared" si="40"/>
        <v>3771673.5938434764</v>
      </c>
      <c r="T58" s="24">
        <f t="shared" si="40"/>
        <v>4039462.419006363</v>
      </c>
      <c r="U58" s="24">
        <f t="shared" si="40"/>
        <v>4326264.2507558148</v>
      </c>
      <c r="V58" s="24">
        <f t="shared" si="40"/>
        <v>4633429.0125594772</v>
      </c>
      <c r="W58" s="24">
        <f t="shared" si="40"/>
        <v>4962402.4724511998</v>
      </c>
      <c r="X58" s="24">
        <f t="shared" si="40"/>
        <v>5314733.0479952348</v>
      </c>
      <c r="Y58" s="24">
        <f t="shared" ref="Y58:Y65" si="41">SUM(M58:X58)</f>
        <v>44970430.893560514</v>
      </c>
    </row>
    <row r="59" spans="8:25" x14ac:dyDescent="0.15">
      <c r="L59" s="21" t="s">
        <v>136</v>
      </c>
      <c r="M59" s="24">
        <f>M58*$M$8</f>
        <v>62479.462524002549</v>
      </c>
      <c r="N59" s="24">
        <f t="shared" ref="N59:X59" si="42">N58*$M$8</f>
        <v>66915.504363206725</v>
      </c>
      <c r="O59" s="24">
        <f t="shared" si="42"/>
        <v>71666.50517299441</v>
      </c>
      <c r="P59" s="24">
        <f t="shared" si="42"/>
        <v>76754.827040276999</v>
      </c>
      <c r="Q59" s="24">
        <f t="shared" si="42"/>
        <v>82204.419760136676</v>
      </c>
      <c r="R59" s="24">
        <f t="shared" si="42"/>
        <v>88040.933563106373</v>
      </c>
      <c r="S59" s="24">
        <f t="shared" si="42"/>
        <v>94291.839846086921</v>
      </c>
      <c r="T59" s="24">
        <f t="shared" si="42"/>
        <v>100986.56047515909</v>
      </c>
      <c r="U59" s="24">
        <f t="shared" si="42"/>
        <v>108156.60626889538</v>
      </c>
      <c r="V59" s="24">
        <f t="shared" si="42"/>
        <v>115835.72531398694</v>
      </c>
      <c r="W59" s="24">
        <f t="shared" si="42"/>
        <v>124060.06181128</v>
      </c>
      <c r="X59" s="24">
        <f t="shared" si="42"/>
        <v>132868.32619988089</v>
      </c>
      <c r="Y59" s="24">
        <f t="shared" si="41"/>
        <v>1124260.7723390127</v>
      </c>
    </row>
    <row r="60" spans="8:25" x14ac:dyDescent="0.15">
      <c r="L60" s="21" t="s">
        <v>171</v>
      </c>
      <c r="M60" s="24">
        <f>M104</f>
        <v>4012.7170996345385</v>
      </c>
      <c r="N60" s="24">
        <f t="shared" ref="N60:X60" si="43">N104</f>
        <v>4250.7663199938188</v>
      </c>
      <c r="O60" s="24">
        <f t="shared" si="43"/>
        <v>4491.4760178332572</v>
      </c>
      <c r="P60" s="24">
        <f t="shared" si="43"/>
        <v>4734.8461931528518</v>
      </c>
      <c r="Q60" s="24">
        <f t="shared" si="43"/>
        <v>4980.8768459526054</v>
      </c>
      <c r="R60" s="24">
        <f t="shared" si="43"/>
        <v>5229.5679762325153</v>
      </c>
      <c r="S60" s="24">
        <f t="shared" si="43"/>
        <v>5480.9195839925833</v>
      </c>
      <c r="T60" s="24">
        <f t="shared" si="43"/>
        <v>5726.359019574521</v>
      </c>
      <c r="U60" s="24">
        <f t="shared" si="43"/>
        <v>5956.7224161022359</v>
      </c>
      <c r="V60" s="24">
        <f t="shared" si="43"/>
        <v>6162.2546894818133</v>
      </c>
      <c r="W60" s="24">
        <f t="shared" si="43"/>
        <v>6352.4448760591513</v>
      </c>
      <c r="X60" s="24">
        <f t="shared" si="43"/>
        <v>6537.4914728415179</v>
      </c>
      <c r="Y60" s="24">
        <f t="shared" si="41"/>
        <v>63916.442510851411</v>
      </c>
    </row>
    <row r="61" spans="8:25" x14ac:dyDescent="0.15">
      <c r="L61" s="21" t="s">
        <v>138</v>
      </c>
      <c r="M61" s="24">
        <f>(M59+M60)*M56</f>
        <v>4843.9938526406186</v>
      </c>
      <c r="N61" s="24">
        <f t="shared" ref="N61:X61" si="44">(N59+N60)*N56</f>
        <v>5184.504097414715</v>
      </c>
      <c r="O61" s="24">
        <f t="shared" si="44"/>
        <v>5548.1531032071453</v>
      </c>
      <c r="P61" s="24">
        <f t="shared" si="44"/>
        <v>5990.1357208267837</v>
      </c>
      <c r="Q61" s="24">
        <f t="shared" si="44"/>
        <v>6466.6358825802654</v>
      </c>
      <c r="R61" s="24">
        <f t="shared" si="44"/>
        <v>6980.4037434467864</v>
      </c>
      <c r="S61" s="24">
        <f t="shared" si="44"/>
        <v>7534.4106443582868</v>
      </c>
      <c r="T61" s="24">
        <f t="shared" si="44"/>
        <v>8131.2137327952478</v>
      </c>
      <c r="U61" s="24">
        <f t="shared" si="44"/>
        <v>8773.5594122454986</v>
      </c>
      <c r="V61" s="24">
        <f t="shared" si="44"/>
        <v>9464.4015836461058</v>
      </c>
      <c r="W61" s="24">
        <f t="shared" si="44"/>
        <v>10208.474178561939</v>
      </c>
      <c r="X61" s="24">
        <f t="shared" si="44"/>
        <v>11010.918859409278</v>
      </c>
      <c r="Y61" s="24">
        <f t="shared" si="41"/>
        <v>90136.804811132693</v>
      </c>
    </row>
    <row r="62" spans="8:25" x14ac:dyDescent="0.15">
      <c r="L62" s="21" t="s">
        <v>139</v>
      </c>
      <c r="M62" s="29">
        <f t="shared" ref="M62:X62" si="45">M61*$M$20</f>
        <v>1629616411.9053569</v>
      </c>
      <c r="N62" s="29">
        <f t="shared" si="45"/>
        <v>1744170868.4522583</v>
      </c>
      <c r="O62" s="29">
        <f t="shared" si="45"/>
        <v>1866509666.9809477</v>
      </c>
      <c r="P62" s="29">
        <f t="shared" si="45"/>
        <v>2015201459.2005465</v>
      </c>
      <c r="Q62" s="29">
        <f t="shared" si="45"/>
        <v>2175505643.6176529</v>
      </c>
      <c r="R62" s="29">
        <f t="shared" si="45"/>
        <v>2348347427.370368</v>
      </c>
      <c r="S62" s="29">
        <f t="shared" si="45"/>
        <v>2534726428.9750147</v>
      </c>
      <c r="T62" s="29">
        <f t="shared" si="45"/>
        <v>2735502923.9869771</v>
      </c>
      <c r="U62" s="29">
        <f t="shared" si="45"/>
        <v>2951600857.4676309</v>
      </c>
      <c r="V62" s="29">
        <f t="shared" si="45"/>
        <v>3184013980.7702231</v>
      </c>
      <c r="W62" s="29">
        <f t="shared" si="45"/>
        <v>3434334883.1518073</v>
      </c>
      <c r="X62" s="29">
        <f t="shared" si="45"/>
        <v>3704293322.6824694</v>
      </c>
      <c r="Y62" s="11">
        <f t="shared" si="41"/>
        <v>30323823874.561249</v>
      </c>
    </row>
    <row r="63" spans="8:25" x14ac:dyDescent="0.15">
      <c r="L63" s="78" t="s">
        <v>113</v>
      </c>
      <c r="M63" s="74">
        <f>('ContabilidaddeInnovación Año2'!M59+'ContabilidaddeInnovación Año2'!M60)*M105</f>
        <v>0</v>
      </c>
      <c r="N63" s="74">
        <f>('ContabilidaddeInnovación Año2'!N59+'ContabilidaddeInnovación Año2'!N60)*N105</f>
        <v>0</v>
      </c>
      <c r="O63" s="74">
        <f>('ContabilidaddeInnovación Año2'!O59+'ContabilidaddeInnovación Año2'!O60)*O105</f>
        <v>0</v>
      </c>
      <c r="P63" s="74">
        <f>('ContabilidaddeInnovación Año2'!P59+'ContabilidaddeInnovación Año2'!P60)*P105</f>
        <v>0</v>
      </c>
      <c r="Q63" s="74">
        <f>('ContabilidaddeInnovación Año2'!Q59+'ContabilidaddeInnovación Año2'!Q60)*Q105</f>
        <v>0</v>
      </c>
      <c r="R63" s="74">
        <f>('ContabilidaddeInnovación Año2'!R59+'ContabilidaddeInnovación Año2'!R60)*R105</f>
        <v>4041.8439240000002</v>
      </c>
      <c r="S63" s="74">
        <f>('ContabilidaddeInnovación Año2'!S59+'ContabilidaddeInnovación Año2'!S60)*S105</f>
        <v>4333.2841500000004</v>
      </c>
      <c r="T63" s="74">
        <f>('ContabilidaddeInnovación Año2'!T59+'ContabilidaddeInnovación Año2'!T60)*T105</f>
        <v>4662.9431239110145</v>
      </c>
      <c r="U63" s="74">
        <f>('ContabilidaddeInnovación Año2'!U59+'ContabilidaddeInnovación Año2'!U60)*U105</f>
        <v>5010.5257484566564</v>
      </c>
      <c r="V63" s="74">
        <f>('ContabilidaddeInnovación Año2'!V59+'ContabilidaddeInnovación Año2'!V60)*V105</f>
        <v>5377.4504991909171</v>
      </c>
      <c r="W63" s="74">
        <f>('ContabilidaddeInnovación Año2'!W59+'ContabilidaddeInnovación Año2'!W60)*W105</f>
        <v>5765.2486440530356</v>
      </c>
      <c r="X63" s="74">
        <f>('ContabilidaddeInnovación Año2'!X59+'ContabilidaddeInnovación Año2'!X60)*X105</f>
        <v>6175.5732188219354</v>
      </c>
      <c r="Y63" s="24">
        <f t="shared" si="41"/>
        <v>35366.869308433554</v>
      </c>
    </row>
    <row r="64" spans="8:25" x14ac:dyDescent="0.15">
      <c r="L64" s="78" t="s">
        <v>203</v>
      </c>
      <c r="M64" s="29">
        <f t="shared" ref="M64:X64" si="46">M63*($M$20)</f>
        <v>0</v>
      </c>
      <c r="N64" s="29">
        <f t="shared" si="46"/>
        <v>0</v>
      </c>
      <c r="O64" s="29">
        <f t="shared" si="46"/>
        <v>0</v>
      </c>
      <c r="P64" s="29">
        <f t="shared" si="46"/>
        <v>0</v>
      </c>
      <c r="Q64" s="29">
        <f t="shared" si="46"/>
        <v>0</v>
      </c>
      <c r="R64" s="29">
        <f t="shared" si="46"/>
        <v>1359757132.91208</v>
      </c>
      <c r="S64" s="29">
        <f t="shared" si="46"/>
        <v>1457803453.743</v>
      </c>
      <c r="T64" s="29">
        <f t="shared" si="46"/>
        <v>1568707325.7461436</v>
      </c>
      <c r="U64" s="29">
        <f t="shared" si="46"/>
        <v>1685641072.2957883</v>
      </c>
      <c r="V64" s="29">
        <f t="shared" si="46"/>
        <v>1809081896.9378083</v>
      </c>
      <c r="W64" s="29">
        <f t="shared" si="46"/>
        <v>1939544948.8323221</v>
      </c>
      <c r="X64" s="29">
        <f t="shared" si="46"/>
        <v>2077586342.2760756</v>
      </c>
      <c r="Y64" s="11">
        <f t="shared" si="41"/>
        <v>11898122172.743217</v>
      </c>
    </row>
    <row r="65" spans="3:25" x14ac:dyDescent="0.15">
      <c r="L65" s="21" t="s">
        <v>140</v>
      </c>
      <c r="M65" s="29">
        <f t="shared" ref="M65:X65" si="47">(M62*$M$21)+(M64*$M$21)</f>
        <v>81480820.595267847</v>
      </c>
      <c r="N65" s="29">
        <f t="shared" si="47"/>
        <v>87208543.42261292</v>
      </c>
      <c r="O65" s="29">
        <f t="shared" si="47"/>
        <v>93325483.349047393</v>
      </c>
      <c r="P65" s="29">
        <f t="shared" si="47"/>
        <v>100760072.96002734</v>
      </c>
      <c r="Q65" s="29">
        <f t="shared" si="47"/>
        <v>108775282.18088265</v>
      </c>
      <c r="R65" s="29">
        <f t="shared" si="47"/>
        <v>185405228.01412243</v>
      </c>
      <c r="S65" s="29">
        <f t="shared" si="47"/>
        <v>199626494.13590074</v>
      </c>
      <c r="T65" s="29">
        <f t="shared" si="47"/>
        <v>215210512.48665607</v>
      </c>
      <c r="U65" s="29">
        <f t="shared" si="47"/>
        <v>231862096.48817098</v>
      </c>
      <c r="V65" s="29">
        <f t="shared" si="47"/>
        <v>249654793.88540158</v>
      </c>
      <c r="W65" s="29">
        <f t="shared" si="47"/>
        <v>268693991.59920651</v>
      </c>
      <c r="X65" s="29">
        <f t="shared" si="47"/>
        <v>289093983.24792725</v>
      </c>
      <c r="Y65" s="24">
        <f t="shared" si="41"/>
        <v>2111097302.3652234</v>
      </c>
    </row>
    <row r="66" spans="3:25" ht="16" x14ac:dyDescent="0.15">
      <c r="C66" s="1"/>
    </row>
    <row r="67" spans="3:25" ht="16" x14ac:dyDescent="0.2">
      <c r="C67" s="1"/>
      <c r="L67" s="20" t="s">
        <v>158</v>
      </c>
    </row>
    <row r="68" spans="3:25" ht="16" x14ac:dyDescent="0.15">
      <c r="C68" s="5"/>
      <c r="L68" s="21" t="s">
        <v>149</v>
      </c>
      <c r="M68" s="25">
        <f>'ContabilidaddeInnovación Año2'!Y65</f>
        <v>0.50501249999999986</v>
      </c>
      <c r="N68" s="25">
        <f>M68</f>
        <v>0.50501249999999986</v>
      </c>
      <c r="O68" s="26">
        <f>N68</f>
        <v>0.50501249999999986</v>
      </c>
      <c r="P68" s="22">
        <f>O68*(1+$P$6)</f>
        <v>0.50753756249999982</v>
      </c>
      <c r="Q68" s="22">
        <f t="shared" ref="Q68:X68" si="48">P68*(1+$P$6)</f>
        <v>0.51007525031249978</v>
      </c>
      <c r="R68" s="22">
        <f t="shared" si="48"/>
        <v>0.51262562656406219</v>
      </c>
      <c r="S68" s="22">
        <f t="shared" si="48"/>
        <v>0.51518875469688241</v>
      </c>
      <c r="T68" s="22">
        <f t="shared" si="48"/>
        <v>0.51776469847036677</v>
      </c>
      <c r="U68" s="22">
        <f t="shared" si="48"/>
        <v>0.52035352196271856</v>
      </c>
      <c r="V68" s="22">
        <f t="shared" si="48"/>
        <v>0.52295528957253212</v>
      </c>
      <c r="W68" s="22">
        <f t="shared" si="48"/>
        <v>0.52557006602039469</v>
      </c>
      <c r="X68" s="22">
        <f t="shared" si="48"/>
        <v>0.52819791635049662</v>
      </c>
      <c r="Y68" s="22">
        <f t="shared" ref="Y68:Y74" si="49">MAX(M68:X68)</f>
        <v>0.52819791635049662</v>
      </c>
    </row>
    <row r="69" spans="3:25" ht="16" x14ac:dyDescent="0.15">
      <c r="C69" s="1"/>
      <c r="L69" s="21" t="s">
        <v>143</v>
      </c>
      <c r="M69" s="25">
        <f>'ContabilidaddeInnovación Año2'!Y66</f>
        <v>0.70042006299999982</v>
      </c>
      <c r="N69" s="25">
        <f t="shared" ref="N69:O73" si="50">M69</f>
        <v>0.70042006299999982</v>
      </c>
      <c r="O69" s="26">
        <f t="shared" si="50"/>
        <v>0.70042006299999982</v>
      </c>
      <c r="P69" s="22">
        <f>O69*(1+$Q$6)</f>
        <v>0.70252132318899974</v>
      </c>
      <c r="Q69" s="22">
        <f t="shared" ref="Q69:X69" si="51">P69*(1+$Q$6)</f>
        <v>0.70462888715856664</v>
      </c>
      <c r="R69" s="22">
        <f t="shared" si="51"/>
        <v>0.70674277382004225</v>
      </c>
      <c r="S69" s="22">
        <f t="shared" si="51"/>
        <v>0.70886300214150233</v>
      </c>
      <c r="T69" s="22">
        <f t="shared" si="51"/>
        <v>0.71098959114792681</v>
      </c>
      <c r="U69" s="22">
        <f t="shared" si="51"/>
        <v>0.71312255992137052</v>
      </c>
      <c r="V69" s="22">
        <f t="shared" si="51"/>
        <v>0.71526192760113461</v>
      </c>
      <c r="W69" s="22">
        <f t="shared" si="51"/>
        <v>0.71740771338393794</v>
      </c>
      <c r="X69" s="22">
        <f t="shared" si="51"/>
        <v>0.71955993652408967</v>
      </c>
      <c r="Y69" s="22">
        <f t="shared" si="49"/>
        <v>0.71955993652408967</v>
      </c>
    </row>
    <row r="70" spans="3:25" ht="16" x14ac:dyDescent="0.15">
      <c r="C70" s="5"/>
      <c r="L70" s="21" t="s">
        <v>144</v>
      </c>
      <c r="M70" s="25">
        <f>'ContabilidaddeInnovación Año2'!Y67</f>
        <v>0.7</v>
      </c>
      <c r="N70" s="25">
        <f t="shared" si="50"/>
        <v>0.7</v>
      </c>
      <c r="O70" s="26">
        <f t="shared" si="50"/>
        <v>0.7</v>
      </c>
      <c r="P70" s="22">
        <f>O70*(1+$R$6)</f>
        <v>0.70069999999999988</v>
      </c>
      <c r="Q70" s="22">
        <f t="shared" ref="Q70:X70" si="52">P70*(1+$R$6)</f>
        <v>0.70140069999999977</v>
      </c>
      <c r="R70" s="22">
        <f t="shared" si="52"/>
        <v>0.70210210069999968</v>
      </c>
      <c r="S70" s="22">
        <f t="shared" si="52"/>
        <v>0.70280420280069955</v>
      </c>
      <c r="T70" s="22">
        <f t="shared" si="52"/>
        <v>0.70350700700350022</v>
      </c>
      <c r="U70" s="22">
        <f t="shared" si="52"/>
        <v>0.70421051401050361</v>
      </c>
      <c r="V70" s="22">
        <f t="shared" si="52"/>
        <v>0.70491472452451398</v>
      </c>
      <c r="W70" s="22">
        <f t="shared" si="52"/>
        <v>0.70561963924903837</v>
      </c>
      <c r="X70" s="22">
        <f t="shared" si="52"/>
        <v>0.70632525888828734</v>
      </c>
      <c r="Y70" s="22">
        <f t="shared" si="49"/>
        <v>0.70632525888828734</v>
      </c>
    </row>
    <row r="71" spans="3:25" ht="16" x14ac:dyDescent="0.15">
      <c r="C71" s="5"/>
      <c r="L71" s="21" t="s">
        <v>145</v>
      </c>
      <c r="M71" s="25">
        <f>'ContabilidaddeInnovación Año2'!Y68</f>
        <v>0.7</v>
      </c>
      <c r="N71" s="25">
        <f t="shared" si="50"/>
        <v>0.7</v>
      </c>
      <c r="O71" s="26">
        <f t="shared" si="50"/>
        <v>0.7</v>
      </c>
      <c r="P71" s="22">
        <f>O71</f>
        <v>0.7</v>
      </c>
      <c r="Q71" s="22">
        <f t="shared" ref="Q71:X71" si="53">P71</f>
        <v>0.7</v>
      </c>
      <c r="R71" s="22">
        <f t="shared" si="53"/>
        <v>0.7</v>
      </c>
      <c r="S71" s="22">
        <f t="shared" si="53"/>
        <v>0.7</v>
      </c>
      <c r="T71" s="22">
        <f t="shared" si="53"/>
        <v>0.7</v>
      </c>
      <c r="U71" s="22">
        <f t="shared" si="53"/>
        <v>0.7</v>
      </c>
      <c r="V71" s="22">
        <f t="shared" si="53"/>
        <v>0.7</v>
      </c>
      <c r="W71" s="22">
        <f t="shared" si="53"/>
        <v>0.7</v>
      </c>
      <c r="X71" s="22">
        <f t="shared" si="53"/>
        <v>0.7</v>
      </c>
      <c r="Y71" s="22">
        <f t="shared" si="49"/>
        <v>0.7</v>
      </c>
    </row>
    <row r="72" spans="3:25" x14ac:dyDescent="0.15">
      <c r="L72" s="21" t="s">
        <v>146</v>
      </c>
      <c r="M72" s="25">
        <f>'ContabilidaddeInnovación Año2'!Y69</f>
        <v>0.59899999999999998</v>
      </c>
      <c r="N72" s="25">
        <f t="shared" si="50"/>
        <v>0.59899999999999998</v>
      </c>
      <c r="O72" s="26">
        <f t="shared" si="50"/>
        <v>0.59899999999999998</v>
      </c>
      <c r="P72" s="22">
        <f>O72</f>
        <v>0.59899999999999998</v>
      </c>
      <c r="Q72" s="22">
        <f t="shared" ref="Q72:X72" si="54">P72</f>
        <v>0.59899999999999998</v>
      </c>
      <c r="R72" s="22">
        <f t="shared" si="54"/>
        <v>0.59899999999999998</v>
      </c>
      <c r="S72" s="22">
        <f t="shared" si="54"/>
        <v>0.59899999999999998</v>
      </c>
      <c r="T72" s="22">
        <f t="shared" si="54"/>
        <v>0.59899999999999998</v>
      </c>
      <c r="U72" s="22">
        <f t="shared" si="54"/>
        <v>0.59899999999999998</v>
      </c>
      <c r="V72" s="22">
        <f t="shared" si="54"/>
        <v>0.59899999999999998</v>
      </c>
      <c r="W72" s="22">
        <f t="shared" si="54"/>
        <v>0.59899999999999998</v>
      </c>
      <c r="X72" s="22">
        <f t="shared" si="54"/>
        <v>0.59899999999999998</v>
      </c>
      <c r="Y72" s="22">
        <f t="shared" si="49"/>
        <v>0.59899999999999998</v>
      </c>
    </row>
    <row r="73" spans="3:25" x14ac:dyDescent="0.15">
      <c r="L73" s="21" t="s">
        <v>147</v>
      </c>
      <c r="M73" s="25">
        <f>'ContabilidaddeInnovación Año2'!Y70</f>
        <v>0.4</v>
      </c>
      <c r="N73" s="25">
        <f t="shared" si="50"/>
        <v>0.4</v>
      </c>
      <c r="O73" s="26">
        <f t="shared" si="50"/>
        <v>0.4</v>
      </c>
      <c r="P73" s="22">
        <f>O73</f>
        <v>0.4</v>
      </c>
      <c r="Q73" s="22">
        <f t="shared" ref="Q73:X73" si="55">P73</f>
        <v>0.4</v>
      </c>
      <c r="R73" s="22">
        <f t="shared" si="55"/>
        <v>0.4</v>
      </c>
      <c r="S73" s="22">
        <f t="shared" si="55"/>
        <v>0.4</v>
      </c>
      <c r="T73" s="22">
        <f t="shared" si="55"/>
        <v>0.4</v>
      </c>
      <c r="U73" s="22">
        <f t="shared" si="55"/>
        <v>0.4</v>
      </c>
      <c r="V73" s="22">
        <f t="shared" si="55"/>
        <v>0.4</v>
      </c>
      <c r="W73" s="22">
        <f t="shared" si="55"/>
        <v>0.4</v>
      </c>
      <c r="X73" s="22">
        <f t="shared" si="55"/>
        <v>0.4</v>
      </c>
      <c r="Y73" s="22">
        <f t="shared" si="49"/>
        <v>0.4</v>
      </c>
    </row>
    <row r="74" spans="3:25" x14ac:dyDescent="0.15">
      <c r="L74" s="21" t="s">
        <v>142</v>
      </c>
      <c r="M74" s="26">
        <f t="shared" ref="M74:U74" si="56">M68*M69*M70*M71*M72*M73</f>
        <v>4.1528247025071685E-2</v>
      </c>
      <c r="N74" s="26">
        <f t="shared" si="56"/>
        <v>4.1528247025071685E-2</v>
      </c>
      <c r="O74" s="26">
        <f t="shared" si="56"/>
        <v>4.1528247025071685E-2</v>
      </c>
      <c r="P74" s="26">
        <f t="shared" si="56"/>
        <v>4.1902957020902604E-2</v>
      </c>
      <c r="Q74" s="26">
        <f t="shared" si="56"/>
        <v>4.2281048030646549E-2</v>
      </c>
      <c r="R74" s="26">
        <f t="shared" si="56"/>
        <v>4.2662550561242775E-2</v>
      </c>
      <c r="S74" s="26">
        <f t="shared" si="56"/>
        <v>4.3047495394895115E-2</v>
      </c>
      <c r="T74" s="26">
        <f t="shared" si="56"/>
        <v>4.3435913591555672E-2</v>
      </c>
      <c r="U74" s="26">
        <f t="shared" si="56"/>
        <v>4.3827836491430967E-2</v>
      </c>
      <c r="V74" s="26">
        <f>V68*V69*V70*V72*V71*V73</f>
        <v>4.4223295717510679E-2</v>
      </c>
      <c r="W74" s="26">
        <f>W68*W69*W70*W72*W71*W73</f>
        <v>4.4622323178119198E-2</v>
      </c>
      <c r="X74" s="26">
        <f>X68*X69*X70*X72*X71*X73</f>
        <v>4.5024951069490199E-2</v>
      </c>
      <c r="Y74" s="22">
        <f t="shared" si="49"/>
        <v>4.5024951069490199E-2</v>
      </c>
    </row>
    <row r="76" spans="3:25" x14ac:dyDescent="0.15">
      <c r="L76" s="21" t="s">
        <v>152</v>
      </c>
      <c r="M76" s="29">
        <f>M11</f>
        <v>2499178.5009601018</v>
      </c>
      <c r="N76" s="24">
        <f>M76*(1+$M$7)</f>
        <v>2676620.1745282691</v>
      </c>
      <c r="O76" s="24">
        <f t="shared" ref="O76:X76" si="57">N76*(1+$M$7)</f>
        <v>2866660.2069197763</v>
      </c>
      <c r="P76" s="24">
        <f t="shared" si="57"/>
        <v>3070193.0816110801</v>
      </c>
      <c r="Q76" s="24">
        <f t="shared" si="57"/>
        <v>3288176.7904054667</v>
      </c>
      <c r="R76" s="24">
        <f t="shared" si="57"/>
        <v>3521637.3425242547</v>
      </c>
      <c r="S76" s="24">
        <f t="shared" si="57"/>
        <v>3771673.5938434764</v>
      </c>
      <c r="T76" s="24">
        <f t="shared" si="57"/>
        <v>4039462.419006363</v>
      </c>
      <c r="U76" s="24">
        <f t="shared" si="57"/>
        <v>4326264.2507558148</v>
      </c>
      <c r="V76" s="24">
        <f t="shared" si="57"/>
        <v>4633429.0125594772</v>
      </c>
      <c r="W76" s="24">
        <f t="shared" si="57"/>
        <v>4962402.4724511998</v>
      </c>
      <c r="X76" s="24">
        <f t="shared" si="57"/>
        <v>5314733.0479952348</v>
      </c>
      <c r="Y76" s="24">
        <f t="shared" ref="Y76:Y83" si="58">SUM(M76:X76)</f>
        <v>44970430.893560514</v>
      </c>
    </row>
    <row r="77" spans="3:25" x14ac:dyDescent="0.15">
      <c r="L77" s="21" t="s">
        <v>136</v>
      </c>
      <c r="M77" s="24">
        <f>M76*$M$8</f>
        <v>62479.462524002549</v>
      </c>
      <c r="N77" s="24">
        <f t="shared" ref="N77:X77" si="59">N76*$M$8</f>
        <v>66915.504363206725</v>
      </c>
      <c r="O77" s="24">
        <f t="shared" si="59"/>
        <v>71666.50517299441</v>
      </c>
      <c r="P77" s="24">
        <f t="shared" si="59"/>
        <v>76754.827040276999</v>
      </c>
      <c r="Q77" s="24">
        <f t="shared" si="59"/>
        <v>82204.419760136676</v>
      </c>
      <c r="R77" s="24">
        <f t="shared" si="59"/>
        <v>88040.933563106373</v>
      </c>
      <c r="S77" s="24">
        <f t="shared" si="59"/>
        <v>94291.839846086921</v>
      </c>
      <c r="T77" s="24">
        <f t="shared" si="59"/>
        <v>100986.56047515909</v>
      </c>
      <c r="U77" s="24">
        <f t="shared" si="59"/>
        <v>108156.60626889538</v>
      </c>
      <c r="V77" s="24">
        <f t="shared" si="59"/>
        <v>115835.72531398694</v>
      </c>
      <c r="W77" s="24">
        <f t="shared" si="59"/>
        <v>124060.06181128</v>
      </c>
      <c r="X77" s="24">
        <f t="shared" si="59"/>
        <v>132868.32619988089</v>
      </c>
      <c r="Y77" s="24">
        <f t="shared" si="58"/>
        <v>1124260.7723390127</v>
      </c>
    </row>
    <row r="78" spans="3:25" x14ac:dyDescent="0.15">
      <c r="L78" s="21" t="s">
        <v>171</v>
      </c>
      <c r="M78" s="24">
        <f>M104</f>
        <v>4012.7170996345385</v>
      </c>
      <c r="N78" s="24">
        <f t="shared" ref="N78:X78" si="60">N104</f>
        <v>4250.7663199938188</v>
      </c>
      <c r="O78" s="24">
        <f t="shared" si="60"/>
        <v>4491.4760178332572</v>
      </c>
      <c r="P78" s="24">
        <f t="shared" si="60"/>
        <v>4734.8461931528518</v>
      </c>
      <c r="Q78" s="24">
        <f t="shared" si="60"/>
        <v>4980.8768459526054</v>
      </c>
      <c r="R78" s="24">
        <f t="shared" si="60"/>
        <v>5229.5679762325153</v>
      </c>
      <c r="S78" s="24">
        <f t="shared" si="60"/>
        <v>5480.9195839925833</v>
      </c>
      <c r="T78" s="24">
        <f t="shared" si="60"/>
        <v>5726.359019574521</v>
      </c>
      <c r="U78" s="24">
        <f t="shared" si="60"/>
        <v>5956.7224161022359</v>
      </c>
      <c r="V78" s="24">
        <f t="shared" si="60"/>
        <v>6162.2546894818133</v>
      </c>
      <c r="W78" s="24">
        <f t="shared" si="60"/>
        <v>6352.4448760591513</v>
      </c>
      <c r="X78" s="24">
        <f t="shared" si="60"/>
        <v>6537.4914728415179</v>
      </c>
      <c r="Y78" s="24">
        <f t="shared" si="58"/>
        <v>63916.442510851411</v>
      </c>
    </row>
    <row r="79" spans="3:25" x14ac:dyDescent="0.15">
      <c r="L79" s="21" t="s">
        <v>138</v>
      </c>
      <c r="M79" s="24">
        <f>(M77+M78)*M74</f>
        <v>2761.303660645839</v>
      </c>
      <c r="N79" s="24">
        <f t="shared" ref="N79:X79" si="61">(N77+N78)*N74</f>
        <v>2955.4104687850695</v>
      </c>
      <c r="O79" s="24">
        <f t="shared" si="61"/>
        <v>3162.707455823454</v>
      </c>
      <c r="P79" s="24">
        <f t="shared" si="61"/>
        <v>3414.6582751478086</v>
      </c>
      <c r="Q79" s="24">
        <f t="shared" si="61"/>
        <v>3686.2857133682264</v>
      </c>
      <c r="R79" s="24">
        <f t="shared" si="61"/>
        <v>3979.1574877945172</v>
      </c>
      <c r="S79" s="24">
        <f t="shared" si="61"/>
        <v>4294.9674021023257</v>
      </c>
      <c r="T79" s="24">
        <f t="shared" si="61"/>
        <v>4635.1731502758857</v>
      </c>
      <c r="U79" s="24">
        <f t="shared" si="61"/>
        <v>5001.3403110989948</v>
      </c>
      <c r="V79" s="24">
        <f t="shared" si="61"/>
        <v>5395.1527466323532</v>
      </c>
      <c r="W79" s="24">
        <f t="shared" si="61"/>
        <v>5819.3090198710788</v>
      </c>
      <c r="X79" s="24">
        <f t="shared" si="61"/>
        <v>6276.7401195165994</v>
      </c>
      <c r="Y79" s="24">
        <f t="shared" si="58"/>
        <v>51382.205811062158</v>
      </c>
    </row>
    <row r="80" spans="3:25" x14ac:dyDescent="0.15">
      <c r="L80" s="21" t="s">
        <v>139</v>
      </c>
      <c r="M80" s="29">
        <f t="shared" ref="M80:X80" si="62">M79*$M$20</f>
        <v>928957777.5144732</v>
      </c>
      <c r="N80" s="29">
        <f t="shared" si="62"/>
        <v>994259189.90867305</v>
      </c>
      <c r="O80" s="29">
        <f t="shared" si="62"/>
        <v>1063998042.2881263</v>
      </c>
      <c r="P80" s="29">
        <f t="shared" si="62"/>
        <v>1148759336.9252257</v>
      </c>
      <c r="Q80" s="29">
        <f t="shared" si="62"/>
        <v>1240140239.6913388</v>
      </c>
      <c r="R80" s="29">
        <f t="shared" si="62"/>
        <v>1338668162.0438316</v>
      </c>
      <c r="S80" s="29">
        <f t="shared" si="62"/>
        <v>1444912933.4152644</v>
      </c>
      <c r="T80" s="29">
        <f t="shared" si="62"/>
        <v>1559364951.2158134</v>
      </c>
      <c r="U80" s="29">
        <f t="shared" si="62"/>
        <v>1682550907.4599237</v>
      </c>
      <c r="V80" s="29">
        <f t="shared" si="62"/>
        <v>1815037287.0220563</v>
      </c>
      <c r="W80" s="29">
        <f t="shared" si="62"/>
        <v>1957731940.4650283</v>
      </c>
      <c r="X80" s="29">
        <f t="shared" si="62"/>
        <v>2111620911.0077744</v>
      </c>
      <c r="Y80" s="11">
        <f t="shared" si="58"/>
        <v>17286001678.957527</v>
      </c>
    </row>
    <row r="81" spans="12:25" x14ac:dyDescent="0.15">
      <c r="L81" s="78" t="s">
        <v>113</v>
      </c>
      <c r="M81" s="74">
        <f>'ContabilidaddeInnovación Año2'!M76*M105</f>
        <v>0</v>
      </c>
      <c r="N81" s="74">
        <f>'ContabilidaddeInnovación Año2'!N76*N105</f>
        <v>0</v>
      </c>
      <c r="O81" s="74">
        <f>'ContabilidaddeInnovación Año2'!O76*O105</f>
        <v>0</v>
      </c>
      <c r="P81" s="74">
        <f>'ContabilidaddeInnovación Año2'!P76*P105</f>
        <v>0</v>
      </c>
      <c r="Q81" s="74">
        <f>'ContabilidaddeInnovación Año2'!Q76*Q105</f>
        <v>0</v>
      </c>
      <c r="R81" s="74">
        <f>'ContabilidaddeInnovación Año2'!R76*R105</f>
        <v>0</v>
      </c>
      <c r="S81" s="74">
        <f>'ContabilidaddeInnovación Año2'!S76*S105</f>
        <v>0</v>
      </c>
      <c r="T81" s="74">
        <f>'ContabilidaddeInnovación Año2'!T76*T105</f>
        <v>0</v>
      </c>
      <c r="U81" s="74">
        <f>'ContabilidaddeInnovación Año2'!U76*U105</f>
        <v>0</v>
      </c>
      <c r="V81" s="74">
        <f>'ContabilidaddeInnovación Año2'!V76*V105</f>
        <v>1611.4781629245599</v>
      </c>
      <c r="W81" s="74">
        <f>'ContabilidaddeInnovación Año2'!W76*W105</f>
        <v>1734.0635112593225</v>
      </c>
      <c r="X81" s="74">
        <f>'ContabilidaddeInnovación Año2'!X76*X105</f>
        <v>1865.7537359917546</v>
      </c>
      <c r="Y81" s="24">
        <f t="shared" si="58"/>
        <v>5211.2954101756368</v>
      </c>
    </row>
    <row r="82" spans="12:25" x14ac:dyDescent="0.15">
      <c r="L82" s="78" t="s">
        <v>203</v>
      </c>
      <c r="M82" s="29">
        <f t="shared" ref="M82:X82" si="63">M81*($M$18*$M$23)</f>
        <v>0</v>
      </c>
      <c r="N82" s="29">
        <f t="shared" si="63"/>
        <v>0</v>
      </c>
      <c r="O82" s="29">
        <f t="shared" si="63"/>
        <v>0</v>
      </c>
      <c r="P82" s="29">
        <f t="shared" si="63"/>
        <v>0</v>
      </c>
      <c r="Q82" s="29">
        <f t="shared" si="63"/>
        <v>0</v>
      </c>
      <c r="R82" s="29">
        <f t="shared" si="63"/>
        <v>0</v>
      </c>
      <c r="S82" s="29">
        <f t="shared" si="63"/>
        <v>0</v>
      </c>
      <c r="T82" s="29">
        <f t="shared" si="63"/>
        <v>0</v>
      </c>
      <c r="U82" s="29">
        <f t="shared" si="63"/>
        <v>0</v>
      </c>
      <c r="V82" s="29">
        <f t="shared" si="63"/>
        <v>1421323739.6994619</v>
      </c>
      <c r="W82" s="29">
        <f t="shared" si="63"/>
        <v>1529444016.9307225</v>
      </c>
      <c r="X82" s="29">
        <f t="shared" si="63"/>
        <v>1645594795.1447277</v>
      </c>
      <c r="Y82" s="11">
        <f t="shared" si="58"/>
        <v>4596362551.7749119</v>
      </c>
    </row>
    <row r="83" spans="12:25" x14ac:dyDescent="0.15">
      <c r="L83" s="21" t="s">
        <v>140</v>
      </c>
      <c r="M83" s="29">
        <f t="shared" ref="M83:X83" si="64">(M80*$M$21)+(M82*$M$21)</f>
        <v>46447888.87572366</v>
      </c>
      <c r="N83" s="29">
        <f t="shared" si="64"/>
        <v>49712959.495433658</v>
      </c>
      <c r="O83" s="29">
        <f t="shared" si="64"/>
        <v>53199902.114406317</v>
      </c>
      <c r="P83" s="29">
        <f t="shared" si="64"/>
        <v>57437966.846261293</v>
      </c>
      <c r="Q83" s="29">
        <f t="shared" si="64"/>
        <v>62007011.984566942</v>
      </c>
      <c r="R83" s="29">
        <f t="shared" si="64"/>
        <v>66933408.102191582</v>
      </c>
      <c r="S83" s="29">
        <f t="shared" si="64"/>
        <v>72245646.670763224</v>
      </c>
      <c r="T83" s="29">
        <f t="shared" si="64"/>
        <v>77968247.560790673</v>
      </c>
      <c r="U83" s="29">
        <f t="shared" si="64"/>
        <v>84127545.372996196</v>
      </c>
      <c r="V83" s="29">
        <f t="shared" si="64"/>
        <v>161818051.33607593</v>
      </c>
      <c r="W83" s="29">
        <f t="shared" si="64"/>
        <v>174358797.86978754</v>
      </c>
      <c r="X83" s="29">
        <f t="shared" si="64"/>
        <v>187860785.30762511</v>
      </c>
      <c r="Y83" s="11">
        <f t="shared" si="58"/>
        <v>1094118211.536622</v>
      </c>
    </row>
    <row r="86" spans="12:25" ht="16" x14ac:dyDescent="0.2">
      <c r="L86" s="20"/>
    </row>
    <row r="95" spans="12:25" x14ac:dyDescent="0.15">
      <c r="M95" s="33">
        <v>1</v>
      </c>
      <c r="N95" s="33">
        <v>2</v>
      </c>
      <c r="O95" s="33">
        <v>3</v>
      </c>
      <c r="P95" s="33">
        <v>4</v>
      </c>
      <c r="Q95" s="33">
        <v>5</v>
      </c>
      <c r="R95" s="33">
        <v>6</v>
      </c>
      <c r="S95" s="33">
        <v>7</v>
      </c>
      <c r="T95" s="33">
        <v>8</v>
      </c>
      <c r="U95" s="33">
        <v>9</v>
      </c>
      <c r="V95" s="33">
        <v>10</v>
      </c>
      <c r="W95" s="33">
        <v>11</v>
      </c>
      <c r="X95" s="33">
        <v>12</v>
      </c>
    </row>
    <row r="96" spans="12:25" ht="21" thickBot="1" x14ac:dyDescent="0.25">
      <c r="L96" s="10"/>
    </row>
    <row r="97" spans="12:25" ht="16" x14ac:dyDescent="0.2">
      <c r="L97" s="20" t="s">
        <v>154</v>
      </c>
    </row>
    <row r="98" spans="12:25" x14ac:dyDescent="0.15">
      <c r="L98" s="49" t="s">
        <v>174</v>
      </c>
      <c r="M98" s="61">
        <f>(M43+M45)+(M61+M63)+(M79+M81)</f>
        <v>13793.976332467948</v>
      </c>
      <c r="N98" s="61">
        <f t="shared" ref="N98:X98" si="65">(N43+N45)+(N61+N63)+(N79+N81)</f>
        <v>14848.568927602046</v>
      </c>
      <c r="O98" s="61">
        <f t="shared" si="65"/>
        <v>16111.838289021964</v>
      </c>
      <c r="P98" s="61">
        <f t="shared" si="65"/>
        <v>17415.250209549096</v>
      </c>
      <c r="Q98" s="61">
        <f t="shared" si="65"/>
        <v>18821.969487415896</v>
      </c>
      <c r="R98" s="61">
        <f t="shared" si="65"/>
        <v>24389.901965819281</v>
      </c>
      <c r="S98" s="61">
        <f t="shared" si="65"/>
        <v>26324.36837245652</v>
      </c>
      <c r="T98" s="61">
        <f t="shared" si="65"/>
        <v>28433.64400670262</v>
      </c>
      <c r="U98" s="61">
        <f t="shared" si="65"/>
        <v>30825.275365786794</v>
      </c>
      <c r="V98" s="61">
        <f t="shared" si="65"/>
        <v>35826.688758475742</v>
      </c>
      <c r="W98" s="61">
        <f t="shared" si="65"/>
        <v>45370.399783341403</v>
      </c>
      <c r="X98" s="61">
        <f t="shared" si="65"/>
        <v>40353.569498929988</v>
      </c>
      <c r="Y98" s="24">
        <f>SUM(M98:X98)</f>
        <v>312515.45099756931</v>
      </c>
    </row>
    <row r="99" spans="12:25" x14ac:dyDescent="0.15">
      <c r="L99" s="49" t="s">
        <v>183</v>
      </c>
      <c r="M99" s="61">
        <f>M43+M61+M79</f>
        <v>11896.528274467946</v>
      </c>
      <c r="N99" s="61">
        <f t="shared" ref="N99:X99" si="66">N43+N61+N79</f>
        <v>12732.798897002442</v>
      </c>
      <c r="O99" s="61">
        <f t="shared" si="66"/>
        <v>13625.89678502587</v>
      </c>
      <c r="P99" s="61">
        <f t="shared" si="66"/>
        <v>14711.376838735898</v>
      </c>
      <c r="Q99" s="61">
        <f t="shared" si="66"/>
        <v>15881.629696096286</v>
      </c>
      <c r="R99" s="61">
        <f t="shared" si="66"/>
        <v>17143.409555701106</v>
      </c>
      <c r="S99" s="61">
        <f t="shared" si="66"/>
        <v>18504.013834203892</v>
      </c>
      <c r="T99" s="61">
        <f t="shared" si="66"/>
        <v>19969.722716557189</v>
      </c>
      <c r="U99" s="61">
        <f t="shared" si="66"/>
        <v>21547.281187940564</v>
      </c>
      <c r="V99" s="61">
        <f t="shared" si="66"/>
        <v>23243.943833534533</v>
      </c>
      <c r="W99" s="61">
        <f t="shared" si="66"/>
        <v>25071.3368759199</v>
      </c>
      <c r="X99" s="61">
        <f t="shared" si="66"/>
        <v>27042.08789766052</v>
      </c>
      <c r="Y99" s="24">
        <f>SUM(M99:X99)</f>
        <v>221370.02639284611</v>
      </c>
    </row>
    <row r="100" spans="12:25" x14ac:dyDescent="0.15">
      <c r="L100" s="49" t="s">
        <v>172</v>
      </c>
      <c r="M100" s="69">
        <f>M45+M63+M81</f>
        <v>1897.4480580000015</v>
      </c>
      <c r="N100" s="69">
        <f t="shared" ref="N100:X100" si="67">N45+N63+N81</f>
        <v>2115.7700305996009</v>
      </c>
      <c r="O100" s="69">
        <f t="shared" si="67"/>
        <v>2485.9415039960941</v>
      </c>
      <c r="P100" s="69">
        <f t="shared" si="67"/>
        <v>2703.8733708131967</v>
      </c>
      <c r="Q100" s="69">
        <f t="shared" si="67"/>
        <v>2940.3397913196095</v>
      </c>
      <c r="R100" s="69">
        <f t="shared" si="67"/>
        <v>7246.492410118175</v>
      </c>
      <c r="S100" s="69">
        <f t="shared" si="67"/>
        <v>7820.3545382526263</v>
      </c>
      <c r="T100" s="69">
        <f t="shared" si="67"/>
        <v>8463.9212901454339</v>
      </c>
      <c r="U100" s="69">
        <f t="shared" si="67"/>
        <v>9277.9941778462326</v>
      </c>
      <c r="V100" s="69">
        <f t="shared" si="67"/>
        <v>12582.744924941209</v>
      </c>
      <c r="W100" s="69">
        <f t="shared" si="67"/>
        <v>20299.062907421499</v>
      </c>
      <c r="X100" s="69">
        <f t="shared" si="67"/>
        <v>13311.481601269472</v>
      </c>
      <c r="Y100" s="24">
        <f>SUM(M100:X100)</f>
        <v>91145.424604723143</v>
      </c>
    </row>
    <row r="101" spans="12:25" x14ac:dyDescent="0.15">
      <c r="L101" s="71" t="s">
        <v>112</v>
      </c>
      <c r="M101" s="72">
        <v>0.77666666666666695</v>
      </c>
      <c r="N101" s="72">
        <v>0.79166666666666696</v>
      </c>
      <c r="O101" s="72">
        <v>0.80666666666666698</v>
      </c>
      <c r="P101" s="72">
        <v>0.82166666666666699</v>
      </c>
      <c r="Q101" s="72">
        <v>0.836666666666667</v>
      </c>
      <c r="R101" s="72">
        <v>0.85166666666666702</v>
      </c>
      <c r="S101" s="72">
        <v>0.86666666666666703</v>
      </c>
      <c r="T101" s="72">
        <v>0.88</v>
      </c>
      <c r="U101" s="72">
        <v>0.89</v>
      </c>
      <c r="V101" s="72">
        <v>0.89500000000000002</v>
      </c>
      <c r="W101" s="72">
        <v>0.89700000000000002</v>
      </c>
      <c r="X101" s="72">
        <v>0.89800000000000002</v>
      </c>
      <c r="Y101" s="66">
        <f>AVERAGE(M101:X101)</f>
        <v>0.85097222222222235</v>
      </c>
    </row>
    <row r="102" spans="12:25" x14ac:dyDescent="0.15">
      <c r="L102" s="54" t="s">
        <v>155</v>
      </c>
      <c r="M102" s="73">
        <v>5.0999999999999997E-2</v>
      </c>
      <c r="N102" s="73">
        <v>5.1999999999999998E-2</v>
      </c>
      <c r="O102" s="73">
        <v>5.2999999999999999E-2</v>
      </c>
      <c r="P102" s="73">
        <v>5.3999999999999999E-2</v>
      </c>
      <c r="Q102" s="73">
        <v>5.5E-2</v>
      </c>
      <c r="R102" s="73">
        <v>5.6000000000000001E-2</v>
      </c>
      <c r="S102" s="73">
        <v>5.7000000000000002E-2</v>
      </c>
      <c r="T102" s="73">
        <v>5.8000000000000003E-2</v>
      </c>
      <c r="U102" s="73">
        <v>5.8999999999999997E-2</v>
      </c>
      <c r="V102" s="73">
        <v>0.06</v>
      </c>
      <c r="W102" s="73">
        <v>6.0999999999999999E-2</v>
      </c>
      <c r="X102" s="73">
        <v>6.2E-2</v>
      </c>
      <c r="Y102" s="66">
        <f>AVERAGE(M102:X102)</f>
        <v>5.6499999999999995E-2</v>
      </c>
    </row>
    <row r="103" spans="12:25" x14ac:dyDescent="0.15">
      <c r="L103" s="58" t="s">
        <v>157</v>
      </c>
      <c r="M103" s="51">
        <v>500</v>
      </c>
      <c r="N103" s="51">
        <v>600</v>
      </c>
      <c r="O103" s="51">
        <v>700</v>
      </c>
      <c r="P103" s="51">
        <v>800</v>
      </c>
      <c r="Q103" s="51">
        <v>900</v>
      </c>
      <c r="R103" s="51">
        <v>1000</v>
      </c>
      <c r="S103" s="51">
        <v>1100</v>
      </c>
      <c r="T103" s="51">
        <v>1200</v>
      </c>
      <c r="U103" s="51">
        <v>1300</v>
      </c>
      <c r="V103" s="51">
        <v>1400</v>
      </c>
      <c r="W103" s="51">
        <v>1500</v>
      </c>
      <c r="X103" s="51">
        <v>1600</v>
      </c>
      <c r="Y103" s="50"/>
    </row>
    <row r="104" spans="12:25" x14ac:dyDescent="0.15">
      <c r="L104" s="56" t="s">
        <v>156</v>
      </c>
      <c r="M104" s="57">
        <f t="shared" ref="M104:X104" si="68">M103+($M$10*(M101*M102))</f>
        <v>4012.7170996345385</v>
      </c>
      <c r="N104" s="57">
        <f t="shared" si="68"/>
        <v>4250.7663199938188</v>
      </c>
      <c r="O104" s="57">
        <f t="shared" si="68"/>
        <v>4491.4760178332572</v>
      </c>
      <c r="P104" s="57">
        <f t="shared" si="68"/>
        <v>4734.8461931528518</v>
      </c>
      <c r="Q104" s="57">
        <f t="shared" si="68"/>
        <v>4980.8768459526054</v>
      </c>
      <c r="R104" s="57">
        <f t="shared" si="68"/>
        <v>5229.5679762325153</v>
      </c>
      <c r="S104" s="57">
        <f t="shared" si="68"/>
        <v>5480.9195839925833</v>
      </c>
      <c r="T104" s="57">
        <f t="shared" si="68"/>
        <v>5726.359019574521</v>
      </c>
      <c r="U104" s="57">
        <f t="shared" si="68"/>
        <v>5956.7224161022359</v>
      </c>
      <c r="V104" s="57">
        <f t="shared" si="68"/>
        <v>6162.2546894818133</v>
      </c>
      <c r="W104" s="57">
        <f t="shared" si="68"/>
        <v>6352.4448760591513</v>
      </c>
      <c r="X104" s="57">
        <f t="shared" si="68"/>
        <v>6537.4914728415179</v>
      </c>
      <c r="Y104" s="50"/>
    </row>
    <row r="105" spans="12:25" x14ac:dyDescent="0.15">
      <c r="L105" s="49" t="s">
        <v>113</v>
      </c>
      <c r="M105" s="53">
        <v>0.9</v>
      </c>
      <c r="N105" s="53">
        <v>0.9</v>
      </c>
      <c r="O105" s="53">
        <v>0.9</v>
      </c>
      <c r="P105" s="53">
        <v>0.9</v>
      </c>
      <c r="Q105" s="53">
        <v>0.9</v>
      </c>
      <c r="R105" s="53">
        <v>0.9</v>
      </c>
      <c r="S105" s="53">
        <v>0.9</v>
      </c>
      <c r="T105" s="53">
        <v>0.9</v>
      </c>
      <c r="U105" s="53">
        <v>0.9</v>
      </c>
      <c r="V105" s="53">
        <v>0.9</v>
      </c>
      <c r="W105" s="53">
        <v>0.9</v>
      </c>
      <c r="X105" s="53">
        <v>0.9</v>
      </c>
      <c r="Y105" s="50"/>
    </row>
    <row r="107" spans="12:25" ht="21" thickBot="1" x14ac:dyDescent="0.25">
      <c r="L107" s="10" t="s">
        <v>266</v>
      </c>
      <c r="M107" s="29">
        <f t="shared" ref="M107:X107" si="69">M83+M65+M47</f>
        <v>1001275064.4338833</v>
      </c>
      <c r="N107" s="29">
        <f t="shared" si="69"/>
        <v>1083646806.3991332</v>
      </c>
      <c r="O107" s="29">
        <f t="shared" si="69"/>
        <v>1190951362.719835</v>
      </c>
      <c r="P107" s="29">
        <f t="shared" si="69"/>
        <v>1288633620.6659224</v>
      </c>
      <c r="Q107" s="29">
        <f t="shared" si="69"/>
        <v>1394158332.6093297</v>
      </c>
      <c r="R107" s="29">
        <f t="shared" si="69"/>
        <v>1577243306.0250781</v>
      </c>
      <c r="S107" s="29">
        <f t="shared" si="69"/>
        <v>1705892116.3632064</v>
      </c>
      <c r="T107" s="29">
        <f t="shared" si="69"/>
        <v>1846107551.688</v>
      </c>
      <c r="U107" s="29">
        <f t="shared" si="69"/>
        <v>2015053258.9004216</v>
      </c>
      <c r="V107" s="29">
        <f t="shared" si="69"/>
        <v>2384077242.9309421</v>
      </c>
      <c r="W107" s="29">
        <f t="shared" si="69"/>
        <v>3525579910.5735855</v>
      </c>
      <c r="X107" s="29">
        <f t="shared" si="69"/>
        <v>2597224001.2752247</v>
      </c>
      <c r="Y107" s="11">
        <f>SUM(M107:X107)</f>
        <v>21609842574.584564</v>
      </c>
    </row>
    <row r="109" spans="12:25" ht="20" x14ac:dyDescent="0.2">
      <c r="L109" s="32" t="s">
        <v>65</v>
      </c>
    </row>
    <row r="110" spans="12:25" ht="16" x14ac:dyDescent="0.2">
      <c r="L110" s="46" t="s">
        <v>159</v>
      </c>
      <c r="M110" s="21"/>
      <c r="N110" s="21"/>
      <c r="O110" s="21"/>
      <c r="P110" s="21"/>
      <c r="Q110" s="21"/>
      <c r="R110" s="21"/>
      <c r="S110" s="21"/>
      <c r="T110" s="21"/>
      <c r="U110" s="21"/>
      <c r="V110" s="21"/>
      <c r="W110" s="21"/>
      <c r="X110" s="21"/>
      <c r="Y110" s="21"/>
    </row>
    <row r="111" spans="12:25" x14ac:dyDescent="0.15">
      <c r="L111" s="45" t="s">
        <v>160</v>
      </c>
      <c r="M111" s="47">
        <f>H22</f>
        <v>174210716.2764276</v>
      </c>
      <c r="N111" s="47">
        <f>M111</f>
        <v>174210716.2764276</v>
      </c>
      <c r="O111" s="47">
        <f t="shared" ref="O111:X111" si="70">N111</f>
        <v>174210716.2764276</v>
      </c>
      <c r="P111" s="47">
        <f t="shared" si="70"/>
        <v>174210716.2764276</v>
      </c>
      <c r="Q111" s="47">
        <f t="shared" si="70"/>
        <v>174210716.2764276</v>
      </c>
      <c r="R111" s="47">
        <f t="shared" si="70"/>
        <v>174210716.2764276</v>
      </c>
      <c r="S111" s="47">
        <f t="shared" si="70"/>
        <v>174210716.2764276</v>
      </c>
      <c r="T111" s="47">
        <f t="shared" si="70"/>
        <v>174210716.2764276</v>
      </c>
      <c r="U111" s="47">
        <f t="shared" si="70"/>
        <v>174210716.2764276</v>
      </c>
      <c r="V111" s="47">
        <f t="shared" si="70"/>
        <v>174210716.2764276</v>
      </c>
      <c r="W111" s="47">
        <f t="shared" si="70"/>
        <v>174210716.2764276</v>
      </c>
      <c r="X111" s="47">
        <f t="shared" si="70"/>
        <v>174210716.2764276</v>
      </c>
      <c r="Y111" s="24">
        <f>SUM(M111:X111)</f>
        <v>2090528595.3171308</v>
      </c>
    </row>
    <row r="112" spans="12:25" x14ac:dyDescent="0.15">
      <c r="L112" s="45" t="s">
        <v>14</v>
      </c>
      <c r="M112" s="29">
        <f>'ContabilidaddeInnovación Año2'!X98</f>
        <v>2518170.1168189803</v>
      </c>
      <c r="N112" s="29">
        <f>M112*(1+$D$37)</f>
        <v>2719623.7261644988</v>
      </c>
      <c r="O112" s="29">
        <f t="shared" ref="O112:X112" si="71">N112*(1+$D$37)</f>
        <v>2937193.6242576591</v>
      </c>
      <c r="P112" s="29">
        <f t="shared" si="71"/>
        <v>3172169.1141982721</v>
      </c>
      <c r="Q112" s="29">
        <f t="shared" si="71"/>
        <v>3425942.643334134</v>
      </c>
      <c r="R112" s="29">
        <f t="shared" si="71"/>
        <v>3700018.0548008648</v>
      </c>
      <c r="S112" s="29">
        <f t="shared" si="71"/>
        <v>3996019.4991849344</v>
      </c>
      <c r="T112" s="29">
        <f t="shared" si="71"/>
        <v>4315701.0591197293</v>
      </c>
      <c r="U112" s="29">
        <f t="shared" si="71"/>
        <v>4660957.1438493077</v>
      </c>
      <c r="V112" s="29">
        <f t="shared" si="71"/>
        <v>5033833.7153572524</v>
      </c>
      <c r="W112" s="29">
        <f t="shared" si="71"/>
        <v>5436540.4125858331</v>
      </c>
      <c r="X112" s="29">
        <f t="shared" si="71"/>
        <v>5871463.6455926998</v>
      </c>
      <c r="Y112" s="24">
        <f>SUM(M112:X112)</f>
        <v>47787632.755264163</v>
      </c>
    </row>
    <row r="113" spans="12:25" x14ac:dyDescent="0.15">
      <c r="L113" s="45" t="s">
        <v>13</v>
      </c>
      <c r="M113" s="88">
        <f>M111*50%</f>
        <v>87105358.138213798</v>
      </c>
      <c r="N113" s="88">
        <f t="shared" ref="N113:X113" si="72">N111*50%</f>
        <v>87105358.138213798</v>
      </c>
      <c r="O113" s="88">
        <f t="shared" si="72"/>
        <v>87105358.138213798</v>
      </c>
      <c r="P113" s="88">
        <f t="shared" si="72"/>
        <v>87105358.138213798</v>
      </c>
      <c r="Q113" s="88">
        <f t="shared" si="72"/>
        <v>87105358.138213798</v>
      </c>
      <c r="R113" s="88">
        <f t="shared" si="72"/>
        <v>87105358.138213798</v>
      </c>
      <c r="S113" s="88">
        <f t="shared" si="72"/>
        <v>87105358.138213798</v>
      </c>
      <c r="T113" s="88">
        <f t="shared" si="72"/>
        <v>87105358.138213798</v>
      </c>
      <c r="U113" s="88">
        <f t="shared" si="72"/>
        <v>87105358.138213798</v>
      </c>
      <c r="V113" s="88">
        <f t="shared" si="72"/>
        <v>87105358.138213798</v>
      </c>
      <c r="W113" s="88">
        <f t="shared" si="72"/>
        <v>87105358.138213798</v>
      </c>
      <c r="X113" s="88">
        <f t="shared" si="72"/>
        <v>87105358.138213798</v>
      </c>
      <c r="Y113" s="24">
        <f>SUM(M113:X113)</f>
        <v>1045264297.6585654</v>
      </c>
    </row>
    <row r="114" spans="12:25" x14ac:dyDescent="0.15">
      <c r="L114" s="45" t="s">
        <v>166</v>
      </c>
      <c r="M114" s="29">
        <f>'ContabilidaddeInnovación Año2'!X100</f>
        <v>3777255.1752284705</v>
      </c>
      <c r="N114" s="29">
        <f>M114*(1+$D$37)</f>
        <v>4079435.5892467485</v>
      </c>
      <c r="O114" s="29">
        <f t="shared" ref="O114:X114" si="73">N114*(1+$D$37)</f>
        <v>4405790.4363864884</v>
      </c>
      <c r="P114" s="29">
        <f t="shared" si="73"/>
        <v>4758253.6712974077</v>
      </c>
      <c r="Q114" s="29">
        <f t="shared" si="73"/>
        <v>5138913.9650012003</v>
      </c>
      <c r="R114" s="29">
        <f t="shared" si="73"/>
        <v>5550027.0822012965</v>
      </c>
      <c r="S114" s="29">
        <f t="shared" si="73"/>
        <v>5994029.2487774007</v>
      </c>
      <c r="T114" s="29">
        <f t="shared" si="73"/>
        <v>6473551.5886795931</v>
      </c>
      <c r="U114" s="29">
        <f t="shared" si="73"/>
        <v>6991435.7157739606</v>
      </c>
      <c r="V114" s="29">
        <f t="shared" si="73"/>
        <v>7550750.5730358781</v>
      </c>
      <c r="W114" s="29">
        <f t="shared" si="73"/>
        <v>8154810.6188787492</v>
      </c>
      <c r="X114" s="29">
        <f t="shared" si="73"/>
        <v>8807195.4683890492</v>
      </c>
      <c r="Y114" s="24">
        <f>SUM(M114:X114)</f>
        <v>71681449.132896245</v>
      </c>
    </row>
    <row r="115" spans="12:25" x14ac:dyDescent="0.15">
      <c r="L115" s="21" t="s">
        <v>168</v>
      </c>
      <c r="M115" s="47">
        <f t="shared" ref="M115:X115" si="74">SUM(M111:M114)</f>
        <v>267611499.70668888</v>
      </c>
      <c r="N115" s="47">
        <f t="shared" si="74"/>
        <v>268115133.73005265</v>
      </c>
      <c r="O115" s="47">
        <f t="shared" si="74"/>
        <v>268659058.47528553</v>
      </c>
      <c r="P115" s="47">
        <f t="shared" si="74"/>
        <v>269246497.20013708</v>
      </c>
      <c r="Q115" s="47">
        <f t="shared" si="74"/>
        <v>269880931.02297676</v>
      </c>
      <c r="R115" s="47">
        <f t="shared" si="74"/>
        <v>270566119.55164355</v>
      </c>
      <c r="S115" s="47">
        <f t="shared" si="74"/>
        <v>271306123.16260374</v>
      </c>
      <c r="T115" s="47">
        <f t="shared" si="74"/>
        <v>272105327.06244075</v>
      </c>
      <c r="U115" s="47">
        <f t="shared" si="74"/>
        <v>272968467.27426463</v>
      </c>
      <c r="V115" s="47">
        <f t="shared" si="74"/>
        <v>273900658.70303452</v>
      </c>
      <c r="W115" s="47">
        <f t="shared" si="74"/>
        <v>274907425.44610596</v>
      </c>
      <c r="X115" s="47">
        <f t="shared" si="74"/>
        <v>275994733.5286231</v>
      </c>
      <c r="Y115" s="24">
        <f>SUM(M115:X115)</f>
        <v>3255261974.8638573</v>
      </c>
    </row>
    <row r="116" spans="12:25" ht="16" x14ac:dyDescent="0.2">
      <c r="L116" s="48" t="s">
        <v>102</v>
      </c>
      <c r="M116" s="21"/>
      <c r="N116" s="21"/>
      <c r="O116" s="21"/>
      <c r="P116" s="21"/>
      <c r="Q116" s="21"/>
      <c r="R116" s="21"/>
      <c r="S116" s="21"/>
      <c r="T116" s="21"/>
      <c r="U116" s="21"/>
      <c r="V116" s="21"/>
      <c r="W116" s="21"/>
      <c r="X116" s="21"/>
      <c r="Y116" s="21"/>
    </row>
    <row r="117" spans="12:25" x14ac:dyDescent="0.15">
      <c r="L117" s="45" t="s">
        <v>103</v>
      </c>
      <c r="M117" s="30">
        <f t="shared" ref="M117:X117" si="75">M107*$D$29</f>
        <v>30038251.933016498</v>
      </c>
      <c r="N117" s="30">
        <f t="shared" si="75"/>
        <v>32509404.191973995</v>
      </c>
      <c r="O117" s="30">
        <f t="shared" si="75"/>
        <v>35728540.881595053</v>
      </c>
      <c r="P117" s="30">
        <f t="shared" si="75"/>
        <v>38659008.619977668</v>
      </c>
      <c r="Q117" s="30">
        <f t="shared" si="75"/>
        <v>41824749.978279889</v>
      </c>
      <c r="R117" s="30">
        <f t="shared" si="75"/>
        <v>47317299.180752337</v>
      </c>
      <c r="S117" s="30">
        <f t="shared" si="75"/>
        <v>51176763.490896188</v>
      </c>
      <c r="T117" s="30">
        <f t="shared" si="75"/>
        <v>55383226.550639994</v>
      </c>
      <c r="U117" s="30">
        <f t="shared" si="75"/>
        <v>60451597.767012648</v>
      </c>
      <c r="V117" s="30">
        <f t="shared" si="75"/>
        <v>71522317.287928253</v>
      </c>
      <c r="W117" s="30">
        <f t="shared" si="75"/>
        <v>105767397.31720756</v>
      </c>
      <c r="X117" s="30">
        <f t="shared" si="75"/>
        <v>77916720.038256735</v>
      </c>
      <c r="Y117" s="24">
        <f t="shared" ref="Y117:Y123" si="76">SUM(M117:X117)</f>
        <v>648295277.23753679</v>
      </c>
    </row>
    <row r="118" spans="12:25" x14ac:dyDescent="0.15">
      <c r="L118" s="45" t="s">
        <v>104</v>
      </c>
      <c r="M118" s="30">
        <f t="shared" ref="M118:X118" si="77">M107*$D$30</f>
        <v>200255012.88677669</v>
      </c>
      <c r="N118" s="30">
        <f t="shared" si="77"/>
        <v>216729361.27982664</v>
      </c>
      <c r="O118" s="30">
        <f t="shared" si="77"/>
        <v>238190272.54396701</v>
      </c>
      <c r="P118" s="30">
        <f t="shared" si="77"/>
        <v>257726724.13318449</v>
      </c>
      <c r="Q118" s="30">
        <f t="shared" si="77"/>
        <v>278831666.52186596</v>
      </c>
      <c r="R118" s="30">
        <f t="shared" si="77"/>
        <v>315448661.2050156</v>
      </c>
      <c r="S118" s="30">
        <f t="shared" si="77"/>
        <v>341178423.2726413</v>
      </c>
      <c r="T118" s="30">
        <f t="shared" si="77"/>
        <v>369221510.33759999</v>
      </c>
      <c r="U118" s="30">
        <f t="shared" si="77"/>
        <v>403010651.78008437</v>
      </c>
      <c r="V118" s="30">
        <f t="shared" si="77"/>
        <v>476815448.58618844</v>
      </c>
      <c r="W118" s="30">
        <f t="shared" si="77"/>
        <v>705115982.11471713</v>
      </c>
      <c r="X118" s="30">
        <f t="shared" si="77"/>
        <v>519444800.25504494</v>
      </c>
      <c r="Y118" s="24">
        <f t="shared" si="76"/>
        <v>4321968514.9169121</v>
      </c>
    </row>
    <row r="119" spans="12:25" x14ac:dyDescent="0.15">
      <c r="L119" s="45" t="s">
        <v>107</v>
      </c>
      <c r="M119" s="29">
        <f t="shared" ref="M119:X119" si="78">M107*$D$31</f>
        <v>55070128.54386358</v>
      </c>
      <c r="N119" s="29">
        <f t="shared" si="78"/>
        <v>59600574.351952329</v>
      </c>
      <c r="O119" s="29">
        <f t="shared" si="78"/>
        <v>65502324.949590929</v>
      </c>
      <c r="P119" s="29">
        <f t="shared" si="78"/>
        <v>70874849.136625737</v>
      </c>
      <c r="Q119" s="29">
        <f t="shared" si="78"/>
        <v>76678708.293513134</v>
      </c>
      <c r="R119" s="29">
        <f t="shared" si="78"/>
        <v>86748381.831379294</v>
      </c>
      <c r="S119" s="29">
        <f t="shared" si="78"/>
        <v>93824066.399976358</v>
      </c>
      <c r="T119" s="29">
        <f t="shared" si="78"/>
        <v>101535915.34284</v>
      </c>
      <c r="U119" s="29">
        <f t="shared" si="78"/>
        <v>110827929.23952319</v>
      </c>
      <c r="V119" s="29">
        <f t="shared" si="78"/>
        <v>131124248.36120181</v>
      </c>
      <c r="W119" s="29">
        <f t="shared" si="78"/>
        <v>193906895.0815472</v>
      </c>
      <c r="X119" s="29">
        <f t="shared" si="78"/>
        <v>142847320.07013735</v>
      </c>
      <c r="Y119" s="24">
        <f t="shared" si="76"/>
        <v>1188541341.6021507</v>
      </c>
    </row>
    <row r="120" spans="12:25" x14ac:dyDescent="0.15">
      <c r="L120" s="45" t="s">
        <v>105</v>
      </c>
      <c r="M120" s="29">
        <f t="shared" ref="M120:X120" si="79">M107*$D$32</f>
        <v>160204010.30942133</v>
      </c>
      <c r="N120" s="29">
        <f t="shared" si="79"/>
        <v>173383489.02386132</v>
      </c>
      <c r="O120" s="29">
        <f t="shared" si="79"/>
        <v>190552218.03517362</v>
      </c>
      <c r="P120" s="29">
        <f t="shared" si="79"/>
        <v>206181379.30654758</v>
      </c>
      <c r="Q120" s="29">
        <f t="shared" si="79"/>
        <v>223065333.21749276</v>
      </c>
      <c r="R120" s="29">
        <f t="shared" si="79"/>
        <v>252358928.9640125</v>
      </c>
      <c r="S120" s="29">
        <f t="shared" si="79"/>
        <v>272942738.61811304</v>
      </c>
      <c r="T120" s="29">
        <f t="shared" si="79"/>
        <v>295377208.27008003</v>
      </c>
      <c r="U120" s="29">
        <f t="shared" si="79"/>
        <v>322408521.42406744</v>
      </c>
      <c r="V120" s="29">
        <f t="shared" si="79"/>
        <v>381452358.86895072</v>
      </c>
      <c r="W120" s="29">
        <f t="shared" si="79"/>
        <v>564092785.69177365</v>
      </c>
      <c r="X120" s="29">
        <f t="shared" si="79"/>
        <v>415555840.20403594</v>
      </c>
      <c r="Y120" s="24">
        <f t="shared" si="76"/>
        <v>3457574811.9335299</v>
      </c>
    </row>
    <row r="121" spans="12:25" x14ac:dyDescent="0.15">
      <c r="L121" s="45" t="s">
        <v>123</v>
      </c>
      <c r="M121" s="29">
        <f t="shared" ref="M121:X121" si="80">M107*$D$33</f>
        <v>60076503.866032995</v>
      </c>
      <c r="N121" s="29">
        <f t="shared" si="80"/>
        <v>65018808.383947991</v>
      </c>
      <c r="O121" s="29">
        <f t="shared" si="80"/>
        <v>71457081.763190106</v>
      </c>
      <c r="P121" s="29">
        <f t="shared" si="80"/>
        <v>77318017.239955336</v>
      </c>
      <c r="Q121" s="29">
        <f t="shared" si="80"/>
        <v>83649499.956559777</v>
      </c>
      <c r="R121" s="29">
        <f t="shared" si="80"/>
        <v>94634598.361504674</v>
      </c>
      <c r="S121" s="29">
        <f t="shared" si="80"/>
        <v>102353526.98179238</v>
      </c>
      <c r="T121" s="29">
        <f t="shared" si="80"/>
        <v>110766453.10127999</v>
      </c>
      <c r="U121" s="29">
        <f t="shared" si="80"/>
        <v>120903195.5340253</v>
      </c>
      <c r="V121" s="29">
        <f t="shared" si="80"/>
        <v>143044634.57585651</v>
      </c>
      <c r="W121" s="29">
        <f t="shared" si="80"/>
        <v>211534794.63441512</v>
      </c>
      <c r="X121" s="29">
        <f t="shared" si="80"/>
        <v>155833440.07651347</v>
      </c>
      <c r="Y121" s="24">
        <f t="shared" si="76"/>
        <v>1296590554.4750736</v>
      </c>
    </row>
    <row r="122" spans="12:25" x14ac:dyDescent="0.15">
      <c r="L122" s="45" t="s">
        <v>80</v>
      </c>
      <c r="M122" s="29">
        <f t="shared" ref="M122:X122" si="81">M107*$D$34</f>
        <v>100127506.44338834</v>
      </c>
      <c r="N122" s="29">
        <f t="shared" si="81"/>
        <v>108364680.63991332</v>
      </c>
      <c r="O122" s="29">
        <f t="shared" si="81"/>
        <v>119095136.2719835</v>
      </c>
      <c r="P122" s="29">
        <f t="shared" si="81"/>
        <v>128863362.06659225</v>
      </c>
      <c r="Q122" s="29">
        <f t="shared" si="81"/>
        <v>139415833.26093298</v>
      </c>
      <c r="R122" s="29">
        <f t="shared" si="81"/>
        <v>157724330.6025078</v>
      </c>
      <c r="S122" s="29">
        <f t="shared" si="81"/>
        <v>170589211.63632065</v>
      </c>
      <c r="T122" s="29">
        <f t="shared" si="81"/>
        <v>184610755.1688</v>
      </c>
      <c r="U122" s="29">
        <f t="shared" si="81"/>
        <v>201505325.89004219</v>
      </c>
      <c r="V122" s="29">
        <f t="shared" si="81"/>
        <v>238407724.29309422</v>
      </c>
      <c r="W122" s="29">
        <f t="shared" si="81"/>
        <v>352557991.05735856</v>
      </c>
      <c r="X122" s="29">
        <f t="shared" si="81"/>
        <v>259722400.12752247</v>
      </c>
      <c r="Y122" s="24">
        <f t="shared" si="76"/>
        <v>2160984257.458456</v>
      </c>
    </row>
    <row r="123" spans="12:25" x14ac:dyDescent="0.15">
      <c r="L123" s="21" t="s">
        <v>161</v>
      </c>
      <c r="M123" s="30">
        <f>SUM(M117:M122)</f>
        <v>605771413.98249936</v>
      </c>
      <c r="N123" s="30">
        <f t="shared" ref="N123:X123" si="82">SUM(N117:N122)</f>
        <v>655606317.87147558</v>
      </c>
      <c r="O123" s="30">
        <f t="shared" si="82"/>
        <v>720525574.44550025</v>
      </c>
      <c r="P123" s="30">
        <f t="shared" si="82"/>
        <v>779623340.50288308</v>
      </c>
      <c r="Q123" s="30">
        <f t="shared" si="82"/>
        <v>843465791.22864461</v>
      </c>
      <c r="R123" s="30">
        <f t="shared" si="82"/>
        <v>954232200.14517224</v>
      </c>
      <c r="S123" s="30">
        <f t="shared" si="82"/>
        <v>1032064730.39974</v>
      </c>
      <c r="T123" s="30">
        <f t="shared" si="82"/>
        <v>1116895068.77124</v>
      </c>
      <c r="U123" s="30">
        <f t="shared" si="82"/>
        <v>1219107221.6347551</v>
      </c>
      <c r="V123" s="30">
        <f t="shared" si="82"/>
        <v>1442366731.9732199</v>
      </c>
      <c r="W123" s="30">
        <f t="shared" si="82"/>
        <v>2132975845.8970191</v>
      </c>
      <c r="X123" s="30">
        <f t="shared" si="82"/>
        <v>1571320520.7715111</v>
      </c>
      <c r="Y123" s="24">
        <f t="shared" si="76"/>
        <v>13073954757.623661</v>
      </c>
    </row>
    <row r="126" spans="12:25" ht="21" thickBot="1" x14ac:dyDescent="0.25">
      <c r="L126" s="10" t="s">
        <v>175</v>
      </c>
    </row>
    <row r="127" spans="12:25" x14ac:dyDescent="0.15">
      <c r="L127" s="2" t="s">
        <v>176</v>
      </c>
      <c r="M127" s="63">
        <f t="shared" ref="M127:X127" si="83">(M123+M111)/M98</f>
        <v>56545.126036139613</v>
      </c>
      <c r="N127" s="63">
        <f t="shared" si="83"/>
        <v>55885.320544618546</v>
      </c>
      <c r="O127" s="63">
        <f t="shared" si="83"/>
        <v>55532.849490648718</v>
      </c>
      <c r="P127" s="63">
        <f t="shared" si="83"/>
        <v>54770.046097661361</v>
      </c>
      <c r="Q127" s="63">
        <f t="shared" si="83"/>
        <v>54068.545174588471</v>
      </c>
      <c r="R127" s="63">
        <f t="shared" si="83"/>
        <v>46266.808206241774</v>
      </c>
      <c r="S127" s="63">
        <f t="shared" si="83"/>
        <v>45823.528587994799</v>
      </c>
      <c r="T127" s="63">
        <f t="shared" si="83"/>
        <v>45407.679182566862</v>
      </c>
      <c r="U127" s="63">
        <f t="shared" si="83"/>
        <v>45200.502554395236</v>
      </c>
      <c r="V127" s="63">
        <f t="shared" si="83"/>
        <v>45122.15625473352</v>
      </c>
      <c r="W127" s="63">
        <f t="shared" si="83"/>
        <v>50852.242281113286</v>
      </c>
      <c r="X127" s="63">
        <f t="shared" si="83"/>
        <v>43255.931475757629</v>
      </c>
      <c r="Y127" s="17">
        <f>SUM(M127:X127)</f>
        <v>598730.7358864597</v>
      </c>
    </row>
    <row r="128" spans="12:25" x14ac:dyDescent="0.15">
      <c r="L128" s="2" t="s">
        <v>178</v>
      </c>
    </row>
    <row r="129" spans="12:25" x14ac:dyDescent="0.15">
      <c r="L129" s="2" t="s">
        <v>179</v>
      </c>
      <c r="M129" s="64">
        <f t="shared" ref="M129:X129" si="84">(M123+M115)/M98</f>
        <v>63316.254330046904</v>
      </c>
      <c r="N129" s="64">
        <f t="shared" si="84"/>
        <v>62209.459787361717</v>
      </c>
      <c r="O129" s="64">
        <f t="shared" si="84"/>
        <v>61394.895801230901</v>
      </c>
      <c r="P129" s="64">
        <f t="shared" si="84"/>
        <v>60227.089768018712</v>
      </c>
      <c r="Q129" s="64">
        <f t="shared" si="84"/>
        <v>59151.446558023017</v>
      </c>
      <c r="R129" s="64">
        <f t="shared" si="84"/>
        <v>50217.435125950229</v>
      </c>
      <c r="S129" s="64">
        <f t="shared" si="84"/>
        <v>49511.951630568845</v>
      </c>
      <c r="T129" s="64">
        <f t="shared" si="84"/>
        <v>48850.593877670188</v>
      </c>
      <c r="U129" s="64">
        <f t="shared" si="84"/>
        <v>48404.293918006188</v>
      </c>
      <c r="V129" s="64">
        <f t="shared" si="84"/>
        <v>47904.717129914112</v>
      </c>
      <c r="W129" s="64">
        <f t="shared" si="84"/>
        <v>53071.678513779043</v>
      </c>
      <c r="X129" s="64">
        <f t="shared" si="84"/>
        <v>45778.236652624182</v>
      </c>
      <c r="Y129" s="17">
        <f>SUM(M129:X129)</f>
        <v>650038.05309319403</v>
      </c>
    </row>
    <row r="133" spans="12:25" ht="21" thickBot="1" x14ac:dyDescent="0.25">
      <c r="L133" s="10" t="s">
        <v>177</v>
      </c>
    </row>
    <row r="136" spans="12:25" x14ac:dyDescent="0.15">
      <c r="L136" s="2" t="s">
        <v>180</v>
      </c>
      <c r="M136" s="63">
        <f>Y107</f>
        <v>21609842574.584564</v>
      </c>
    </row>
    <row r="137" spans="12:25" x14ac:dyDescent="0.15">
      <c r="L137" s="2" t="s">
        <v>181</v>
      </c>
      <c r="M137" s="61">
        <f>Y98</f>
        <v>312515.45099756931</v>
      </c>
    </row>
    <row r="138" spans="12:25" x14ac:dyDescent="0.15">
      <c r="L138" s="2" t="s">
        <v>182</v>
      </c>
      <c r="M138" s="63">
        <f>M136/M137</f>
        <v>69148.07733699106</v>
      </c>
    </row>
    <row r="139" spans="12:25" x14ac:dyDescent="0.15">
      <c r="L139" s="2" t="s">
        <v>185</v>
      </c>
      <c r="M139" s="61">
        <f>Y99</f>
        <v>221370.02639284611</v>
      </c>
    </row>
    <row r="140" spans="12:25" x14ac:dyDescent="0.15">
      <c r="L140" s="2" t="s">
        <v>184</v>
      </c>
      <c r="M140" s="65">
        <f>M137/M139</f>
        <v>1.4117333592533226</v>
      </c>
    </row>
    <row r="141" spans="12:25" x14ac:dyDescent="0.15">
      <c r="L141" s="2" t="s">
        <v>186</v>
      </c>
      <c r="M141" s="62">
        <f>M138*(M140-1)</f>
        <v>28470.570167867871</v>
      </c>
    </row>
    <row r="142" spans="12:25" x14ac:dyDescent="0.15">
      <c r="L142" s="2" t="s">
        <v>190</v>
      </c>
      <c r="M142" s="2">
        <v>3</v>
      </c>
      <c r="N142" s="2" t="s">
        <v>187</v>
      </c>
    </row>
    <row r="143" spans="12:25" x14ac:dyDescent="0.15">
      <c r="L143" s="2" t="s">
        <v>188</v>
      </c>
      <c r="M143" s="62">
        <f>M141*M142</f>
        <v>85411.710503603608</v>
      </c>
    </row>
  </sheetData>
  <scenarios current="0" show="0" sqref="M93:X93">
    <scenario name="Supuestos de Conversion - Pesimista" locked="1" count="5" user="Carlos Fidel Tonguino Rosero" comment="Creado por Carlos Fidel Tonguino Rosero el 2/04/2022_x000a_Modificado por Carlos Fidel Tonguino Rosero el 2/04/2022">
      <inputCells r="M6" val="15000000" numFmtId="3"/>
      <inputCells r="M7" val="0,05" numFmtId="165"/>
      <inputCells r="M8" val="0,015" numFmtId="10"/>
      <inputCells r="M9" val="0,035" numFmtId="10"/>
      <inputCells r="M10" val="8000"/>
    </scenario>
  </scenarios>
  <mergeCells count="3">
    <mergeCell ref="L2:W2"/>
    <mergeCell ref="C22:G22"/>
    <mergeCell ref="Y29:Y30"/>
  </mergeCells>
  <pageMargins left="0.7" right="0.7" top="0.75" bottom="0.75" header="0.3" footer="0.3"/>
  <ignoredErrors>
    <ignoredError sqref="M45:N45" formula="1"/>
  </ignoredErrors>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32B1100EBE9C46B4CDCB6FAB9B7B32" ma:contentTypeVersion="4" ma:contentTypeDescription="Crear nuevo documento." ma:contentTypeScope="" ma:versionID="31f5ef95f2290ef0b3a7b6e66ac36bfc">
  <xsd:schema xmlns:xsd="http://www.w3.org/2001/XMLSchema" xmlns:xs="http://www.w3.org/2001/XMLSchema" xmlns:p="http://schemas.microsoft.com/office/2006/metadata/properties" xmlns:ns2="88f099ad-5652-445f-8b32-9e9bb1f6c5d6" targetNamespace="http://schemas.microsoft.com/office/2006/metadata/properties" ma:root="true" ma:fieldsID="a838a031ca6f896eebe6d50d3003d23b" ns2:_="">
    <xsd:import namespace="88f099ad-5652-445f-8b32-9e9bb1f6c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f099ad-5652-445f-8b32-9e9bb1f6c5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5AD237C-D559-4D30-9E3F-273D89F7E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f099ad-5652-445f-8b32-9e9bb1f6c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ACC6A2-7610-486E-B629-EDAE219523DE}">
  <ds:schemaRefs>
    <ds:schemaRef ds:uri="http://schemas.microsoft.com/sharepoint/v3/contenttype/forms"/>
  </ds:schemaRefs>
</ds:datastoreItem>
</file>

<file path=customXml/itemProps3.xml><?xml version="1.0" encoding="utf-8"?>
<ds:datastoreItem xmlns:ds="http://schemas.openxmlformats.org/officeDocument/2006/customXml" ds:itemID="{14EE8E66-B556-4128-8A6D-8130DF41F5DE}">
  <ds:schemaRefs>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88f099ad-5652-445f-8b32-9e9bb1f6c5d6"/>
    <ds:schemaRef ds:uri="http://www.w3.org/XML/1998/namespace"/>
    <ds:schemaRef ds:uri="http://purl.org/dc/dcmitype/"/>
    <ds:schemaRef ds:uri="http://purl.org/dc/elements/1.1/"/>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12</vt:i4>
      </vt:variant>
      <vt:variant>
        <vt:lpstr>Rangos con nombre</vt:lpstr>
      </vt:variant>
      <vt:variant>
        <vt:i4>20</vt:i4>
      </vt:variant>
    </vt:vector>
  </HeadingPairs>
  <TitlesOfParts>
    <vt:vector size="32" baseType="lpstr">
      <vt:lpstr>Proyeccion estados financieros</vt:lpstr>
      <vt:lpstr>Indice</vt:lpstr>
      <vt:lpstr>Costos y Gastos Fijos</vt:lpstr>
      <vt:lpstr>Costo de Capital</vt:lpstr>
      <vt:lpstr>Tasa de retorno minima</vt:lpstr>
      <vt:lpstr>Hipótesis de Ingresos MVP </vt:lpstr>
      <vt:lpstr>Ingresos MVP Análisis PERT</vt:lpstr>
      <vt:lpstr>ContabilidaddeInnovación Año2</vt:lpstr>
      <vt:lpstr>ContabilidaddeInnovación Año3</vt:lpstr>
      <vt:lpstr>ContabilidaddeInnovación Año 4</vt:lpstr>
      <vt:lpstr>Analisis de Insurtechs</vt:lpstr>
      <vt:lpstr>Modelo Financiero</vt:lpstr>
      <vt:lpstr>'Costo de Capital'!_10_Year_Breakeven_Inflation_Rate</vt:lpstr>
      <vt:lpstr>'Proyeccion estados financieros'!Área_de_impresión</vt:lpstr>
      <vt:lpstr>'Costo de Capital'!Beta_Apalancado__Software_internet</vt:lpstr>
      <vt:lpstr>'Costo de Capital'!BetaApalancado___INDUSTRIA</vt:lpstr>
      <vt:lpstr>'Costo de Capital'!BetaDesapalancado__INDUSTRIA</vt:lpstr>
      <vt:lpstr>'Costo de Capital'!CDS</vt:lpstr>
      <vt:lpstr>'Tasa de retorno minima'!Costo_de_Capital_WACC</vt:lpstr>
      <vt:lpstr>'Costo de Capital'!D_E_RATIO___INDUSTRIA</vt:lpstr>
      <vt:lpstr>'Costo de Capital'!D_E_RATIO_Agencia_Digital</vt:lpstr>
      <vt:lpstr>'Costo de Capital'!Devaluación_Esperada</vt:lpstr>
      <vt:lpstr>'Costo de Capital'!E_Rm</vt:lpstr>
      <vt:lpstr>'Costo de Capital'!Equity_Risk_Premiun___Software_Internet</vt:lpstr>
      <vt:lpstr>'Costo de Capital'!Estimación_Inflación_Colombia</vt:lpstr>
      <vt:lpstr>Ke_COP_Nominal</vt:lpstr>
      <vt:lpstr>'Costo de Capital'!Ke_USD_Nominal</vt:lpstr>
      <vt:lpstr>MRP</vt:lpstr>
      <vt:lpstr>'Costo de Capital'!Rf</vt:lpstr>
      <vt:lpstr>'Tasa de retorno minima'!T</vt:lpstr>
      <vt:lpstr>'Costo de Capital'!tCol</vt:lpstr>
      <vt:lpstr>'Costo de Capital'!tEEUU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MODELO ESTRATÉGICO FINANCIERO PARA UN INTRAEMPRENDIMIENTO DE SEGUROS DIGITALES INSURTECH</dc:title>
  <dc:subject>Modelo estratégico financiero para un intraemprendimiento de seguros digitales insurtech. Tonguino Rosero Carlos Fidel. Escuela de Economía y Finanzas, Departamento de Finanzas, 2022</dc:subject>
  <dc:creator>Tonguino Rosero, Carlos Fidel</dc:creator>
  <cp:keywords/>
  <dc:description>Anexo, Modelo financiero</dc:description>
  <cp:lastModifiedBy>Carlos Fidel Tonguino Rosero</cp:lastModifiedBy>
  <cp:revision/>
  <cp:lastPrinted>2022-04-15T19:34:18Z</cp:lastPrinted>
  <dcterms:created xsi:type="dcterms:W3CDTF">2022-03-07T10:31:03Z</dcterms:created>
  <dcterms:modified xsi:type="dcterms:W3CDTF">2022-10-01T13:11:49Z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0x010100EE32B1100EBE9C46B4CDCB6FAB9B7B32</vt:lpwstr>
  </property>
</Properties>
</file>